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EBBBC73C-65EC-43AD-9C78-E05400D35008}" xr6:coauthVersionLast="47" xr6:coauthVersionMax="47" xr10:uidLastSave="{00000000-0000-0000-0000-000000000000}"/>
  <bookViews>
    <workbookView xWindow="0" yWindow="915" windowWidth="28800" windowHeight="17085" firstSheet="15" activeTab="19" xr2:uid="{992023F3-CAB7-4E5B-A348-08D563A0EF40}"/>
  </bookViews>
  <sheets>
    <sheet name="Home" sheetId="71" r:id="rId1"/>
    <sheet name="Results - Activity period" sheetId="13" r:id="rId2"/>
    <sheet name="Results - Product EI" sheetId="81" r:id="rId3"/>
    <sheet name="Input - Enterprise" sheetId="72" r:id="rId4"/>
    <sheet name="Input - Site" sheetId="75" r:id="rId5"/>
    <sheet name="Input - Pasture Beef" sheetId="82" r:id="rId6"/>
    <sheet name="Input - Livestock sales" sheetId="77" r:id="rId7"/>
    <sheet name="Input - Beef cattle purchases" sheetId="111" r:id="rId8"/>
    <sheet name="Input - Pasture" sheetId="107" r:id="rId9"/>
    <sheet name="Input - Fert Prod System" sheetId="76" r:id="rId10"/>
    <sheet name="Input - Fertiliser" sheetId="89" r:id="rId11"/>
    <sheet name="Input - Fuel" sheetId="100" r:id="rId12"/>
    <sheet name="Input - Electricity" sheetId="97" r:id="rId13"/>
    <sheet name="Input - Common farm inputs" sheetId="112" r:id="rId14"/>
    <sheet name="Input - Crop pasture farm input" sheetId="113" r:id="rId15"/>
    <sheet name="Input - Livestock farm Inputs" sheetId="114" r:id="rId16"/>
    <sheet name="Input - Freight" sheetId="115" r:id="rId17"/>
    <sheet name="Input - Solid waste" sheetId="104" r:id="rId18"/>
    <sheet name="Input - Manure sent off-site" sheetId="116" r:id="rId19"/>
    <sheet name="Input - Data quality" sheetId="78" r:id="rId20"/>
    <sheet name="3.2.1.1-2 Enteric Methane" sheetId="88" r:id="rId21"/>
    <sheet name="4.2.1.1-2 Methane" sheetId="83" r:id="rId22"/>
    <sheet name="4.2.1.3-4 Soil direct N20" sheetId="84" r:id="rId23"/>
    <sheet name="4.2.1.5-6 Soil Atmos Dep" sheetId="85" r:id="rId24"/>
    <sheet name="4.2.1.7-8 Soil leach runoff" sheetId="86" r:id="rId25"/>
    <sheet name="5.1.1.1-2 Inorganic fert N2O" sheetId="90" r:id="rId26"/>
    <sheet name="5.1.1.3-4 Inorganic fert CO2" sheetId="91" r:id="rId27"/>
    <sheet name="5.2.1.1-2 Organic Fert N2O" sheetId="92" r:id="rId28"/>
    <sheet name="5.3.1.1-2 Lime CO2" sheetId="93" r:id="rId29"/>
    <sheet name="5.4.1.1-4 Atmos deposition" sheetId="94" r:id="rId30"/>
    <sheet name="5.5.1.1-2 Leaching and runoff" sheetId="95" r:id="rId31"/>
    <sheet name="6.2.1.1-2 Pasture residue N2O" sheetId="108" r:id="rId32"/>
    <sheet name="6.3.1.1-2 Leach runoff pasture" sheetId="109" r:id="rId33"/>
    <sheet name="8.1.1.1-2 Transport fuel" sheetId="101" r:id="rId34"/>
    <sheet name="8.2.1.1-2 Stationary fuel" sheetId="102" r:id="rId35"/>
    <sheet name="10.1.1-2 Solid waste treatment" sheetId="105" r:id="rId36"/>
    <sheet name="14.1.1-2 Purchased electricity" sheetId="98" r:id="rId37"/>
    <sheet name="15 Scope 3" sheetId="117" r:id="rId38"/>
    <sheet name="Calcs - Manure sent off-site" sheetId="118" r:id="rId39"/>
    <sheet name="Constants - Pasture Beef" sheetId="87" r:id="rId40"/>
    <sheet name="Constants - Ag Residue" sheetId="110" r:id="rId41"/>
    <sheet name="Constants - Common Livestock" sheetId="120" r:id="rId42"/>
    <sheet name="Constants - Electricity" sheetId="99" r:id="rId43"/>
    <sheet name="Constants - Fertiliser" sheetId="96" r:id="rId44"/>
    <sheet name="Constants - Fuel" sheetId="103" r:id="rId45"/>
    <sheet name="Constants - Scope 3" sheetId="119" r:id="rId46"/>
    <sheet name="Constants - Solid Waste" sheetId="106" r:id="rId47"/>
    <sheet name="Constants - Common" sheetId="79" r:id="rId48"/>
    <sheet name="Acknowledgements" sheetId="121" r:id="rId49"/>
  </sheets>
  <definedNames>
    <definedName name="_Toc225350871" localSheetId="29">'5.4.1.1-4 Atmos deposition'!$C$1</definedName>
    <definedName name="_Toc225350871" localSheetId="30">'5.5.1.1-2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 localSheetId="31">_xlfn.LAMBDA(_xlpm.M_burnc,_xlpm.CC_c,_xlpm.EF_CH4,_xlpm.C_CH4, (_xlpm.M_burnc * _xlpm.CC_c) * _xlpm.EF_CH4 * _xlpm.C_CH4 * 10 ^ (-3))</definedName>
    <definedName name="AgResidue_Equations_FieldBurning.VEERG_6_4_1_1__1__MethaneEmissionsFromBurningOfCropResidues" localSheetId="32">_xlfn.LAMBDA(_xlpm.M_burnc,_xlpm.CC_c,_xlpm.EF_CH4,_xlpm.C_CH4, (_xlpm.M_burnc * _xlpm.CC_c) * _xlpm.EF_CH4 * _xlpm.C_CH4 * 10 ^ (-3))</definedName>
    <definedName name="AgResidue_Equations_FieldBurning.VEERG_6_4_1_1__1__MethaneEmissionsFromBurningOfCropResidues" localSheetId="40">_xlfn.LAMBDA(_xlpm.M_burnc,_xlpm.CC_c,_xlpm.EF_CH4,_xlpm.C_CH4, (_xlpm.M_burnc * _xlpm.CC_c) * _xlpm.EF_CH4 * _xlpm.C_CH4 * 10 ^ (-3))</definedName>
    <definedName name="AgResidue_Equations_FieldBurning.VEERG_6_4_1_1__1__MethaneEmissionsFromBurningOfCropResidues" localSheetId="8">_xlfn.LAMBDA(_xlpm.M_burnc,_xlpm.CC_c,_xlpm.EF_CH4,_xlpm.C_CH4, (_xlpm.M_burnc * _xlpm.CC_c) * _xlpm.EF_CH4 * _xlpm.C_CH4 * 10 ^ (-3))</definedName>
    <definedName name="AgResidue_Equations_FieldBurning.VEERG_6_4_1_1__1__MethaneEmissionsFromBurningOfCropResidues">_xlfn.LAMBDA(_xlpm.M_burnc,_xlpm.CC_c,_xlpm.EF_CH4,_xlpm.C_CH4,
    (_xlpm.M_burnc * _xlpm.CC_c) * _xlpm.EF_CH4 * _xlpm.C_CH4 * 10^(-3)
  )</definedName>
    <definedName name="AgResidue_Equations_FieldBurning.VEERG_6_4_1_1__1__MethaneEmissionsFromBurningOfCropResidues_Arguments" localSheetId="31">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32">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40">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8">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_xlfn.LAMBDA(
    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
      )
    )
  )</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31">_xlfn.LAMBDA("E_{CH4}=\sum\nolimits_c(M_{burn,c}\times CC_{c})\times EF_{CH4}\times C_{CH4}\times 10^{-3}")</definedName>
    <definedName name="AgResidue_Equations_FieldBurning.VEERG_6_4_1_1__1__MethaneEmissionsFromBurningOfCropResidues_LatexEquation" localSheetId="32">_xlfn.LAMBDA("E_{CH4}=\sum\nolimits_c(M_{burn,c}\times CC_{c})\times EF_{CH4}\times C_{CH4}\times 10^{-3}")</definedName>
    <definedName name="AgResidue_Equations_FieldBurning.VEERG_6_4_1_1__1__MethaneEmissionsFromBurningOfCropResidues_LatexEquation" localSheetId="40">_xlfn.LAMBDA("E_{CH4}=\sum\nolimits_c(M_{burn,c}\times CC_{c})\times EF_{CH4}\times C_{CH4}\times 10^{-3}")</definedName>
    <definedName name="AgResidue_Equations_FieldBurning.VEERG_6_4_1_1__1__MethaneEmissionsFromBurningOfCropResidues_LatexEquation" localSheetId="8">_xlfn.LAMBDA("E_{CH4}=\sum\nolimits_c(M_{burn,c}\times CC_{c})\times EF_{CH4}\times C_{CH4}\times 10^{-3}")</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31">_xlfn.LAMBDA(_xlpm.M_burnc,_xlpm.NC_AGc,_xlpm.EF_N2O,_xlpm.C_N2O, (_xlpm.M_burnc * _xlpm.NC_AGc) * _xlpm.EF_N2O * _xlpm.C_N2O * 10 ^ (-3))</definedName>
    <definedName name="AgResidue_Equations_FieldBurning.VEERG_6_4_1_1__2__NitrousOxideEmissionsFromBurningOfCropResidues" localSheetId="32">_xlfn.LAMBDA(_xlpm.M_burnc,_xlpm.NC_AGc,_xlpm.EF_N2O,_xlpm.C_N2O, (_xlpm.M_burnc * _xlpm.NC_AGc) * _xlpm.EF_N2O * _xlpm.C_N2O * 10 ^ (-3))</definedName>
    <definedName name="AgResidue_Equations_FieldBurning.VEERG_6_4_1_1__2__NitrousOxideEmissionsFromBurningOfCropResidues" localSheetId="40">_xlfn.LAMBDA(_xlpm.M_burnc,_xlpm.NC_AGc,_xlpm.EF_N2O,_xlpm.C_N2O, (_xlpm.M_burnc * _xlpm.NC_AGc) * _xlpm.EF_N2O * _xlpm.C_N2O * 10 ^ (-3))</definedName>
    <definedName name="AgResidue_Equations_FieldBurning.VEERG_6_4_1_1__2__NitrousOxideEmissionsFromBurningOfCropResidues" localSheetId="8">_xlfn.LAMBDA(_xlpm.M_burnc,_xlpm.NC_AGc,_xlpm.EF_N2O,_xlpm.C_N2O, (_xlpm.M_burnc * _xlpm.NC_AGc) * _xlpm.EF_N2O * _xlpm.C_N2O * 10 ^ (-3))</definedName>
    <definedName name="AgResidue_Equations_FieldBurning.VEERG_6_4_1_1__2__NitrousOxideEmissionsFromBurningOfCropResidues">_xlfn.LAMBDA(_xlpm.M_burnc,_xlpm.NC_AGc,_xlpm.EF_N2O,_xlpm.C_N2O,
    (_xlpm.M_burnc * _xlpm.NC_AGc) * _xlpm.EF_N2O * _xlpm.C_N2O * 10^(-3)
  )</definedName>
    <definedName name="AgResidue_Equations_FieldBurning.VEERG_6_4_1_1__2__NitrousOxideEmissionsFromBurningOfCropResidues_Arguments" localSheetId="31">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32">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40">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8">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_xlfn.LAMBDA(
    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
      )
    )
  )</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31">_xlfn.LAMBDA("E_{N2O}=\sum\nolimits_c(M_{burn,c}\times NC_{AGc})\times EF_{N2O}\times C_{N2O}\times 10^{-3}")</definedName>
    <definedName name="AgResidue_Equations_FieldBurning.VEERG_6_4_1_1__2__NitrousOxideEmissionsFromBurningOfCropResidues_LatexEquation" localSheetId="32">_xlfn.LAMBDA("E_{N2O}=\sum\nolimits_c(M_{burn,c}\times NC_{AGc})\times EF_{N2O}\times C_{N2O}\times 10^{-3}")</definedName>
    <definedName name="AgResidue_Equations_FieldBurning.VEERG_6_4_1_1__2__NitrousOxideEmissionsFromBurningOfCropResidues_LatexEquation" localSheetId="40">_xlfn.LAMBDA("E_{N2O}=\sum\nolimits_c(M_{burn,c}\times NC_{AGc})\times EF_{N2O}\times C_{N2O}\times 10^{-3}")</definedName>
    <definedName name="AgResidue_Equations_FieldBurning.VEERG_6_4_1_1__2__NitrousOxideEmissionsFromBurningOfCropResidues_LatexEquation" localSheetId="8">_xlfn.LAMBDA("E_{N2O}=\sum\nolimits_c(M_{burn,c}\times NC_{AGc})\times EF_{N2O}\times C_{N2O}\times 10^{-3}")</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31">_xlfn.LAMBDA(_xlpm.P_c,_xlpm.R_AGc,_xlpm.S_c,_xlpm.DM_c,_xlpm.Z_c,_xlpm.F_c, _xlpm.P_c * _xlpm.R_AGc * _xlpm.S_c * _xlpm.DM_c * _xlpm.Z_c * _xlpm.F_c)</definedName>
    <definedName name="AgResidue_Equations_FieldBurning.VEERG_6_4_1_1__3__MassOfCropResidueBurnt" localSheetId="32">_xlfn.LAMBDA(_xlpm.P_c,_xlpm.R_AGc,_xlpm.S_c,_xlpm.DM_c,_xlpm.Z_c,_xlpm.F_c, _xlpm.P_c * _xlpm.R_AGc * _xlpm.S_c * _xlpm.DM_c * _xlpm.Z_c * _xlpm.F_c)</definedName>
    <definedName name="AgResidue_Equations_FieldBurning.VEERG_6_4_1_1__3__MassOfCropResidueBurnt" localSheetId="40">_xlfn.LAMBDA(_xlpm.P_c,_xlpm.R_AGc,_xlpm.S_c,_xlpm.DM_c,_xlpm.Z_c,_xlpm.F_c, _xlpm.P_c * _xlpm.R_AGc * _xlpm.S_c * _xlpm.DM_c * _xlpm.Z_c * _xlpm.F_c)</definedName>
    <definedName name="AgResidue_Equations_FieldBurning.VEERG_6_4_1_1__3__MassOfCropResidueBurnt" localSheetId="8">_xlfn.LAMBDA(_xlpm.P_c,_xlpm.R_AGc,_xlpm.S_c,_xlpm.DM_c,_xlpm.Z_c,_xlpm.F_c, _xlpm.P_c * _xlpm.R_AGc * _xlpm.S_c * _xlpm.DM_c * _xlpm.Z_c * _xlpm.F_c)</definedName>
    <definedName name="AgResidue_Equations_FieldBurning.VEERG_6_4_1_1__3__MassOfCropResidueBurnt">_xlfn.LAMBDA(_xlpm.P_c,_xlpm.R_AGc,_xlpm.S_c,_xlpm.DM_c,_xlpm.Z_c,_xlpm.F_c,
    _xlpm.P_c * _xlpm.R_AGc * _xlpm.S_c * _xlpm.DM_c * _xlpm.Z_c * _xlpm.F_c
  )</definedName>
    <definedName name="AgResidue_Equations_FieldBurning.VEERG_6_4_1_1__3__MassOfCropResidueBurnt_Arguments" localSheetId="31">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32">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40">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8">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_xlfn.LAMBDA(
    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
      )
    )
  )</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31">_xlfn.LAMBDA("M_burnc")</definedName>
    <definedName name="AgResidue_Equations_FieldBurning.VEERG_6_4_1_1__3__MassOfCropResidueBurnt_Variable" localSheetId="32">_xlfn.LAMBDA("M_burnc")</definedName>
    <definedName name="AgResidue_Equations_FieldBurning.VEERG_6_4_1_1__3__MassOfCropResidueBurnt_Variable" localSheetId="40">_xlfn.LAMBDA("M_burnc")</definedName>
    <definedName name="AgResidue_Equations_FieldBurning.VEERG_6_4_1_1__3__MassOfCropResidueBurnt_Variable" localSheetId="8">_xlfn.LAMBDA("M_burnc")</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2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8">_xlfn.LAMBDA(_xlpm.CropType,_xlpm.CropTypeArray,_xlpm.ResidueCropRatioArray,
    1/(1+Common_InputFunctions.Utility_LookupValueInTableNumber(_xlpm.CropType, _xlpm.CropTypeArray, _xlpm.ResidueCropRatioArray))
)</definedName>
    <definedName name="CommonCropping_InputFunctions.CommonCropping_CalculateHarvestIndex" localSheetId="4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 localSheetId="2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8">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InputFunctions.CommonCropping_GetFracWET" localSheetId="4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 localSheetId="36">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8">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4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45">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3">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4">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6">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5">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8">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 localSheetId="36">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8">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4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45">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3">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4">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6">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5">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8">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 localSheetId="3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3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4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3">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4">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6">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 localSheetId="37">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20">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38">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4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7">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3">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4">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6">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8">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3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5">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6">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8">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9">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3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31">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2">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3">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4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3">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6">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 localSheetId="3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definedName>
    <definedName name="Fertiliser_InputFunctions.Fertiliser_TotalActiveIngredientAppliedAllIngredients" localSheetId="2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definedName>
    <definedName name="Fertiliser_InputFunctions.Fertiliser_TotalActiveIngredientAppliedAllIngredients" localSheetId="2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definedName>
    <definedName name="Fertiliser_InputFunctions.Fertiliser_TotalActiveIngredientAppliedAllIngredients" localSheetId="2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definedName>
    <definedName name="Fertiliser_InputFunctions.Fertiliser_TotalActiveIngredientAppliedAllIngredients" localSheetId="3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3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4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definedName>
    <definedName name="Fertiliser_InputFunctions.Fertiliser_TotalActiveIngredientAppliedAllIngredients" localSheetId="4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4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definedName>
    <definedName name="Fertiliser_InputFunctions.Fertiliser_TotalActiveIngredientAppliedAllIngredients" localSheetId="3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definedName>
    <definedName name="Fertiliser_InputFunctions.Fertiliser_TotalActiveIngredientAppliedAllIngredients" localSheetId="1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3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 + IFERROR('15 Scope 3'!Fertiliser_InputFunctions.Fertiliser_SumProductApplied(_xlpm.ChemicalCompound, _xlpm.ProductIngredient4, _xlpm.calculatedAmount4), 0) + IFERROR('15 Scope 3'!Fertiliser_InputFunctions.Fertiliser_SumProductApplied(_xlpm.ChemicalCompound, _xlpm.ProductIngredient5, _xlpm.calculatedAmount5), 0) + IFERROR('15 Scope 3'!Fertiliser_InputFunctions.Fertiliser_SumProductApplied(_xlpm.ChemicalCompound, _xlpm.ProductIngredient6, _xlpm.calculatedAmount6), 0)))</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 + IFERROR('5.1.1.1-2 Inorganic fert N2O'!Fertiliser_InputFunctions.Fertiliser_SumProductApplied(_xlpm.ChemicalCompound, _xlpm.ProductIngredient4, _xlpm.calculatedAmount4), 0) + IFERROR('5.1.1.1-2 Inorganic fert N2O'!Fertiliser_InputFunctions.Fertiliser_SumProductApplied(_xlpm.ChemicalCompound, _xlpm.ProductIngredient5, _xlpm.calculatedAmount5), 0) + IFERROR('5.1.1.1-2 Inorganic fert N2O'!Fertiliser_InputFunctions.Fertiliser_SumProductApplied(_xlpm.ChemicalCompound, _xlpm.ProductIngredient6, _xlpm.calculatedAmount6), 0)))</definedName>
    <definedName name="Fertiliser_InputFunctions.Fertiliser_TotalChemicalCompoundAppliedAllIngredients" localSheetId="2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 + IFERROR('5.1.1.3-4 Inorganic fert CO2'!Fertiliser_InputFunctions.Fertiliser_SumProductApplied(_xlpm.ChemicalCompound, _xlpm.ProductIngredient4, _xlpm.calculatedAmount4), 0) + IFERROR('5.1.1.3-4 Inorganic fert CO2'!Fertiliser_InputFunctions.Fertiliser_SumProductApplied(_xlpm.ChemicalCompound, _xlpm.ProductIngredient5, _xlpm.calculatedAmount5), 0) + IFERROR('5.1.1.3-4 Inorganic fert CO2'!Fertiliser_InputFunctions.Fertiliser_SumProductApplied(_xlpm.ChemicalCompound, _xlpm.ProductIngredient6, _xlpm.calculatedAmount6),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 + IFERROR('5.2.1.1-2 Organic Fert N2O'!Fertiliser_InputFunctions.Fertiliser_SumProductApplied(_xlpm.ChemicalCompound, _xlpm.ProductIngredient4, _xlpm.calculatedAmount4), 0) + IFERROR('5.2.1.1-2 Organic Fert N2O'!Fertiliser_InputFunctions.Fertiliser_SumProductApplied(_xlpm.ChemicalCompound, _xlpm.ProductIngredient5, _xlpm.calculatedAmount5), 0) + IFERROR('5.2.1.1-2 Organic Fert N2O'!Fertiliser_InputFunctions.Fertiliser_SumProductApplied(_xlpm.ChemicalCompound, _xlpm.ProductIngredient6, _xlpm.calculatedAmount6), 0)))</definedName>
    <definedName name="Fertiliser_InputFunctions.Fertiliser_TotalChemicalCompoundAppliedAllIngredients" localSheetId="2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 + IFERROR('5.3.1.1-2 Lime CO2'!Fertiliser_InputFunctions.Fertiliser_SumProductApplied(_xlpm.ChemicalCompound, _xlpm.ProductIngredient4, _xlpm.calculatedAmount4), 0) + IFERROR('5.3.1.1-2 Lime CO2'!Fertiliser_InputFunctions.Fertiliser_SumProductApplied(_xlpm.ChemicalCompound, _xlpm.ProductIngredient5, _xlpm.calculatedAmount5), 0) + IFERROR('5.3.1.1-2 Lime CO2'!Fertiliser_InputFunctions.Fertiliser_SumProductApplied(_xlpm.ChemicalCompound, _xlpm.ProductIngredient6, _xlpm.calculatedAmount6), 0)))</definedName>
    <definedName name="Fertiliser_InputFunctions.Fertiliser_TotalChemicalCompoundAppliedAllIngredients" localSheetId="2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 + IFERROR('5.4.1.1-4 Atmos deposition'!Fertiliser_InputFunctions.Fertiliser_SumProductApplied(_xlpm.ChemicalCompound, _xlpm.ProductIngredient4, _xlpm.calculatedAmount4), 0) + IFERROR('5.4.1.1-4 Atmos deposition'!Fertiliser_InputFunctions.Fertiliser_SumProductApplied(_xlpm.ChemicalCompound, _xlpm.ProductIngredient5, _xlpm.calculatedAmount5), 0) + IFERROR('5.4.1.1-4 Atmos deposition'!Fertiliser_InputFunctions.Fertiliser_SumProductApplied(_xlpm.ChemicalCompound,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 + IFERROR('5.5.1.1-2 Leaching and runoff'!Fertiliser_InputFunctions.Fertiliser_SumProductApplied(_xlpm.ChemicalCompound, _xlpm.ProductIngredient4, _xlpm.calculatedAmount4), 0) + IFERROR('5.5.1.1-2 Leaching and runoff'!Fertiliser_InputFunctions.Fertiliser_SumProductApplied(_xlpm.ChemicalCompound, _xlpm.ProductIngredient5, _xlpm.calculatedAmount5), 0) + IFERROR('5.5.1.1-2 Leaching and runoff'!Fertiliser_InputFunctions.Fertiliser_SumProductApplied(_xlpm.ChemicalCompound, _xlpm.ProductIngredient6, _xlpm.calculatedAmount6), 0)))</definedName>
    <definedName name="Fertiliser_InputFunctions.Fertiliser_TotalChemicalCompoundAppliedAllIngredients" localSheetId="3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'6.2.1.1-2 Pasture residue N2O'!Fertiliser_InputFunctions.Fertiliser_SumProductApplied(
      _xlpm.ChemicalCompound,
      _xlpm.ProductIngredient1,
      _xlpm.calculatedAmount1
    ) + IFERROR(
      '6.2.1.1-2 Pasture residue N2O'!Fertiliser_InputFunctions.Fertiliser_SumProductApplied(
        _xlpm.ChemicalCompound,
        _xlpm.ProductIngredient2,
        _xlpm.calculatedAmount2
      ),
      0
    ) + IFERROR(
      '6.2.1.1-2 Pasture residue N2O'!Fertiliser_InputFunctions.Fertiliser_SumProductApplied(
        _xlpm.ChemicalCompound,
        _xlpm.ProductIngredient3,
        _xlpm.calculatedAmount3
      ),
      0
    ) + IFERROR(
      '6.2.1.1-2 Pasture residue N2O'!Fertiliser_InputFunctions.Fertiliser_SumProductApplied(
        _xlpm.ChemicalCompound,
        _xlpm.ProductIngredient4,
        _xlpm.calculatedAmount4
      ),
      0
    ) + IFERROR(
      '6.2.1.1-2 Pasture residue N2O'!Fertiliser_InputFunctions.Fertiliser_SumProductApplied(
        _xlpm.ChemicalCompound,
        _xlpm.ProductIngredient5,
        _xlpm.calculatedAmount5
      ),
      0
    ) + IFERROR(
      '6.2.1.1-2 Pasture residue N2O'!Fertiliser_InputFunctions.Fertiliser_SumProductApplied(
        _xlpm.ChemicalCompound,
        _xlpm.ProductIngredient6,
        _xlpm.calculatedAmount6
      ),
      0
    )
  )
)</definedName>
    <definedName name="Fertiliser_InputFunctions.Fertiliser_TotalChemicalCompoundAppliedAllIngredients" localSheetId="3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'6.3.1.1-2 Leach runoff pasture'!Fertiliser_InputFunctions.Fertiliser_SumProductApplied(
      _xlpm.ChemicalCompound,
      _xlpm.ProductIngredient1,
      _xlpm.calculatedAmount1
    ) + IFERROR(
      '6.3.1.1-2 Leach runoff pasture'!Fertiliser_InputFunctions.Fertiliser_SumProductApplied(
        _xlpm.ChemicalCompound,
        _xlpm.ProductIngredient2,
        _xlpm.calculatedAmount2
      ),
      0
    ) + IFERROR(
      '6.3.1.1-2 Leach runoff pasture'!Fertiliser_InputFunctions.Fertiliser_SumProductApplied(
        _xlpm.ChemicalCompound,
        _xlpm.ProductIngredient3,
        _xlpm.calculatedAmount3
      ),
      0
    ) + IFERROR(
      '6.3.1.1-2 Leach runoff pasture'!Fertiliser_InputFunctions.Fertiliser_SumProductApplied(
        _xlpm.ChemicalCompound,
        _xlpm.ProductIngredient4,
        _xlpm.calculatedAmount4
      ),
      0
    ) + IFERROR(
      '6.3.1.1-2 Leach runoff pasture'!Fertiliser_InputFunctions.Fertiliser_SumProductApplied(
        _xlpm.ChemicalCompound,
        _xlpm.ProductIngredient5,
        _xlpm.calculatedAmount5
      ),
      0
    ) + IFERROR(
      '6.3.1.1-2 Leach runoff pasture'!Fertiliser_InputFunctions.Fertiliser_SumProductApplied(
        _xlpm.ChemicalCompound,
        _xlpm.ProductIngredient6,
        _xlpm.calculatedAmount6
      ),
      0
    )
  )
)</definedName>
    <definedName name="Fertiliser_InputFunctions.Fertiliser_TotalChemicalCompoundAppliedAllIngredients" localSheetId="4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 + IFERROR('Calcs - Manure sent off-site'!Fertiliser_InputFunctions.Fertiliser_SumProductApplied(_xlpm.ChemicalCompound, _xlpm.ProductIngredient4, _xlpm.calculatedAmount4), 0) + IFERROR('Calcs - Manure sent off-site'!Fertiliser_InputFunctions.Fertiliser_SumProductApplied(_xlpm.ChemicalCompound, _xlpm.ProductIngredient5, _xlpm.calculatedAmount5), 0) + IFERROR('Calcs - Manure sent off-site'!Fertiliser_InputFunctions.Fertiliser_SumProductApplied(_xlpm.ChemicalCompound, _xlpm.ProductIngredient6, _xlpm.calculatedAmount6), 0)))</definedName>
    <definedName name="Fertiliser_InputFunctions.Fertiliser_TotalChemicalCompoundAppliedAllIngredients" localSheetId="4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'Constants - Ag Residue'!Fertiliser_InputFunctions.Fertiliser_SumProductApplied(
      _xlpm.ChemicalCompound,
      _xlpm.ProductIngredient1,
      _xlpm.calculatedAmount1
    ) + IFERROR(
      'Constants - Ag Residue'!Fertiliser_InputFunctions.Fertiliser_SumProductApplied(
        _xlpm.ChemicalCompound,
        _xlpm.ProductIngredient2,
        _xlpm.calculatedAmount2
      ),
      0
    ) + IFERROR(
      'Constants - Ag Residue'!Fertiliser_InputFunctions.Fertiliser_SumProductApplied(
        _xlpm.ChemicalCompound,
        _xlpm.ProductIngredient3,
        _xlpm.calculatedAmount3
      ),
      0
    ) + IFERROR(
      'Constants - Ag Residue'!Fertiliser_InputFunctions.Fertiliser_SumProductApplied(
        _xlpm.ChemicalCompound,
        _xlpm.ProductIngredient4,
        _xlpm.calculatedAmount4
      ),
      0
    ) + IFERROR(
      'Constants - Ag Residue'!Fertiliser_InputFunctions.Fertiliser_SumProductApplied(
        _xlpm.ChemicalCompound,
        _xlpm.ProductIngredient5,
        _xlpm.calculatedAmount5
      ),
      0
    ) + IFERROR(
      'Constants - Ag Residue'!Fertiliser_InputFunctions.Fertiliser_SumProductApplied(
        _xlpm.ChemicalCompound,
        _xlpm.ProductIngredient6,
        _xlpm.calculatedAmount6
      ),
      0
    )
  )
)</definedName>
    <definedName name="Fertiliser_InputFunctions.Fertiliser_TotalChemicalCompoundAppliedAllIngredients" localSheetId="4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 + IFERROR('Constants - Fertiliser'!Fertiliser_InputFunctions.Fertiliser_SumProductApplied(_xlpm.ChemicalCompound, _xlpm.ProductIngredient4, _xlpm.calculatedAmount4), 0) + IFERROR('Constants - Fertiliser'!Fertiliser_InputFunctions.Fertiliser_SumProductApplied(_xlpm.ChemicalCompound, _xlpm.ProductIngredient5, _xlpm.calculatedAmount5), 0) + IFERROR('Constants - Fertiliser'!Fertiliser_InputFunctions.Fertiliser_SumProductApplied(_xlpm.ChemicalCompound, _xlpm.ProductIngredient6, _xlpm.calculatedAmount6), 0)))</definedName>
    <definedName name="Fertiliser_InputFunctions.Fertiliser_TotalChemicalCompoundAppliedAllIngredients" localSheetId="3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 + IFERROR('Constants - Scope 3'!Fertiliser_InputFunctions.Fertiliser_SumProductApplied(_xlpm.ChemicalCompound, _xlpm.ProductIngredient4, _xlpm.calculatedAmount4), 0) + IFERROR('Constants - Scope 3'!Fertiliser_InputFunctions.Fertiliser_SumProductApplied(_xlpm.ChemicalCompound, _xlpm.ProductIngredient5, _xlpm.calculatedAmount5), 0) + IFERROR('Constants - Scope 3'!Fertiliser_InputFunctions.Fertiliser_SumProductApplied(_xlpm.ChemicalCompound,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 + IFERROR('Input - Beef cattle purchases'!Fertiliser_InputFunctions.Fertiliser_SumProductApplied(_xlpm.ChemicalCompound, _xlpm.ProductIngredient4, _xlpm.calculatedAmount4), 0) + IFERROR('Input - Beef cattle purchases'!Fertiliser_InputFunctions.Fertiliser_SumProductApplied(_xlpm.ChemicalCompound, _xlpm.ProductIngredient5, _xlpm.calculatedAmount5), 0) + IFERROR('Input - Beef cattle purchases'!Fertiliser_InputFunctions.Fertiliser_SumProductApplied(_xlpm.ChemicalCompound,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 + IFERROR('Input - Common farm inputs'!Fertiliser_InputFunctions.Fertiliser_SumProductApplied(_xlpm.ChemicalCompound, _xlpm.ProductIngredient4, _xlpm.calculatedAmount4), 0) + IFERROR('Input - Common farm inputs'!Fertiliser_InputFunctions.Fertiliser_SumProductApplied(_xlpm.ChemicalCompound, _xlpm.ProductIngredient5, _xlpm.calculatedAmount5), 0) + IFERROR('Input - Common farm inputs'!Fertiliser_InputFunctions.Fertiliser_SumProductApplied(_xlpm.ChemicalCompound,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 + IFERROR('Input - Crop pasture farm input'!Fertiliser_InputFunctions.Fertiliser_SumProductApplied(_xlpm.ChemicalCompound, _xlpm.ProductIngredient4, _xlpm.calculatedAmount4), 0) + IFERROR('Input - Crop pasture farm input'!Fertiliser_InputFunctions.Fertiliser_SumProductApplied(_xlpm.ChemicalCompound, _xlpm.ProductIngredient5, _xlpm.calculatedAmount5), 0) + IFERROR('Input - Crop pasture farm input'!Fertiliser_InputFunctions.Fertiliser_SumProductApplied(_xlpm.ChemicalCompound, _xlpm.ProductIngredient6, _xlpm.calculatedAmount6), 0)))</definedName>
    <definedName name="Fertiliser_InputFunctions.Fertiliser_TotalChemicalCompoundAppliedAllIngredients" localSheetId="1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 + IFERROR('Input - Fertiliser'!Fertiliser_InputFunctions.Fertiliser_SumProductApplied(_xlpm.ChemicalCompound, _xlpm.ProductIngredient4, _xlpm.calculatedAmount4), 0) + IFERROR('Input - Fertiliser'!Fertiliser_InputFunctions.Fertiliser_SumProductApplied(_xlpm.ChemicalCompound, _xlpm.ProductIngredient5, _xlpm.calculatedAmount5), 0) + IFERROR('Input - Fertiliser'!Fertiliser_InputFunctions.Fertiliser_SumProductApplied(_xlpm.ChemicalCompound,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 + IFERROR('Input - Freight'!Fertiliser_InputFunctions.Fertiliser_SumProductApplied(_xlpm.ChemicalCompound, _xlpm.ProductIngredient4, _xlpm.calculatedAmount4), 0) + IFERROR('Input - Freight'!Fertiliser_InputFunctions.Fertiliser_SumProductApplied(_xlpm.ChemicalCompound, _xlpm.ProductIngredient5, _xlpm.calculatedAmount5), 0) + IFERROR('Input - Freight'!Fertiliser_InputFunctions.Fertiliser_SumProductApplied(_xlpm.ChemicalCompound,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 + IFERROR('Input - Livestock farm Inputs'!Fertiliser_InputFunctions.Fertiliser_SumProductApplied(_xlpm.ChemicalCompound, _xlpm.ProductIngredient4, _xlpm.calculatedAmount4), 0) + IFERROR('Input - Livestock farm Inputs'!Fertiliser_InputFunctions.Fertiliser_SumProductApplied(_xlpm.ChemicalCompound, _xlpm.ProductIngredient5, _xlpm.calculatedAmount5), 0) + IFERROR('Input - Livestock farm Inputs'!Fertiliser_InputFunctions.Fertiliser_SumProductApplied(_xlpm.ChemicalCompound,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 + IFERROR('Input - Manure sent off-site'!Fertiliser_InputFunctions.Fertiliser_SumProductApplied(_xlpm.ChemicalCompound, _xlpm.ProductIngredient4, _xlpm.calculatedAmount4), 0) + IFERROR('Input - Manure sent off-site'!Fertiliser_InputFunctions.Fertiliser_SumProductApplied(_xlpm.ChemicalCompound, _xlpm.ProductIngredient5, _xlpm.calculatedAmount5), 0) + IFERROR('Input - Manure sent off-site'!Fertiliser_InputFunctions.Fertiliser_SumProductApplied(_xlpm.ChemicalCompound,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'Input - Pasture'!Fertiliser_InputFunctions.Fertiliser_SumProductApplied(
      _xlpm.ChemicalCompound,
      _xlpm.ProductIngredient1,
      _xlpm.calculatedAmount1
    ) + IFERROR(
      'Input - Pasture'!Fertiliser_InputFunctions.Fertiliser_SumProductApplied(
        _xlpm.ChemicalCompound,
        _xlpm.ProductIngredient2,
        _xlpm.calculatedAmount2
      ),
      0
    ) + IFERROR(
      'Input - Pasture'!Fertiliser_InputFunctions.Fertiliser_SumProductApplied(
        _xlpm.ChemicalCompound,
        _xlpm.ProductIngredient3,
        _xlpm.calculatedAmount3
      ),
      0
    ) + IFERROR(
      'Input - Pasture'!Fertiliser_InputFunctions.Fertiliser_SumProductApplied(
        _xlpm.ChemicalCompound,
        _xlpm.ProductIngredient4,
        _xlpm.calculatedAmount4
      ),
      0
    ) + IFERROR(
      'Input - Pasture'!Fertiliser_InputFunctions.Fertiliser_SumProductApplied(
        _xlpm.ChemicalCompound,
        _xlpm.ProductIngredient5,
        _xlpm.calculatedAmount5
      ),
      0
    ) + IFERROR(
      'Input - Pasture'!Fertiliser_InputFunctions.Fertiliser_SumProductApplied(
        _xlpm.ChemicalCompound,
        _xlpm.ProductIngredient6,
        _xlpm.calculatedAmount6
      ),
      0
    )
  )
)</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3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'15 Scope 3'!Fertiliser_InputFunctions.Fertiliser_SumProductApplied(_xlpm.ChemicalCompound, _xlpm.ProductIngredient1, _xlpm.calculatedAmount1, _xlpm.Source, _xlpm.ProductIngredientSource) + IFERROR('15 Scope 3'!Fertiliser_InputFunctions.Fertiliser_SumProductApplied(_xlpm.ChemicalCompound, _xlpm.ProductIngredient2, _xlpm.calculatedAmount2, _xlpm.Source, _xlpm.ProductIngredientSource), 0) + IFERROR('15 Scope 3'!Fertiliser_InputFunctions.Fertiliser_SumProductApplied(_xlpm.ChemicalCompound, _xlpm.ProductIngredient3, _xlpm.calculatedAmount3, _xlpm.Source, _xlpm.ProductIngredientSource), 0) + IFERROR('15 Scope 3'!Fertiliser_InputFunctions.Fertiliser_SumProductApplied(_xlpm.ChemicalCompound, _xlpm.ProductIngredient4, _xlpm.calculatedAmount4, _xlpm.Source, _xlpm.ProductIngredientSource), 0) + IFERROR('15 Scope 3'!Fertiliser_InputFunctions.Fertiliser_SumProductApplied(_xlpm.ChemicalCompound, _xlpm.ProductIngredient5, _xlpm.calculatedAmount5, _xlpm.Source, _xlpm.ProductIngredientSource), 0) + IFERROR('15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'5.1.1.1-2 Inorganic fert N2O'!Fertiliser_InputFunctions.Fertiliser_SumProductApplied(_xlpm.ChemicalCompound, _xlpm.ProductIngredient1, _xlpm.calculatedAmount1, _xlpm.Source, _xlpm.ProductIngredientSource) + IFERROR('5.1.1.1-2 Inorganic fert N2O'!Fertiliser_InputFunctions.Fertiliser_SumProductApplied(_xlpm.ChemicalCompound, _xlpm.ProductIngredient2, _xlpm.calculatedAmount2, _xlpm.Source, _xlpm.ProductIngredientSource), 0) + IFERROR('5.1.1.1-2 Inorganic fert N2O'!Fertiliser_InputFunctions.Fertiliser_SumProductApplied(_xlpm.ChemicalCompound, _xlpm.ProductIngredient3, _xlpm.calculatedAmount3, _xlpm.Source, _xlpm.ProductIngredientSource), 0) + IFERROR('5.1.1.1-2 Inorganic fert N2O'!Fertiliser_InputFunctions.Fertiliser_SumProductApplied(_xlpm.ChemicalCompound, _xlpm.ProductIngredient4, _xlpm.calculatedAmount4, _xlpm.Source, _xlpm.ProductIngredientSource), 0) + IFERROR('5.1.1.1-2 Inorganic fert N2O'!Fertiliser_InputFunctions.Fertiliser_SumProductApplied(_xlpm.ChemicalCompound, _xlpm.ProductIngredient5, _xlpm.calculatedAmount5, _xlpm.Source, _xlpm.ProductIngredientSource), 0) + IFERROR('5.1.1.1-2 Inorganic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'5.1.1.3-4 Inorganic fert CO2'!Fertiliser_InputFunctions.Fertiliser_SumProductApplied(_xlpm.ChemicalCompound, _xlpm.ProductIngredient1, _xlpm.calculatedAmount1, _xlpm.Source, _xlpm.ProductIngredientSource) + IFERROR('5.1.1.3-4 Inorganic fert CO2'!Fertiliser_InputFunctions.Fertiliser_SumProductApplied(_xlpm.ChemicalCompound, _xlpm.ProductIngredient2, _xlpm.calculatedAmount2, _xlpm.Source, _xlpm.ProductIngredientSource), 0) + IFERROR('5.1.1.3-4 Inorganic fert CO2'!Fertiliser_InputFunctions.Fertiliser_SumProductApplied(_xlpm.ChemicalCompound, _xlpm.ProductIngredient3, _xlpm.calculatedAmount3, _xlpm.Source, _xlpm.ProductIngredientSource), 0) + IFERROR('5.1.1.3-4 Inorganic fert CO2'!Fertiliser_InputFunctions.Fertiliser_SumProductApplied(_xlpm.ChemicalCompound, _xlpm.ProductIngredient4, _xlpm.calculatedAmount4, _xlpm.Source, _xlpm.ProductIngredientSource), 0) + IFERROR('5.1.1.3-4 Inorganic fert CO2'!Fertiliser_InputFunctions.Fertiliser_SumProductApplied(_xlpm.ChemicalCompound, _xlpm.ProductIngredient5, _xlpm.calculatedAmount5, _xlpm.Source, _xlpm.ProductIngredientSource), 0) + IFERROR('5.1.1.3-4 Inorganic fert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'5.2.1.1-2 Organic Fert N2O'!Fertiliser_InputFunctions.Fertiliser_SumProductApplied(_xlpm.ChemicalCompound, _xlpm.ProductIngredient1, _xlpm.calculatedAmount1, _xlpm.Source, _xlpm.ProductIngredientSource) + IFERROR('5.2.1.1-2 Organic Fert N2O'!Fertiliser_InputFunctions.Fertiliser_SumProductApplied(_xlpm.ChemicalCompound, _xlpm.ProductIngredient2, _xlpm.calculatedAmount2, _xlpm.Source, _xlpm.ProductIngredientSource), 0) + IFERROR('5.2.1.1-2 Organic Fert N2O'!Fertiliser_InputFunctions.Fertiliser_SumProductApplied(_xlpm.ChemicalCompound, _xlpm.ProductIngredient3, _xlpm.calculatedAmount3, _xlpm.Source, _xlpm.ProductIngredientSource), 0) + IFERROR('5.2.1.1-2 Organic Fert N2O'!Fertiliser_InputFunctions.Fertiliser_SumProductApplied(_xlpm.ChemicalCompound, _xlpm.ProductIngredient4, _xlpm.calculatedAmount4, _xlpm.Source, _xlpm.ProductIngredientSource), 0) + IFERROR('5.2.1.1-2 Organic Fert N2O'!Fertiliser_InputFunctions.Fertiliser_SumProductApplied(_xlpm.ChemicalCompound, _xlpm.ProductIngredient5, _xlpm.calculatedAmount5, _xlpm.Source, _xlpm.ProductIngredientSource), 0) + IFERROR('5.2.1.1-2 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'5.3.1.1-2 Lime CO2'!Fertiliser_InputFunctions.Fertiliser_SumProductApplied(_xlpm.ChemicalCompound, _xlpm.ProductIngredient1, _xlpm.calculatedAmount1, _xlpm.Source, _xlpm.ProductIngredientSource) + IFERROR('5.3.1.1-2 Lime CO2'!Fertiliser_InputFunctions.Fertiliser_SumProductApplied(_xlpm.ChemicalCompound, _xlpm.ProductIngredient2, _xlpm.calculatedAmount2, _xlpm.Source, _xlpm.ProductIngredientSource), 0) + IFERROR('5.3.1.1-2 Lime CO2'!Fertiliser_InputFunctions.Fertiliser_SumProductApplied(_xlpm.ChemicalCompound, _xlpm.ProductIngredient3, _xlpm.calculatedAmount3, _xlpm.Source, _xlpm.ProductIngredientSource), 0) + IFERROR('5.3.1.1-2 Lime CO2'!Fertiliser_InputFunctions.Fertiliser_SumProductApplied(_xlpm.ChemicalCompound, _xlpm.ProductIngredient4, _xlpm.calculatedAmount4, _xlpm.Source, _xlpm.ProductIngredientSource), 0) + IFERROR('5.3.1.1-2 Lime CO2'!Fertiliser_InputFunctions.Fertiliser_SumProductApplied(_xlpm.ChemicalCompound, _xlpm.ProductIngredient5, _xlpm.calculatedAmount5, _xlpm.Source, _xlpm.ProductIngredientSource), 0) + IFERROR('5.3.1.1-2 Lime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'5.4.1.1-4 Atmos deposition'!Fertiliser_InputFunctions.Fertiliser_SumProductApplied(_xlpm.ChemicalCompound, _xlpm.ProductIngredient1, _xlpm.calculatedAmount1, _xlpm.Source, _xlpm.ProductIngredientSource) + IFERROR('5.4.1.1-4 Atmos deposition'!Fertiliser_InputFunctions.Fertiliser_SumProductApplied(_xlpm.ChemicalCompound, _xlpm.ProductIngredient2, _xlpm.calculatedAmount2, _xlpm.Source, _xlpm.ProductIngredientSource), 0) + IFERROR('5.4.1.1-4 Atmos deposition'!Fertiliser_InputFunctions.Fertiliser_SumProductApplied(_xlpm.ChemicalCompound, _xlpm.ProductIngredient3, _xlpm.calculatedAmount3, _xlpm.Source, _xlpm.ProductIngredientSource), 0) + IFERROR('5.4.1.1-4 Atmos deposition'!Fertiliser_InputFunctions.Fertiliser_SumProductApplied(_xlpm.ChemicalCompound, _xlpm.ProductIngredient4, _xlpm.calculatedAmount4, _xlpm.Source, _xlpm.ProductIngredientSource), 0) + IFERROR('5.4.1.1-4 Atmos deposition'!Fertiliser_InputFunctions.Fertiliser_SumProductApplied(_xlpm.ChemicalCompound, _xlpm.ProductIngredient5, _xlpm.calculatedAmount5, _xlpm.Source, _xlpm.ProductIngredientSource), 0) + IFERROR('5.4.1.1-4 Atmos deposition'!Fertiliser_InputFunctions.Fertiliser_SumProductApplied(_xlpm.ChemicalCompound,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'5.5.1.1-2 Leaching and runoff'!Fertiliser_InputFunctions.Fertiliser_SumProductApplied(_xlpm.ChemicalCompound, _xlpm.ProductIngredient1, _xlpm.calculatedAmount1, _xlpm.Source, _xlpm.ProductIngredientSource) + IFERROR('5.5.1.1-2 Leaching and runoff'!Fertiliser_InputFunctions.Fertiliser_SumProductApplied(_xlpm.ChemicalCompound, _xlpm.ProductIngredient2, _xlpm.calculatedAmount2, _xlpm.Source, _xlpm.ProductIngredientSource), 0) + IFERROR('5.5.1.1-2 Leaching and runoff'!Fertiliser_InputFunctions.Fertiliser_SumProductApplied(_xlpm.ChemicalCompound, _xlpm.ProductIngredient3, _xlpm.calculatedAmount3, _xlpm.Source, _xlpm.ProductIngredientSource), 0) + IFERROR('5.5.1.1-2 Leaching and runoff'!Fertiliser_InputFunctions.Fertiliser_SumProductApplied(_xlpm.ChemicalCompound, _xlpm.ProductIngredient4, _xlpm.calculatedAmount4, _xlpm.Source, _xlpm.ProductIngredientSource), 0) + IFERROR('5.5.1.1-2 Leaching and runoff'!Fertiliser_InputFunctions.Fertiliser_SumProductApplied(_xlpm.ChemicalCompound, _xlpm.ProductIngredient5, _xlpm.calculatedAmount5, _xlpm.Source, _xlpm.ProductIngredientSource), 0) + IFERROR('5.5.1.1-2 Leaching and runoff'!Fertiliser_InputFunctions.Fertiliser_SumProductApplied(_xlpm.ChemicalCompound,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'6.2.1.1-2 Pasture residue N2O'!Fertiliser_InputFunctions.Fertiliser_SumProductApplied(
      _xlpm.ChemicalCompound,
      _xlpm.ProductIngredient1,
      _xlpm.calculatedAmount1,
      _xlpm.Source,
      _xlpm.ProductIngredientSource
    ) + IFERROR(
      '6.2.1.1-2 Pasture residue N2O'!Fertiliser_InputFunctions.Fertiliser_SumProductApplied(
        _xlpm.ChemicalCompound,
        _xlpm.ProductIngredient2,
        _xlpm.calculatedAmount2,
        _xlpm.Source,
        _xlpm.ProductIngredientSource
      ),
      0
    ) + IFERROR(
      '6.2.1.1-2 Pasture residue N2O'!Fertiliser_InputFunctions.Fertiliser_SumProductApplied(
        _xlpm.ChemicalCompound,
        _xlpm.ProductIngredient3,
        _xlpm.calculatedAmount3,
        _xlpm.Source,
        _xlpm.ProductIngredientSource
      ),
      0
    ) + IFERROR(
      '6.2.1.1-2 Pasture residue N2O'!Fertiliser_InputFunctions.Fertiliser_SumProductApplied(
        _xlpm.ChemicalCompound,
        _xlpm.ProductIngredient4,
        _xlpm.calculatedAmount4,
        _xlpm.Source,
        _xlpm.ProductIngredientSource
      ),
      0
    ) + IFERROR(
      '6.2.1.1-2 Pasture residue N2O'!Fertiliser_InputFunctions.Fertiliser_SumProductApplied(
        _xlpm.ChemicalCompound,
        _xlpm.ProductIngredient5,
        _xlpm.calculatedAmount5,
        _xlpm.Source,
        _xlpm.ProductIngredientSource
      ),
      0
    ) + IFERROR(
      '6.2.1.1-2 Pasture residue N2O'!Fertiliser_InputFunctions.Fertiliser_SumProductApplied(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3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'6.3.1.1-2 Leach runoff pasture'!Fertiliser_InputFunctions.Fertiliser_SumProductApplied(
      _xlpm.ChemicalCompound,
      _xlpm.ProductIngredient1,
      _xlpm.calculatedAmount1,
      _xlpm.Source,
      _xlpm.ProductIngredientSource
    ) + IFERROR(
      '6.3.1.1-2 Leach runoff pasture'!Fertiliser_InputFunctions.Fertiliser_SumProductApplied(
        _xlpm.ChemicalCompound,
        _xlpm.ProductIngredient2,
        _xlpm.calculatedAmount2,
        _xlpm.Source,
        _xlpm.ProductIngredientSource
      ),
      0
    ) + IFERROR(
      '6.3.1.1-2 Leach runoff pasture'!Fertiliser_InputFunctions.Fertiliser_SumProductApplied(
        _xlpm.ChemicalCompound,
        _xlpm.ProductIngredient3,
        _xlpm.calculatedAmount3,
        _xlpm.Source,
        _xlpm.ProductIngredientSource
      ),
      0
    ) + IFERROR(
      '6.3.1.1-2 Leach runoff pasture'!Fertiliser_InputFunctions.Fertiliser_SumProductApplied(
        _xlpm.ChemicalCompound,
        _xlpm.ProductIngredient4,
        _xlpm.calculatedAmount4,
        _xlpm.Source,
        _xlpm.ProductIngredientSource
      ),
      0
    ) + IFERROR(
      '6.3.1.1-2 Leach runoff pasture'!Fertiliser_InputFunctions.Fertiliser_SumProductApplied(
        _xlpm.ChemicalCompound,
        _xlpm.ProductIngredient5,
        _xlpm.calculatedAmount5,
        _xlpm.Source,
        _xlpm.ProductIngredientSource
      ),
      0
    ) + IFERROR(
      '6.3.1.1-2 Leach runoff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'Calcs - Manure sent off-site'!Fertiliser_InputFunctions.Fertiliser_SumProductApplied(_xlpm.ChemicalCompound, _xlpm.ProductIngredient1, _xlpm.calculatedAmount1, _xlpm.Source, _xlpm.ProductIngredientSource) + IFERROR('Calcs - Manure sent off-site'!Fertiliser_InputFunctions.Fertiliser_SumProductApplied(_xlpm.ChemicalCompound, _xlpm.ProductIngredient2, _xlpm.calculatedAmount2, _xlpm.Source, _xlpm.ProductIngredientSource), 0) + IFERROR('Calcs - Manure sent off-site'!Fertiliser_InputFunctions.Fertiliser_SumProductApplied(_xlpm.ChemicalCompound, _xlpm.ProductIngredient3, _xlpm.calculatedAmount3, _xlpm.Source, _xlpm.ProductIngredientSource), 0) + IFERROR('Calcs - Manure sent off-site'!Fertiliser_InputFunctions.Fertiliser_SumProductApplied(_xlpm.ChemicalCompound, _xlpm.ProductIngredient4, _xlpm.calculatedAmount4, _xlpm.Source, _xlpm.ProductIngredientSource), 0) + IFERROR('Calcs - Manure sent off-site'!Fertiliser_InputFunctions.Fertiliser_SumProductApplied(_xlpm.ChemicalCompound, _xlpm.ProductIngredient5, _xlpm.calculatedAmount5, _xlpm.Source, _xlpm.ProductIngredientSource), 0) + IFERROR('Calcs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'Constants - Ag Residue'!Fertiliser_InputFunctions.Fertiliser_SumProductApplied(
      _xlpm.ChemicalCompound,
      _xlpm.ProductIngredient1,
      _xlpm.calculatedAmount1,
      _xlpm.Source,
      _xlpm.ProductIngredientSource
    ) + IFERROR(
      'Constants - Ag Residue'!Fertiliser_InputFunctions.Fertiliser_SumProductApplied(
        _xlpm.ChemicalCompound,
        _xlpm.ProductIngredient2,
        _xlpm.calculatedAmount2,
        _xlpm.Source,
        _xlpm.ProductIngredientSource
      ),
      0
    ) + IFERROR(
      'Constants - Ag Residue'!Fertiliser_InputFunctions.Fertiliser_SumProductApplied(
        _xlpm.ChemicalCompound,
        _xlpm.ProductIngredient3,
        _xlpm.calculatedAmount3,
        _xlpm.Source,
        _xlpm.ProductIngredientSource
      ),
      0
    ) + IFERROR(
      'Constants - Ag Residue'!Fertiliser_InputFunctions.Fertiliser_SumProductApplied(
        _xlpm.ChemicalCompound,
        _xlpm.ProductIngredient4,
        _xlpm.calculatedAmount4,
        _xlpm.Source,
        _xlpm.ProductIngredientSource
      ),
      0
    ) + IFERROR(
      'Constants - Ag Residue'!Fertiliser_InputFunctions.Fertiliser_SumProductApplied(
        _xlpm.ChemicalCompound,
        _xlpm.ProductIngredient5,
        _xlpm.calculatedAmount5,
        _xlpm.Source,
        _xlpm.ProductIngredientSource
      ),
      0
    ) + IFERROR(
      'Constants - Ag Residue'!Fertiliser_InputFunctions.Fertiliser_SumProductApplied(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Fertiliser'!Fertiliser_InputFunctions.Fertiliser_SumProductApplied(_xlpm.ChemicalCompound, _xlpm.ProductIngredient1, _xlpm.calculatedAmount1, _xlpm.Source, _xlpm.ProductIngredientSource) + IFERROR('Constants - Fertiliser'!Fertiliser_InputFunctions.Fertiliser_SumProductApplied(_xlpm.ChemicalCompound, _xlpm.ProductIngredient2, _xlpm.calculatedAmount2, _xlpm.Source, _xlpm.ProductIngredientSource), 0) + IFERROR('Constants - Fertiliser'!Fertiliser_InputFunctions.Fertiliser_SumProductApplied(_xlpm.ChemicalCompound, _xlpm.ProductIngredient3, _xlpm.calculatedAmount3, _xlpm.Source, _xlpm.ProductIngredientSource), 0) + IFERROR('Constants - Fertiliser'!Fertiliser_InputFunctions.Fertiliser_SumProductApplied(_xlpm.ChemicalCompound, _xlpm.ProductIngredient4, _xlpm.calculatedAmount4, _xlpm.Source, _xlpm.ProductIngredientSource), 0) + IFERROR('Constants - Fertiliser'!Fertiliser_InputFunctions.Fertiliser_SumProductApplied(_xlpm.ChemicalCompound, _xlpm.ProductIngredient5, _xlpm.calculatedAmount5, _xlpm.Source, _xlpm.ProductIngredientSource), 0) + IFERROR('Constants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Scope 3'!Fertiliser_InputFunctions.Fertiliser_SumProductApplied(_xlpm.ChemicalCompound, _xlpm.ProductIngredient1, _xlpm.calculatedAmount1, _xlpm.Source, _xlpm.ProductIngredientSource) + IFERROR('Constants - Scope 3'!Fertiliser_InputFunctions.Fertiliser_SumProductApplied(_xlpm.ChemicalCompound, _xlpm.ProductIngredient2, _xlpm.calculatedAmount2, _xlpm.Source, _xlpm.ProductIngredientSource), 0) + IFERROR('Constants - Scope 3'!Fertiliser_InputFunctions.Fertiliser_SumProductApplied(_xlpm.ChemicalCompound, _xlpm.ProductIngredient3, _xlpm.calculatedAmount3, _xlpm.Source, _xlpm.ProductIngredientSource), 0) + IFERROR('Constants - Scope 3'!Fertiliser_InputFunctions.Fertiliser_SumProductApplied(_xlpm.ChemicalCompound, _xlpm.ProductIngredient4, _xlpm.calculatedAmount4, _xlpm.Source, _xlpm.ProductIngredientSource), 0) + IFERROR('Constants - Scope 3'!Fertiliser_InputFunctions.Fertiliser_SumProductApplied(_xlpm.ChemicalCompound, _xlpm.ProductIngredient5, _xlpm.calculatedAmount5, _xlpm.Source, _xlpm.ProductIngredientSource), 0) + IFERROR('Constants -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Beef cattle purchases'!Fertiliser_InputFunctions.Fertiliser_SumProductApplied(_xlpm.ChemicalCompound, _xlpm.ProductIngredient1, _xlpm.calculatedAmount1, _xlpm.Source, _xlpm.ProductIngredientSource) + IFERROR('Input - Beef cattle purchases'!Fertiliser_InputFunctions.Fertiliser_SumProductApplied(_xlpm.ChemicalCompound, _xlpm.ProductIngredient2, _xlpm.calculatedAmount2, _xlpm.Source, _xlpm.ProductIngredientSource), 0) + IFERROR('Input - Beef cattle purchases'!Fertiliser_InputFunctions.Fertiliser_SumProductApplied(_xlpm.ChemicalCompound, _xlpm.ProductIngredient3, _xlpm.calculatedAmount3, _xlpm.Source, _xlpm.ProductIngredientSource), 0) + IFERROR('Input - Beef cattle purchases'!Fertiliser_InputFunctions.Fertiliser_SumProductApplied(_xlpm.ChemicalCompound, _xlpm.ProductIngredient4, _xlpm.calculatedAmount4, _xlpm.Source, _xlpm.ProductIngredientSource), 0) + IFERROR('Input - Beef cattle purchases'!Fertiliser_InputFunctions.Fertiliser_SumProductApplied(_xlpm.ChemicalCompound, _xlpm.ProductIngredient5, _xlpm.calculatedAmount5, _xlpm.Source, _xlpm.ProductIngredientSource), 0) + IFERROR('Input - Beef cattle purchases'!Fertiliser_InputFunctions.Fertiliser_SumProductApplied(_xlpm.ChemicalCompound,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Common farm inputs'!Fertiliser_InputFunctions.Fertiliser_SumProductApplied(_xlpm.ChemicalCompound, _xlpm.ProductIngredient1, _xlpm.calculatedAmount1, _xlpm.Source, _xlpm.ProductIngredientSource) + IFERROR('Input - Common farm inputs'!Fertiliser_InputFunctions.Fertiliser_SumProductApplied(_xlpm.ChemicalCompound, _xlpm.ProductIngredient2, _xlpm.calculatedAmount2, _xlpm.Source, _xlpm.ProductIngredientSource), 0) + IFERROR('Input - Common farm inputs'!Fertiliser_InputFunctions.Fertiliser_SumProductApplied(_xlpm.ChemicalCompound, _xlpm.ProductIngredient3, _xlpm.calculatedAmount3, _xlpm.Source, _xlpm.ProductIngredientSource), 0) + IFERROR('Input - Common farm inputs'!Fertiliser_InputFunctions.Fertiliser_SumProductApplied(_xlpm.ChemicalCompound, _xlpm.ProductIngredient4, _xlpm.calculatedAmount4, _xlpm.Source, _xlpm.ProductIngredientSource), 0) + IFERROR('Input - Common farm inputs'!Fertiliser_InputFunctions.Fertiliser_SumProductApplied(_xlpm.ChemicalCompound, _xlpm.ProductIngredient5, _xlpm.calculatedAmount5, _xlpm.Source, _xlpm.ProductIngredientSource), 0) + IFERROR('Input - Common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Crop pasture farm input'!Fertiliser_InputFunctions.Fertiliser_SumProductApplied(_xlpm.ChemicalCompound, _xlpm.ProductIngredient1, _xlpm.calculatedAmount1, _xlpm.Source, _xlpm.ProductIngredientSource) + IFERROR('Input - Crop pasture farm input'!Fertiliser_InputFunctions.Fertiliser_SumProductApplied(_xlpm.ChemicalCompound, _xlpm.ProductIngredient2, _xlpm.calculatedAmount2, _xlpm.Source, _xlpm.ProductIngredientSource), 0) + IFERROR('Input - Crop pasture farm input'!Fertiliser_InputFunctions.Fertiliser_SumProductApplied(_xlpm.ChemicalCompound, _xlpm.ProductIngredient3, _xlpm.calculatedAmount3, _xlpm.Source, _xlpm.ProductIngredientSource), 0) + IFERROR('Input - Crop pasture farm input'!Fertiliser_InputFunctions.Fertiliser_SumProductApplied(_xlpm.ChemicalCompound, _xlpm.ProductIngredient4, _xlpm.calculatedAmount4, _xlpm.Source, _xlpm.ProductIngredientSource), 0) + IFERROR('Input - Crop pasture farm input'!Fertiliser_InputFunctions.Fertiliser_SumProductApplied(_xlpm.ChemicalCompound, _xlpm.ProductIngredient5, _xlpm.calculatedAmount5, _xlpm.Source, _xlpm.ProductIngredientSource), 0) + IFERROR('Input - Crop pasture farm input'!Fertiliser_InputFunctions.Fertiliser_SumProductApplied(_xlpm.ChemicalCompound,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Fertiliser'!Fertiliser_InputFunctions.Fertiliser_SumProductApplied(_xlpm.ChemicalCompound, _xlpm.ProductIngredient1, _xlpm.calculatedAmount1, _xlpm.Source, _xlpm.ProductIngredientSource) + IFERROR('Input - Fertiliser'!Fertiliser_InputFunctions.Fertiliser_SumProductApplied(_xlpm.ChemicalCompound, _xlpm.ProductIngredient2, _xlpm.calculatedAmount2, _xlpm.Source, _xlpm.ProductIngredientSource), 0) + IFERROR('Input - Fertiliser'!Fertiliser_InputFunctions.Fertiliser_SumProductApplied(_xlpm.ChemicalCompound, _xlpm.ProductIngredient3, _xlpm.calculatedAmount3, _xlpm.Source, _xlpm.ProductIngredientSource), 0) + IFERROR('Input - Fertiliser'!Fertiliser_InputFunctions.Fertiliser_SumProductApplied(_xlpm.ChemicalCompound, _xlpm.ProductIngredient4, _xlpm.calculatedAmount4, _xlpm.Source, _xlpm.ProductIngredientSource), 0) + IFERROR('Input - Fertiliser'!Fertiliser_InputFunctions.Fertiliser_SumProductApplied(_xlpm.ChemicalCompound, _xlpm.ProductIngredient5, _xlpm.calculatedAmount5, _xlpm.Source, _xlpm.ProductIngredientSource), 0) + IFERROR('Input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Freight'!Fertiliser_InputFunctions.Fertiliser_SumProductApplied(_xlpm.ChemicalCompound, _xlpm.ProductIngredient1, _xlpm.calculatedAmount1, _xlpm.Source, _xlpm.ProductIngredientSource) + IFERROR('Input - Freight'!Fertiliser_InputFunctions.Fertiliser_SumProductApplied(_xlpm.ChemicalCompound, _xlpm.ProductIngredient2, _xlpm.calculatedAmount2, _xlpm.Source, _xlpm.ProductIngredientSource), 0) + IFERROR('Input - Freight'!Fertiliser_InputFunctions.Fertiliser_SumProductApplied(_xlpm.ChemicalCompound, _xlpm.ProductIngredient3, _xlpm.calculatedAmount3, _xlpm.Source, _xlpm.ProductIngredientSource), 0) + IFERROR('Input - Freight'!Fertiliser_InputFunctions.Fertiliser_SumProductApplied(_xlpm.ChemicalCompound, _xlpm.ProductIngredient4, _xlpm.calculatedAmount4, _xlpm.Source, _xlpm.ProductIngredientSource), 0) + IFERROR('Input - Freight'!Fertiliser_InputFunctions.Fertiliser_SumProductApplied(_xlpm.ChemicalCompound, _xlpm.ProductIngredient5, _xlpm.calculatedAmount5, _xlpm.Source, _xlpm.ProductIngredientSource), 0) + IFERROR('Input - Freight'!Fertiliser_InputFunctions.Fertiliser_SumProductApplied(_xlpm.ChemicalCompound,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Livestock farm Inputs'!Fertiliser_InputFunctions.Fertiliser_SumProductApplied(_xlpm.ChemicalCompound, _xlpm.ProductIngredient1, _xlpm.calculatedAmount1, _xlpm.Source, _xlpm.ProductIngredientSource) + IFERROR('Input - Livestock farm Inputs'!Fertiliser_InputFunctions.Fertiliser_SumProductApplied(_xlpm.ChemicalCompound, _xlpm.ProductIngredient2, _xlpm.calculatedAmount2, _xlpm.Source, _xlpm.ProductIngredientSource), 0) + IFERROR('Input - Livestock farm Inputs'!Fertiliser_InputFunctions.Fertiliser_SumProductApplied(_xlpm.ChemicalCompound, _xlpm.ProductIngredient3, _xlpm.calculatedAmount3, _xlpm.Source, _xlpm.ProductIngredientSource), 0) + IFERROR('Input - Livestock farm Inputs'!Fertiliser_InputFunctions.Fertiliser_SumProductApplied(_xlpm.ChemicalCompound, _xlpm.ProductIngredient4, _xlpm.calculatedAmount4, _xlpm.Source, _xlpm.ProductIngredientSource), 0) + IFERROR('Input - Livestock farm Inputs'!Fertiliser_InputFunctions.Fertiliser_SumProductApplied(_xlpm.ChemicalCompound, _xlpm.ProductIngredient5, _xlpm.calculatedAmount5, _xlpm.Source, _xlpm.ProductIngredientSource), 0) + IFERROR('Input - Livestock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Manure sent off-site'!Fertiliser_InputFunctions.Fertiliser_SumProductApplied(_xlpm.ChemicalCompound, _xlpm.ProductIngredient1, _xlpm.calculatedAmount1, _xlpm.Source, _xlpm.ProductIngredientSource) + IFERROR('Input - Manure sent off-site'!Fertiliser_InputFunctions.Fertiliser_SumProductApplied(_xlpm.ChemicalCompound, _xlpm.ProductIngredient2, _xlpm.calculatedAmount2, _xlpm.Source, _xlpm.ProductIngredientSource), 0) + IFERROR('Input - Manure sent off-site'!Fertiliser_InputFunctions.Fertiliser_SumProductApplied(_xlpm.ChemicalCompound, _xlpm.ProductIngredient3, _xlpm.calculatedAmount3, _xlpm.Source, _xlpm.ProductIngredientSource), 0) + IFERROR('Input - Manure sent off-site'!Fertiliser_InputFunctions.Fertiliser_SumProductApplied(_xlpm.ChemicalCompound, _xlpm.ProductIngredient4, _xlpm.calculatedAmount4, _xlpm.Source, _xlpm.ProductIngredientSource), 0) + IFERROR('Input - Manure sent off-site'!Fertiliser_InputFunctions.Fertiliser_SumProductApplied(_xlpm.ChemicalCompound, _xlpm.ProductIngredient5, _xlpm.calculatedAmount5, _xlpm.Source, _xlpm.ProductIngredientSource), 0) + IFERROR('Input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'Input - Pasture'!Fertiliser_InputFunctions.Fertiliser_SumProductApplied(
      _xlpm.ChemicalCompound,
      _xlpm.ProductIngredient1,
      _xlpm.calculatedAmount1,
      _xlpm.Source,
      _xlpm.ProductIngredientSource
    ) + IFERROR(
      'Input - Pasture'!Fertiliser_InputFunctions.Fertiliser_SumProductApplied(
        _xlpm.ChemicalCompound,
        _xlpm.ProductIngredient2,
        _xlpm.calculatedAmount2,
        _xlpm.Source,
        _xlpm.ProductIngredientSource
      ),
      0
    ) + IFERROR(
      'Input - Pasture'!Fertiliser_InputFunctions.Fertiliser_SumProductApplied(
        _xlpm.ChemicalCompound,
        _xlpm.ProductIngredient3,
        _xlpm.calculatedAmount3,
        _xlpm.Source,
        _xlpm.ProductIngredientSource
      ),
      0
    ) + IFERROR(
      'Input - Pasture'!Fertiliser_InputFunctions.Fertiliser_SumProductApplied(
        _xlpm.ChemicalCompound,
        _xlpm.ProductIngredient4,
        _xlpm.calculatedAmount4,
        _xlpm.Source,
        _xlpm.ProductIngredientSource
      ),
      0
    ) + IFERROR(
      'Input - Pasture'!Fertiliser_InputFunctions.Fertiliser_SumProductApplied(
        _xlpm.ChemicalCompound,
        _xlpm.ProductIngredient5,
        _xlpm.calculatedAmount5,
        _xlpm.Source,
        _xlpm.ProductIngredientSource
      ),
      0
    ) + IFERROR(
      'Input -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 localSheetId="37">_xlfn.LAMBDA(("Table A.2.2.6: Fraction of inorganic fertiliser f that volatilises as NH3 and NOx ((kg NH3-N + NOx-N)/kg N) (FracGASFf)"))</definedName>
    <definedName name="Fertiliser_SourceData.Fertiliser_FracGASF_Source" localSheetId="25">_xlfn.LAMBDA(("Table A.2.2.6: Fraction of inorganic fertiliser f that volatilises as NH3 and NOx ((kg NH3-N + NOx-N)/kg N) (FracGASFf)"))</definedName>
    <definedName name="Fertiliser_SourceData.Fertiliser_FracGASF_Source" localSheetId="26">_xlfn.LAMBDA(("Table A.2.2.6: Fraction of inorganic fertiliser f that volatilises as NH3 and NOx ((kg NH3-N + NOx-N)/kg N) (FracGASFf)"))</definedName>
    <definedName name="Fertiliser_SourceData.Fertiliser_FracGASF_Source" localSheetId="27">_xlfn.LAMBDA(("Table A.2.2.6: Fraction of inorganic fertiliser f that volatilises as NH3 and NOx ((kg NH3-N + NOx-N)/kg N) (FracGASFf)"))</definedName>
    <definedName name="Fertiliser_SourceData.Fertiliser_FracGASF_Source" localSheetId="28">_xlfn.LAMBDA(("Table A.2.2.6: Fraction of inorganic fertiliser f that volatilises as NH3 and NOx ((kg NH3-N + NOx-N)/kg N) (FracGASFf)"))</definedName>
    <definedName name="Fertiliser_SourceData.Fertiliser_FracGASF_Source" localSheetId="29">_xlfn.LAMBDA(("Table A.2.2.6: Fraction of inorganic fertiliser f that volatilises as NH3 and NOx ((kg NH3-N + NOx-N)/kg N) (FracGASFf)"))</definedName>
    <definedName name="Fertiliser_SourceData.Fertiliser_FracGASF_Source" localSheetId="30">_xlfn.LAMBDA(("Table A.2.2.6: Fraction of inorganic fertiliser f that volatilises as NH3 and NOx ((kg NH3-N + NOx-N)/kg N) (FracGASFf)"))</definedName>
    <definedName name="Fertiliser_SourceData.Fertiliser_FracGASF_Source" localSheetId="38">_xlfn.LAMBDA(("Table A.2.2.6: Fraction of inorganic fertiliser f that volatilises as NH3 and NOx ((kg NH3-N + NOx-N)/kg N) (FracGASFf)"))</definedName>
    <definedName name="Fertiliser_SourceData.Fertiliser_FracGASF_Source" localSheetId="43">_xlfn.LAMBDA(("Table A.2.2.6: Fraction of inorganic fertiliser f that volatilises as NH3 and NOx ((kg NH3-N + NOx-N)/kg N) (FracGASFf)"))</definedName>
    <definedName name="Fertiliser_SourceData.Fertiliser_FracGASF_Source" localSheetId="45">_xlfn.LAMBDA(("Table A.2.2.6: Fraction of inorganic fertiliser f that volatilises as NH3 and NOx ((kg NH3-N + NOx-N)/kg N) (FracGASFf)"))</definedName>
    <definedName name="Fertiliser_SourceData.Fertiliser_FracGASF_Source" localSheetId="7">_xlfn.LAMBDA(("Table A.2.2.6: Fraction of inorganic fertiliser f that volatilises as NH3 and NOx ((kg NH3-N + NOx-N)/kg N) (FracGASFf)"))</definedName>
    <definedName name="Fertiliser_SourceData.Fertiliser_FracGASF_Source" localSheetId="13">_xlfn.LAMBDA(("Table A.2.2.6: Fraction of inorganic fertiliser f that volatilises as NH3 and NOx ((kg NH3-N + NOx-N)/kg N) (FracGASFf)"))</definedName>
    <definedName name="Fertiliser_SourceData.Fertiliser_FracGASF_Source" localSheetId="14">_xlfn.LAMBDA(("Table A.2.2.6: Fraction of inorganic fertiliser f that volatilises as NH3 and NOx ((kg NH3-N + NOx-N)/kg N) (FracGASFf)"))</definedName>
    <definedName name="Fertiliser_SourceData.Fertiliser_FracGASF_Source" localSheetId="10">_xlfn.LAMBDA(("Table A.2.2.6: Fraction of inorganic fertiliser f that volatilises as NH3 and NOx ((kg NH3-N + NOx-N)/kg N) (FracGASFf)"))</definedName>
    <definedName name="Fertiliser_SourceData.Fertiliser_FracGASF_Source" localSheetId="16">_xlfn.LAMBDA(("Table A.2.2.6: Fraction of inorganic fertiliser f that volatilises as NH3 and NOx ((kg NH3-N + NOx-N)/kg N) (FracGASFf)"))</definedName>
    <definedName name="Fertiliser_SourceData.Fertiliser_FracGASF_Source" localSheetId="15">_xlfn.LAMBDA(("Table A.2.2.6: Fraction of inorganic fertiliser f that volatilises as NH3 and NOx ((kg NH3-N + NOx-N)/kg N) (FracGASFf)"))</definedName>
    <definedName name="Fertiliser_SourceData.Fertiliser_FracGASF_Source" localSheetId="18">_xlfn.LAMBDA(("Table A.2.2.6: Fraction of inorganic fertiliser f that volatilises as NH3 and NOx ((kg NH3-N + NOx-N)/kg N) (FracGASFf)"))</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3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6">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9">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30">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3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43">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4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3">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4">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0">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6">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 localSheetId="3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6">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9">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30">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3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43">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4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3">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4">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0">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6">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 localSheetId="3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6">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9">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30">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3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4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4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4">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0">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6">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 localSheetId="3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6">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9">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30">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3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43">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4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3">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0">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6">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37">_xlfn.LAMBDA(_xlpm.Q_Transtq,_xlpm.EC_Transq,_xlpm.EF_Trans1tqg, [0]!Fuel_Equations.VEERG_8_FuelCombustion(_xlpm.Q_Transtq, _xlpm.EC_Transq, _xlpm.EF_Trans1tqg))</definedName>
    <definedName name="Fuel_Equations.VEERG_8_1_1_1__1_FuelCombustionTransport" localSheetId="21">_xlfn.LAMBDA(_xlpm.Q_Transtq,_xlpm.EC_Transq,_xlpm.EF_Trans1tqg, [0]!Fuel_Equations.VEERG_8_FuelCombustion(_xlpm.Q_Transtq, _xlpm.EC_Transq, _xlpm.EF_Trans1tqg))</definedName>
    <definedName name="Fuel_Equations.VEERG_8_1_1_1__1_FuelCombustionTransport" localSheetId="22">_xlfn.LAMBDA(_xlpm.Q_Transtq,_xlpm.EC_Transq,_xlpm.EF_Trans1tqg, [0]!Fuel_Equations.VEERG_8_FuelCombustion(_xlpm.Q_Transtq, _xlpm.EC_Transq, _xlpm.EF_Trans1tqg))</definedName>
    <definedName name="Fuel_Equations.VEERG_8_1_1_1__1_FuelCombustionTransport" localSheetId="23">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33">_xlfn.LAMBDA(_xlpm.Q_Transtq,_xlpm.EC_Transq,_xlpm.EF_Trans1tqg, [0]!Fuel_Equations.VEERG_8_FuelCombustion(_xlpm.Q_Transtq, _xlpm.EC_Transq, _xlpm.EF_Trans1tqg))</definedName>
    <definedName name="Fuel_Equations.VEERG_8_1_1_1__1_FuelCombustionTransport" localSheetId="34">_xlfn.LAMBDA(_xlpm.Q_Transtq,_xlpm.EC_Transq,_xlpm.EF_Trans1tqg, [0]!Fuel_Equations.VEERG_8_FuelCombustion(_xlpm.Q_Transtq, _xlpm.EC_Transq, _xlpm.EF_Trans1tqg))</definedName>
    <definedName name="Fuel_Equations.VEERG_8_1_1_1__1_FuelCombustionTransport" localSheetId="48">_xlfn.LAMBDA(_xlpm.Q_Transtq,_xlpm.EC_Transq,_xlpm.EF_Trans1tqg, [0]!Fuel_Equations.VEERG_8_FuelCombustion(_xlpm.Q_Transtq, _xlpm.EC_Transq, _xlpm.EF_Trans1tqg))</definedName>
    <definedName name="Fuel_Equations.VEERG_8_1_1_1__1_FuelCombustionTransport" localSheetId="38">_xlfn.LAMBDA(_xlpm.Q_Transtq,_xlpm.EC_Transq,_xlpm.EF_Trans1tqg, [0]!Fuel_Equations.VEERG_8_FuelCombustion(_xlpm.Q_Transtq, _xlpm.EC_Transq, _xlpm.EF_Trans1tqg))</definedName>
    <definedName name="Fuel_Equations.VEERG_8_1_1_1__1_FuelCombustionTransport" localSheetId="41">_xlfn.LAMBDA(_xlpm.Q_Transtq,_xlpm.EC_Transq,_xlpm.EF_Trans1tqg, [0]!Fuel_Equations.VEERG_8_FuelCombustion(_xlpm.Q_Transtq, _xlpm.EC_Transq, _xlpm.EF_Trans1tqg))</definedName>
    <definedName name="Fuel_Equations.VEERG_8_1_1_1__1_FuelCombustionTransport" localSheetId="44">_xlfn.LAMBDA(_xlpm.Q_Transtq,_xlpm.EC_Transq,_xlpm.EF_Trans1tqg, [0]!Fuel_Equations.VEERG_8_FuelCombustion(_xlpm.Q_Transtq, _xlpm.EC_Transq, _xlpm.EF_Trans1tqg))</definedName>
    <definedName name="Fuel_Equations.VEERG_8_1_1_1__1_FuelCombustionTransport" localSheetId="39">_xlfn.LAMBDA(_xlpm.Q_Transtq,_xlpm.EC_Transq,_xlpm.EF_Trans1tqg, [0]!Fuel_Equations.VEERG_8_FuelCombustion(_xlpm.Q_Transtq, _xlpm.EC_Transq, _xlpm.EF_Trans1tqg))</definedName>
    <definedName name="Fuel_Equations.VEERG_8_1_1_1__1_FuelCombustionTransport" localSheetId="45">_xlfn.LAMBDA(_xlpm.Q_Transtq,_xlpm.EC_Transq,_xlpm.EF_Trans1tqg, [0]!Fuel_Equations.VEERG_8_FuelCombustion(_xlpm.Q_Transtq, _xlpm.EC_Transq, _xlpm.EF_Trans1tqg))</definedName>
    <definedName name="Fuel_Equations.VEERG_8_1_1_1__1_FuelCombustionTransport" localSheetId="7">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16">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5">_xlfn.LAMBDA(_xlpm.Q_Transtq,_xlpm.EC_Transq,_xlpm.EF_Trans1tqg, [0]!Fuel_Equations.VEERG_8_FuelCombustion(_xlpm.Q_Transtq, _xlpm.EC_Transq, _xlpm.EF_Trans1tqg))</definedName>
    <definedName name="Fuel_Equations.VEERG_8_1_1_1__1_FuelCombustionTransport" localSheetId="18">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37">_xlfn.LAMBDA(_xlpm.Q_SCq,_xlpm.EC_SCq,_xlpm.EF_SC1qg, [0]!Fuel_Equations.VEERG_8_FuelCombustion(_xlpm.Q_SCq, _xlpm.EC_SCq, _xlpm.EF_SC1qg))</definedName>
    <definedName name="Fuel_Equations.VEERG_8_2_1_1__1_FuelCombustionStationary" localSheetId="21">_xlfn.LAMBDA(_xlpm.Q_SCq,_xlpm.EC_SCq,_xlpm.EF_SC1qg, [0]!Fuel_Equations.VEERG_8_FuelCombustion(_xlpm.Q_SCq, _xlpm.EC_SCq, _xlpm.EF_SC1qg))</definedName>
    <definedName name="Fuel_Equations.VEERG_8_2_1_1__1_FuelCombustionStationary" localSheetId="22">_xlfn.LAMBDA(_xlpm.Q_SCq,_xlpm.EC_SCq,_xlpm.EF_SC1qg, [0]!Fuel_Equations.VEERG_8_FuelCombustion(_xlpm.Q_SCq, _xlpm.EC_SCq, _xlpm.EF_SC1qg))</definedName>
    <definedName name="Fuel_Equations.VEERG_8_2_1_1__1_FuelCombustionStationary" localSheetId="23">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33">_xlfn.LAMBDA(_xlpm.Q_SCq,_xlpm.EC_SCq,_xlpm.EF_SC1qg, [0]!Fuel_Equations.VEERG_8_FuelCombustion(_xlpm.Q_SCq, _xlpm.EC_SCq, _xlpm.EF_SC1qg))</definedName>
    <definedName name="Fuel_Equations.VEERG_8_2_1_1__1_FuelCombustionStationary" localSheetId="34">_xlfn.LAMBDA(_xlpm.Q_SCq,_xlpm.EC_SCq,_xlpm.EF_SC1qg, [0]!Fuel_Equations.VEERG_8_FuelCombustion(_xlpm.Q_SCq, _xlpm.EC_SCq, _xlpm.EF_SC1qg))</definedName>
    <definedName name="Fuel_Equations.VEERG_8_2_1_1__1_FuelCombustionStationary" localSheetId="48">_xlfn.LAMBDA(_xlpm.Q_SCq,_xlpm.EC_SCq,_xlpm.EF_SC1qg, [0]!Fuel_Equations.VEERG_8_FuelCombustion(_xlpm.Q_SCq, _xlpm.EC_SCq, _xlpm.EF_SC1qg))</definedName>
    <definedName name="Fuel_Equations.VEERG_8_2_1_1__1_FuelCombustionStationary" localSheetId="38">_xlfn.LAMBDA(_xlpm.Q_SCq,_xlpm.EC_SCq,_xlpm.EF_SC1qg, [0]!Fuel_Equations.VEERG_8_FuelCombustion(_xlpm.Q_SCq, _xlpm.EC_SCq, _xlpm.EF_SC1qg))</definedName>
    <definedName name="Fuel_Equations.VEERG_8_2_1_1__1_FuelCombustionStationary" localSheetId="41">_xlfn.LAMBDA(_xlpm.Q_SCq,_xlpm.EC_SCq,_xlpm.EF_SC1qg, [0]!Fuel_Equations.VEERG_8_FuelCombustion(_xlpm.Q_SCq, _xlpm.EC_SCq, _xlpm.EF_SC1qg))</definedName>
    <definedName name="Fuel_Equations.VEERG_8_2_1_1__1_FuelCombustionStationary" localSheetId="44">_xlfn.LAMBDA(_xlpm.Q_SCq,_xlpm.EC_SCq,_xlpm.EF_SC1qg, [0]!Fuel_Equations.VEERG_8_FuelCombustion(_xlpm.Q_SCq, _xlpm.EC_SCq, _xlpm.EF_SC1qg))</definedName>
    <definedName name="Fuel_Equations.VEERG_8_2_1_1__1_FuelCombustionStationary" localSheetId="39">_xlfn.LAMBDA(_xlpm.Q_SCq,_xlpm.EC_SCq,_xlpm.EF_SC1qg, [0]!Fuel_Equations.VEERG_8_FuelCombustion(_xlpm.Q_SCq, _xlpm.EC_SCq, _xlpm.EF_SC1qg))</definedName>
    <definedName name="Fuel_Equations.VEERG_8_2_1_1__1_FuelCombustionStationary" localSheetId="45">_xlfn.LAMBDA(_xlpm.Q_SCq,_xlpm.EC_SCq,_xlpm.EF_SC1qg, [0]!Fuel_Equations.VEERG_8_FuelCombustion(_xlpm.Q_SCq, _xlpm.EC_SCq, _xlpm.EF_SC1qg))</definedName>
    <definedName name="Fuel_Equations.VEERG_8_2_1_1__1_FuelCombustionStationary" localSheetId="7">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16">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5">_xlfn.LAMBDA(_xlpm.Q_SCq,_xlpm.EC_SCq,_xlpm.EF_SC1qg, [0]!Fuel_Equations.VEERG_8_FuelCombustion(_xlpm.Q_SCq, _xlpm.EC_SCq, _xlpm.EF_SC1qg))</definedName>
    <definedName name="Fuel_Equations.VEERG_8_2_1_1__1_FuelCombustionStationary" localSheetId="18">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33">_xlfn.LAMBDA(_xlpm.Cell,
    RIGHT(_xlpm.Cell,LEN(_xlpm.Cell)-FIND(", ",_xlpm.Cell))
)</definedName>
    <definedName name="Fuel_InputFunctions.Fuel_GetStationaryFuelString" localSheetId="34">_xlfn.LAMBDA(_xlpm.Cell,
    RIGHT(_xlpm.Cell,LEN(_xlpm.Cell)-FIND(", ",_xlpm.Cell))
)</definedName>
    <definedName name="Fuel_InputFunctions.Fuel_GetStationaryFuelString" localSheetId="44">_xlfn.LAMBDA(_xlpm.Cell,
    RIGHT(_xlpm.Cell,LEN(_xlpm.Cell)-FIND(", ",_xlpm.Cell))
)</definedName>
    <definedName name="Fuel_InputFunctions.Fuel_GetStationaryFuelString" localSheetId="11">_xlfn.LAMBDA(_xlpm.Cell,
    RIGHT(_xlpm.Cell,LEN(_xlpm.Cell)-FIND(", ",_xlpm.Cell))
)</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 localSheetId="37">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8">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4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45">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7">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6">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1">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5">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8">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 localSheetId="37">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8">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4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45">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7">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6">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1">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5">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8">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 localSheetId="37">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8">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4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45">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7">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6">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1">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5">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8">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 localSheetId="37">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8">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4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45">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7">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6">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1">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5">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8">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 localSheetId="37">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8">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4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45">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7">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6">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1">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5">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8">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 localSheetId="20">'3.2.1.1-2 Enteric Methane'!$D$114:$N$118</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 localSheetId="32">'6.3.1.1-2 Leach runoff pasture'!$N$44:$O$46</definedName>
    <definedName name="M1_Table_E_N2O">'5.1.1.1-2 Inorganic fert N2O'!$D$59:$E$78</definedName>
    <definedName name="M1_Table_E_N2O_Consumer_1" localSheetId="32">'6.3.1.1-2 Leach runoff pasture'!$D$44:$E$46</definedName>
    <definedName name="M1_Table_I_j_k_l" localSheetId="20">'3.2.1.1-2 Enteric Methane'!$D$63:$N$67</definedName>
    <definedName name="M1_Table_I_j_k_l">'4.2.1.1-2 Methane'!$D$83:$N$87</definedName>
    <definedName name="M1_Table_I_j_k_l_Consumer_1">'4.2.1.3-4 Soil direct N20'!$D$53:$N$57</definedName>
    <definedName name="M1_Table_L_j_k_l">'4.2.1.3-4 Soil direct N20'!$D$61:$N$65</definedName>
    <definedName name="M1_Table_LC_j_k45" localSheetId="20">'3.2.1.1-2 Enteric Methane'!$D$20:$G$21</definedName>
    <definedName name="M1_Table_LC_j_k45">'4.2.1.1-2 Methane'!$D$21:$H$25</definedName>
    <definedName name="M1_Table_LC_j_k45_Consumer_1">'4.2.1.3-4 Soil direct N20'!$D$86:$G$87</definedName>
    <definedName name="M1_Table_LWG_j_k_l" localSheetId="20">'3.2.1.1-2 Enteric Methane'!$D$55:$N$59</definedName>
    <definedName name="M1_Table_LWG_j_k_l">'4.2.1.3-4 Soil direct N20'!$D$118:$N$122</definedName>
    <definedName name="M1_Table_LWG_j_k_l_Consumer_1">'4.2.1.1-2 Methane'!$D$67:$N$71</definedName>
    <definedName name="M1_Table_M_j_k_l">'3.2.1.1-2 Enteric Methane'!$D$84:$N$88</definedName>
    <definedName name="M1_Table_M_j_k_l_m">'4.2.1.1-2 Methane'!$D$176:$O$184</definedName>
    <definedName name="M1_Table_M_leach_cp" localSheetId="32">'6.3.1.1-2 Leach runoff pasture'!$D$23:$I$25</definedName>
    <definedName name="M1_Table_MA_j_k45" localSheetId="20">'3.2.1.1-2 Enteric Methane'!$D$25:$P$29</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 localSheetId="20">'3.2.1.1-2 Enteric Methane'!$D$106:$N$110</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 localSheetId="20">'3.2.1.1-2 Enteric Methane'!$D$47:$N$51</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 localSheetId="20">'3.2.1.1-2 Enteric Methane'!$U$132:$AE$144</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N2O'!$M$10:$W$25</definedName>
    <definedName name="M2_Table_I_j_k_l" localSheetId="20">'3.2.1.1-2 Enteric Methane'!$U$75:$AE$87</definedName>
    <definedName name="M2_Table_I_j_k_l">'4.2.1.1-2 Methane'!$W$75:$AG$87</definedName>
    <definedName name="M2_Table_I_j_k_l_Consumer_1">'4.2.1.3-4 Soil direct N20'!$U$55:$AE$67</definedName>
    <definedName name="M2_Table_L_j_k_l">'4.2.1.3-4 Soil direct N20'!$U$71:$AE$83</definedName>
    <definedName name="M2_Table_LC_j_k45" localSheetId="20">'3.2.1.1-2 Enteric Methane'!$U$21:$X$23</definedName>
    <definedName name="M2_Table_LC_j_k45">'4.2.1.3-4 Soil direct N20'!$U$91:$X$93</definedName>
    <definedName name="M2_Table_LC_j_k45_Consumer_1">'4.2.1.1-2 Methane'!$W$21:$Z$23</definedName>
    <definedName name="M2_Table_LW_j_k_l">'4.2.1.3-4 Soil direct N20'!$U$19:$AE$31</definedName>
    <definedName name="M2_Table_LWG_j_k_l" localSheetId="20">'3.2.1.1-2 Enteric Methane'!$U$59:$AE$71</definedName>
    <definedName name="M2_Table_LWG_j_k_l">'4.2.1.3-4 Soil direct N20'!$U$119:$AE$131</definedName>
    <definedName name="M2_Table_LWG_j_k_l_Consumer_1">'4.2.1.1-2 Methane'!$W$59:$AG$71</definedName>
    <definedName name="M2_Table_M_j_k_l">'3.2.1.1-2 Enteric Methane'!$U$96:$AE$108</definedName>
    <definedName name="M2_Table_M_j_k_l_m">'4.2.1.1-2 Methane'!$W$176:$AH$200</definedName>
    <definedName name="M2_Table_M_leach_cp" localSheetId="32">'6.3.1.1-2 Leach runoff pasture'!$N$23:$S$23</definedName>
    <definedName name="M2_Table_MA_j_k45" localSheetId="20">'3.2.1.1-2 Enteric Methane'!$U$27:$AG$39</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 localSheetId="20">'3.2.1.1-2 Enteric Methane'!$U$116:$AE$128</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 localSheetId="20">'3.2.1.1-2 Enteric Methane'!$U$43:$AE$55</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 localSheetId="3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38">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4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3">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4">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6">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8">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 localSheetId="3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38">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4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3">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4">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6">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8">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Enterprise'!$E$73</definedName>
    <definedName name="Result_EmissionsForWholeProductionCycle_Method1">'Input - Enterprise'!$E$60</definedName>
    <definedName name="Result_EmissionsForWholeProductionCycle_Method2">'Input - Enterprise'!$F$60</definedName>
    <definedName name="Result_Enterprise_Gross_Method1">'Results - Activity period'!$E$67</definedName>
    <definedName name="Result_Enterprise_Gross_Method2">'Results - Activity period'!$F$67</definedName>
    <definedName name="Result_Enterprise_Net_Method1">'Results - Activity period'!$E$68</definedName>
    <definedName name="Result_Enterprise_Net_Method2">'Results - Activity period'!$F$68</definedName>
    <definedName name="Result_Enterprise_Removals">'Results - Activity period'!$E$61</definedName>
    <definedName name="Result_Enterprise_Scope1_Method1">'Results - Activity period'!$H$28</definedName>
    <definedName name="Result_Enterprise_Scope1_Method2">'Results - Activity period'!$I$28</definedName>
    <definedName name="Result_Enterprise_Scope2_Method1">'Results - Activity period'!$H$35</definedName>
    <definedName name="Result_Enterprise_Scope2_Method2">'Results - Activity period'!$I$35</definedName>
    <definedName name="Result_Enterprise_Scope3_Method1">'Results - Activity period'!$H$56</definedName>
    <definedName name="Result_Enterprise_Scope3_Method2">'Results - Activity period'!$I$56</definedName>
    <definedName name="Result_NetEmissions_Method1">'Results - Product EI'!$E$37</definedName>
    <definedName name="Result_NetEmissions_Method2">'Results - Product EI'!$F$37</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33">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34">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44">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11">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33">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34">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44">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11">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 localSheetId="33">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34">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44">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11">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 localSheetId="33">_xlfn.LAMBDA(_xlpm.E_N2O,_xlpm.E_ad,_xlpm.E_leach,
    _xlpm.E_N2O + _xlpm.E_ad + _xlpm.E_leach
  )</definedName>
    <definedName name="Scope3_Equations.VEERG_15_13_1_3__1_EmissionsFromSolidWasteTreatmentFacility" localSheetId="34">_xlfn.LAMBDA(_xlpm.E_N2O,_xlpm.E_ad,_xlpm.E_leach,
    _xlpm.E_N2O + _xlpm.E_ad + _xlpm.E_leach
  )</definedName>
    <definedName name="Scope3_Equations.VEERG_15_13_1_3__1_EmissionsFromSolidWasteTreatmentFacility" localSheetId="44">_xlfn.LAMBDA(_xlpm.E_N2O,_xlpm.E_ad,_xlpm.E_leach,
    _xlpm.E_N2O + _xlpm.E_ad + _xlpm.E_leach
  )</definedName>
    <definedName name="Scope3_Equations.VEERG_15_13_1_3__1_EmissionsFromSolidWasteTreatmentFacility" localSheetId="11">_xlfn.LAMBDA(_xlpm.E_N2O,_xlpm.E_ad,_xlpm.E_leach,
    _xlpm.E_N2O + _xlpm.E_ad + _xlpm.E_leach
  )</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 localSheetId="37">_xlfn.LAMBDA(0.24)</definedName>
    <definedName name="SourceData_Dairy.SourceData_Dairy_FractionOfNitrogenLostThroughLeachingAndRunoff_Data" localSheetId="38">_xlfn.LAMBDA(0.24)</definedName>
    <definedName name="SourceData_Dairy.SourceData_Dairy_FractionOfNitrogenLostThroughLeachingAndRunoff_Data" localSheetId="45">_xlfn.LAMBDA(0.24)</definedName>
    <definedName name="SourceData_Dairy.SourceData_Dairy_FractionOfNitrogenLostThroughLeachingAndRunoff_Data" localSheetId="7">_xlfn.LAMBDA(0.24)</definedName>
    <definedName name="SourceData_Dairy.SourceData_Dairy_FractionOfNitrogenLostThroughLeachingAndRunoff_Data" localSheetId="13">_xlfn.LAMBDA(0.24)</definedName>
    <definedName name="SourceData_Dairy.SourceData_Dairy_FractionOfNitrogenLostThroughLeachingAndRunoff_Data" localSheetId="14">_xlfn.LAMBDA(0.24)</definedName>
    <definedName name="SourceData_Dairy.SourceData_Dairy_FractionOfNitrogenLostThroughLeachingAndRunoff_Data" localSheetId="16">_xlfn.LAMBDA(0.24)</definedName>
    <definedName name="SourceData_Dairy.SourceData_Dairy_FractionOfNitrogenLostThroughLeachingAndRunoff_Data" localSheetId="15">_xlfn.LAMBDA(0.24)</definedName>
    <definedName name="SourceData_Dairy.SourceData_Dairy_FractionOfNitrogenLostThroughLeachingAndRunoff_Data" localSheetId="18">_xlfn.LAMBDA(0.24)</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 localSheetId="37">_xlfn.LAMBDA("Default fraction of N that is lost through leaching and runoff when manure is excreted to pasture, range and paddock (m=14).")</definedName>
    <definedName name="SourceData_Dairy.SourceData_Dairy_FractionOfNitrogenLostThroughLeachingAndRunoff_Title" localSheetId="38">_xlfn.LAMBDA("Default fraction of N that is lost through leaching and runoff when manure is excreted to pasture, range and paddock (m=14).")</definedName>
    <definedName name="SourceData_Dairy.SourceData_Dairy_FractionOfNitrogenLostThroughLeachingAndRunoff_Title" localSheetId="45">_xlfn.LAMBDA("Default fraction of N that is lost through leaching and runoff when manure is excreted to pasture, range and paddock (m=14).")</definedName>
    <definedName name="SourceData_Dairy.SourceData_Dairy_FractionOfNitrogenLostThroughLeachingAndRunoff_Title" localSheetId="7">_xlfn.LAMBDA("Default fraction of N that is lost through leaching and runoff when manure is excreted to pasture, range and paddock (m=14).")</definedName>
    <definedName name="SourceData_Dairy.SourceData_Dairy_FractionOfNitrogenLostThroughLeachingAndRunoff_Title" localSheetId="13">_xlfn.LAMBDA("Default fraction of N that is lost through leaching and runoff when manure is excreted to pasture, range and paddock (m=14).")</definedName>
    <definedName name="SourceData_Dairy.SourceData_Dairy_FractionOfNitrogenLostThroughLeachingAndRunoff_Title" localSheetId="14">_xlfn.LAMBDA("Default fraction of N that is lost through leaching and runoff when manure is excreted to pasture, range and paddock (m=14).")</definedName>
    <definedName name="SourceData_Dairy.SourceData_Dairy_FractionOfNitrogenLostThroughLeachingAndRunoff_Title" localSheetId="16">_xlfn.LAMBDA("Default fraction of N that is lost through leaching and runoff when manure is excreted to pasture, range and paddock (m=14).")</definedName>
    <definedName name="SourceData_Dairy.SourceData_Dairy_FractionOfNitrogenLostThroughLeachingAndRunoff_Title" localSheetId="15">_xlfn.LAMBDA("Default fraction of N that is lost through leaching and runoff when manure is excreted to pasture, range and paddock (m=14).")</definedName>
    <definedName name="SourceData_Dairy.SourceData_Dairy_FractionOfNitrogenLostThroughLeachingAndRunoff_Title" localSheetId="18">_xlfn.LAMBDA("Default fraction of N that is lost through leaching and runoff when manure is excreted to pasture, range and paddock (m=14).")</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 localSheetId="37">_xlfn.LAMBDA("Fraction")</definedName>
    <definedName name="SourceData_Dairy.SourceData_Dairy_FractionOfNitrogenLostThroughLeachingAndRunoff_Unit" localSheetId="38">_xlfn.LAMBDA("Fraction")</definedName>
    <definedName name="SourceData_Dairy.SourceData_Dairy_FractionOfNitrogenLostThroughLeachingAndRunoff_Unit" localSheetId="45">_xlfn.LAMBDA("Fraction")</definedName>
    <definedName name="SourceData_Dairy.SourceData_Dairy_FractionOfNitrogenLostThroughLeachingAndRunoff_Unit" localSheetId="7">_xlfn.LAMBDA("Fraction")</definedName>
    <definedName name="SourceData_Dairy.SourceData_Dairy_FractionOfNitrogenLostThroughLeachingAndRunoff_Unit" localSheetId="13">_xlfn.LAMBDA("Fraction")</definedName>
    <definedName name="SourceData_Dairy.SourceData_Dairy_FractionOfNitrogenLostThroughLeachingAndRunoff_Unit" localSheetId="14">_xlfn.LAMBDA("Fraction")</definedName>
    <definedName name="SourceData_Dairy.SourceData_Dairy_FractionOfNitrogenLostThroughLeachingAndRunoff_Unit" localSheetId="16">_xlfn.LAMBDA("Fraction")</definedName>
    <definedName name="SourceData_Dairy.SourceData_Dairy_FractionOfNitrogenLostThroughLeachingAndRunoff_Unit" localSheetId="15">_xlfn.LAMBDA("Fraction")</definedName>
    <definedName name="SourceData_Dairy.SourceData_Dairy_FractionOfNitrogenLostThroughLeachingAndRunoff_Unit" localSheetId="18">_xlfn.LAMBDA("Fraction")</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 localSheetId="37">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38">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45">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7">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3">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4">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6">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5">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8">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 localSheetId="37">_xlfn.LAMBDA(
    _xlfn.MAKEARRAY(3, 2,
      _xlfn.LAMBDA(_xlpm.r,_xlpm.c,
        INDEX({"Animal Class j","MRj";"Milking cows, and house cows",1.1;"All other cattle classes",1}, _xlpm.r, _xlpm.c)
      )
    )
  )</definedName>
    <definedName name="SourceData_Dairy.SourceData_Dairy_IncreasedMetabolicRateMilk_Data" localSheetId="38">_xlfn.LAMBDA(
    _xlfn.MAKEARRAY(3, 2,
      _xlfn.LAMBDA(_xlpm.r,_xlpm.c,
        INDEX({"Animal Class j","MRj";"Milking cows, and house cows",1.1;"All other cattle classes",1}, _xlpm.r, _xlpm.c)
      )
    )
  )</definedName>
    <definedName name="SourceData_Dairy.SourceData_Dairy_IncreasedMetabolicRateMilk_Data" localSheetId="45">_xlfn.LAMBDA(
    _xlfn.MAKEARRAY(3, 2,
      _xlfn.LAMBDA(_xlpm.r,_xlpm.c,
        INDEX({"Animal Class j","MRj";"Milking cows, and house cows",1.1;"All other cattle classes",1}, _xlpm.r, _xlpm.c)
      )
    )
  )</definedName>
    <definedName name="SourceData_Dairy.SourceData_Dairy_IncreasedMetabolicRateMilk_Data" localSheetId="7">_xlfn.LAMBDA(
    _xlfn.MAKEARRAY(3, 2,
      _xlfn.LAMBDA(_xlpm.r,_xlpm.c,
        INDEX({"Animal Class j","MRj";"Milking cows, and house cows",1.1;"All other cattle classes",1}, _xlpm.r, _xlpm.c)
      )
    )
  )</definedName>
    <definedName name="SourceData_Dairy.SourceData_Dairy_IncreasedMetabolicRateMilk_Data" localSheetId="13">_xlfn.LAMBDA(
    _xlfn.MAKEARRAY(3, 2,
      _xlfn.LAMBDA(_xlpm.r,_xlpm.c,
        INDEX({"Animal Class j","MRj";"Milking cows, and house cows",1.1;"All other cattle classes",1}, _xlpm.r, _xlpm.c)
      )
    )
  )</definedName>
    <definedName name="SourceData_Dairy.SourceData_Dairy_IncreasedMetabolicRateMilk_Data" localSheetId="14">_xlfn.LAMBDA(
    _xlfn.MAKEARRAY(3, 2,
      _xlfn.LAMBDA(_xlpm.r,_xlpm.c,
        INDEX({"Animal Class j","MRj";"Milking cows, and house cows",1.1;"All other cattle classes",1}, _xlpm.r, _xlpm.c)
      )
    )
  )</definedName>
    <definedName name="SourceData_Dairy.SourceData_Dairy_IncreasedMetabolicRateMilk_Data" localSheetId="16">_xlfn.LAMBDA(
    _xlfn.MAKEARRAY(3, 2,
      _xlfn.LAMBDA(_xlpm.r,_xlpm.c,
        INDEX({"Animal Class j","MRj";"Milking cows, and house cows",1.1;"All other cattle classes",1}, _xlpm.r, _xlpm.c)
      )
    )
  )</definedName>
    <definedName name="SourceData_Dairy.SourceData_Dairy_IncreasedMetabolicRateMilk_Data" localSheetId="15">_xlfn.LAMBDA(
    _xlfn.MAKEARRAY(3, 2,
      _xlfn.LAMBDA(_xlpm.r,_xlpm.c,
        INDEX({"Animal Class j","MRj";"Milking cows, and house cows",1.1;"All other cattle classes",1}, _xlpm.r, _xlpm.c)
      )
    )
  )</definedName>
    <definedName name="SourceData_Dairy.SourceData_Dairy_IncreasedMetabolicRateMilk_Data" localSheetId="18">_xlfn.LAMBDA(
    _xlfn.MAKEARRAY(3, 2,
      _xlfn.LAMBDA(_xlpm.r,_xlpm.c,
        INDEX({"Animal Class j","MRj";"Milking cows, and house cows",1.1;"All other cattle classes",1}, _xlpm.r, _xlpm.c)
      )
    )
  )</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 localSheetId="37">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38">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45">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7">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3">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4">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6">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5">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8">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 localSheetId="3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38">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4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3">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4">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6">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8">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 localSheetId="37">_xlfn.LAMBDA(
    _xlfn.MAKEARRAY(5, 2,
      _xlfn.LAMBDA(_xlpm.r,_xlpm.c,
        INDEX({"Livestock Class j","Average Liveweight (kg)";"Chicken",1.3;"Hen &gt;/=1 yr",2;"Pullets",1.4;"Broilers",1.2}, _xlpm.r, _xlpm.c)
      )
    )
  )</definedName>
    <definedName name="SourceData_Poultry.SourceData_Poultry_Liveweights_Data" localSheetId="38">_xlfn.LAMBDA(
    _xlfn.MAKEARRAY(5, 2,
      _xlfn.LAMBDA(_xlpm.r,_xlpm.c,
        INDEX({"Livestock Class j","Average Liveweight (kg)";"Chicken",1.3;"Hen &gt;/=1 yr",2;"Pullets",1.4;"Broilers",1.2}, _xlpm.r, _xlpm.c)
      )
    )
  )</definedName>
    <definedName name="SourceData_Poultry.SourceData_Poultry_Liveweights_Data" localSheetId="45">_xlfn.LAMBDA(
    _xlfn.MAKEARRAY(5, 2,
      _xlfn.LAMBDA(_xlpm.r,_xlpm.c,
        INDEX({"Livestock Class j","Average Liveweight (kg)";"Chicken",1.3;"Hen &gt;/=1 yr",2;"Pullets",1.4;"Broilers",1.2}, _xlpm.r, _xlpm.c)
      )
    )
  )</definedName>
    <definedName name="SourceData_Poultry.SourceData_Poultry_Liveweights_Data" localSheetId="7">_xlfn.LAMBDA(
    _xlfn.MAKEARRAY(5, 2,
      _xlfn.LAMBDA(_xlpm.r,_xlpm.c,
        INDEX({"Livestock Class j","Average Liveweight (kg)";"Chicken",1.3;"Hen &gt;/=1 yr",2;"Pullets",1.4;"Broilers",1.2}, _xlpm.r, _xlpm.c)
      )
    )
  )</definedName>
    <definedName name="SourceData_Poultry.SourceData_Poultry_Liveweights_Data" localSheetId="13">_xlfn.LAMBDA(
    _xlfn.MAKEARRAY(5, 2,
      _xlfn.LAMBDA(_xlpm.r,_xlpm.c,
        INDEX({"Livestock Class j","Average Liveweight (kg)";"Chicken",1.3;"Hen &gt;/=1 yr",2;"Pullets",1.4;"Broilers",1.2}, _xlpm.r, _xlpm.c)
      )
    )
  )</definedName>
    <definedName name="SourceData_Poultry.SourceData_Poultry_Liveweights_Data" localSheetId="14">_xlfn.LAMBDA(
    _xlfn.MAKEARRAY(5, 2,
      _xlfn.LAMBDA(_xlpm.r,_xlpm.c,
        INDEX({"Livestock Class j","Average Liveweight (kg)";"Chicken",1.3;"Hen &gt;/=1 yr",2;"Pullets",1.4;"Broilers",1.2}, _xlpm.r, _xlpm.c)
      )
    )
  )</definedName>
    <definedName name="SourceData_Poultry.SourceData_Poultry_Liveweights_Data" localSheetId="16">_xlfn.LAMBDA(
    _xlfn.MAKEARRAY(5, 2,
      _xlfn.LAMBDA(_xlpm.r,_xlpm.c,
        INDEX({"Livestock Class j","Average Liveweight (kg)";"Chicken",1.3;"Hen &gt;/=1 yr",2;"Pullets",1.4;"Broilers",1.2}, _xlpm.r, _xlpm.c)
      )
    )
  )</definedName>
    <definedName name="SourceData_Poultry.SourceData_Poultry_Liveweights_Data" localSheetId="15">_xlfn.LAMBDA(
    _xlfn.MAKEARRAY(5, 2,
      _xlfn.LAMBDA(_xlpm.r,_xlpm.c,
        INDEX({"Livestock Class j","Average Liveweight (kg)";"Chicken",1.3;"Hen &gt;/=1 yr",2;"Pullets",1.4;"Broilers",1.2}, _xlpm.r, _xlpm.c)
      )
    )
  )</definedName>
    <definedName name="SourceData_Poultry.SourceData_Poultry_Liveweights_Data" localSheetId="18">_xlfn.LAMBDA(
    _xlfn.MAKEARRAY(5, 2,
      _xlfn.LAMBDA(_xlpm.r,_xlpm.c,
        INDEX({"Livestock Class j","Average Liveweight (kg)";"Chicken",1.3;"Hen &gt;/=1 yr",2;"Pullets",1.4;"Broilers",1.2}, _xlpm.r, _xlpm.c)
      )
    )
  )</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 localSheetId="37">_xlfn.LAMBDA(
    _xlfn.MAKEARRAY(5, 2,
      _xlfn.LAMBDA(_xlpm.r,_xlpm.c,
        INDEX({"Class","Ij";"Boars",2.62;"Sows",2.3;"Gilts",2.5;"Others",1.71}, _xlpm.r, _xlpm.c)
      )
    )
  )</definedName>
    <definedName name="SourceData_Swine.SourceData_Swine_FeedIntake_Data" localSheetId="38">_xlfn.LAMBDA(
    _xlfn.MAKEARRAY(5, 2,
      _xlfn.LAMBDA(_xlpm.r,_xlpm.c,
        INDEX({"Class","Ij";"Boars",2.62;"Sows",2.3;"Gilts",2.5;"Others",1.71}, _xlpm.r, _xlpm.c)
      )
    )
  )</definedName>
    <definedName name="SourceData_Swine.SourceData_Swine_FeedIntake_Data" localSheetId="45">_xlfn.LAMBDA(
    _xlfn.MAKEARRAY(5, 2,
      _xlfn.LAMBDA(_xlpm.r,_xlpm.c,
        INDEX({"Class","Ij";"Boars",2.62;"Sows",2.3;"Gilts",2.5;"Others",1.71}, _xlpm.r, _xlpm.c)
      )
    )
  )</definedName>
    <definedName name="SourceData_Swine.SourceData_Swine_FeedIntake_Data" localSheetId="7">_xlfn.LAMBDA(
    _xlfn.MAKEARRAY(5, 2,
      _xlfn.LAMBDA(_xlpm.r,_xlpm.c,
        INDEX({"Class","Ij";"Boars",2.62;"Sows",2.3;"Gilts",2.5;"Others",1.71}, _xlpm.r, _xlpm.c)
      )
    )
  )</definedName>
    <definedName name="SourceData_Swine.SourceData_Swine_FeedIntake_Data" localSheetId="13">_xlfn.LAMBDA(
    _xlfn.MAKEARRAY(5, 2,
      _xlfn.LAMBDA(_xlpm.r,_xlpm.c,
        INDEX({"Class","Ij";"Boars",2.62;"Sows",2.3;"Gilts",2.5;"Others",1.71}, _xlpm.r, _xlpm.c)
      )
    )
  )</definedName>
    <definedName name="SourceData_Swine.SourceData_Swine_FeedIntake_Data" localSheetId="14">_xlfn.LAMBDA(
    _xlfn.MAKEARRAY(5, 2,
      _xlfn.LAMBDA(_xlpm.r,_xlpm.c,
        INDEX({"Class","Ij";"Boars",2.62;"Sows",2.3;"Gilts",2.5;"Others",1.71}, _xlpm.r, _xlpm.c)
      )
    )
  )</definedName>
    <definedName name="SourceData_Swine.SourceData_Swine_FeedIntake_Data" localSheetId="16">_xlfn.LAMBDA(
    _xlfn.MAKEARRAY(5, 2,
      _xlfn.LAMBDA(_xlpm.r,_xlpm.c,
        INDEX({"Class","Ij";"Boars",2.62;"Sows",2.3;"Gilts",2.5;"Others",1.71}, _xlpm.r, _xlpm.c)
      )
    )
  )</definedName>
    <definedName name="SourceData_Swine.SourceData_Swine_FeedIntake_Data" localSheetId="15">_xlfn.LAMBDA(
    _xlfn.MAKEARRAY(5, 2,
      _xlfn.LAMBDA(_xlpm.r,_xlpm.c,
        INDEX({"Class","Ij";"Boars",2.62;"Sows",2.3;"Gilts",2.5;"Others",1.71}, _xlpm.r, _xlpm.c)
      )
    )
  )</definedName>
    <definedName name="SourceData_Swine.SourceData_Swine_FeedIntake_Data" localSheetId="18">_xlfn.LAMBDA(
    _xlfn.MAKEARRAY(5, 2,
      _xlfn.LAMBDA(_xlpm.r,_xlpm.c,
        INDEX({"Class","Ij";"Boars",2.62;"Sows",2.3;"Gilts",2.5;"Others",1.71}, _xlpm.r, _xlpm.c)
      )
    )
  )</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 localSheetId="37">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38">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45">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7">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3">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4">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6">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5">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8">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 localSheetId="37">_xlfn.LAMBDA(
    _xlfn.MAKEARRAY(5, 2,
      _xlfn.LAMBDA(_xlpm.r,_xlpm.c,
        INDEX({"Class","VSj";"Boars",0.4;"Sows",0.46;"Gilts",0.55;"Others",0.39}, _xlpm.r, _xlpm.c)
      )
    )
  )</definedName>
    <definedName name="SourceData_Swine.SourceData_Swine_VolatileSolids_Data" localSheetId="38">_xlfn.LAMBDA(
    _xlfn.MAKEARRAY(5, 2,
      _xlfn.LAMBDA(_xlpm.r,_xlpm.c,
        INDEX({"Class","VSj";"Boars",0.4;"Sows",0.46;"Gilts",0.55;"Others",0.39}, _xlpm.r, _xlpm.c)
      )
    )
  )</definedName>
    <definedName name="SourceData_Swine.SourceData_Swine_VolatileSolids_Data" localSheetId="45">_xlfn.LAMBDA(
    _xlfn.MAKEARRAY(5, 2,
      _xlfn.LAMBDA(_xlpm.r,_xlpm.c,
        INDEX({"Class","VSj";"Boars",0.4;"Sows",0.46;"Gilts",0.55;"Others",0.39}, _xlpm.r, _xlpm.c)
      )
    )
  )</definedName>
    <definedName name="SourceData_Swine.SourceData_Swine_VolatileSolids_Data" localSheetId="7">_xlfn.LAMBDA(
    _xlfn.MAKEARRAY(5, 2,
      _xlfn.LAMBDA(_xlpm.r,_xlpm.c,
        INDEX({"Class","VSj";"Boars",0.4;"Sows",0.46;"Gilts",0.55;"Others",0.39}, _xlpm.r, _xlpm.c)
      )
    )
  )</definedName>
    <definedName name="SourceData_Swine.SourceData_Swine_VolatileSolids_Data" localSheetId="13">_xlfn.LAMBDA(
    _xlfn.MAKEARRAY(5, 2,
      _xlfn.LAMBDA(_xlpm.r,_xlpm.c,
        INDEX({"Class","VSj";"Boars",0.4;"Sows",0.46;"Gilts",0.55;"Others",0.39}, _xlpm.r, _xlpm.c)
      )
    )
  )</definedName>
    <definedName name="SourceData_Swine.SourceData_Swine_VolatileSolids_Data" localSheetId="14">_xlfn.LAMBDA(
    _xlfn.MAKEARRAY(5, 2,
      _xlfn.LAMBDA(_xlpm.r,_xlpm.c,
        INDEX({"Class","VSj";"Boars",0.4;"Sows",0.46;"Gilts",0.55;"Others",0.39}, _xlpm.r, _xlpm.c)
      )
    )
  )</definedName>
    <definedName name="SourceData_Swine.SourceData_Swine_VolatileSolids_Data" localSheetId="16">_xlfn.LAMBDA(
    _xlfn.MAKEARRAY(5, 2,
      _xlfn.LAMBDA(_xlpm.r,_xlpm.c,
        INDEX({"Class","VSj";"Boars",0.4;"Sows",0.46;"Gilts",0.55;"Others",0.39}, _xlpm.r, _xlpm.c)
      )
    )
  )</definedName>
    <definedName name="SourceData_Swine.SourceData_Swine_VolatileSolids_Data" localSheetId="15">_xlfn.LAMBDA(
    _xlfn.MAKEARRAY(5, 2,
      _xlfn.LAMBDA(_xlpm.r,_xlpm.c,
        INDEX({"Class","VSj";"Boars",0.4;"Sows",0.46;"Gilts",0.55;"Others",0.39}, _xlpm.r, _xlpm.c)
      )
    )
  )</definedName>
    <definedName name="SourceData_Swine.SourceData_Swine_VolatileSolids_Data" localSheetId="18">_xlfn.LAMBDA(
    _xlfn.MAKEARRAY(5, 2,
      _xlfn.LAMBDA(_xlpm.r,_xlpm.c,
        INDEX({"Class","VSj";"Boars",0.4;"Sows",0.46;"Gilts",0.55;"Others",0.39}, _xlpm.r, _xlpm.c)
      )
    )
  )</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2_1_1__1_TotalAnnualMethaneFromEntericFermentation_Result_Method1">'3.2.1.1-2 Enteric Methane'!$E$128</definedName>
    <definedName name="VEERG_3_2_1_1__1_TotalAnnualMethaneFromEntericFermentation_Result_Method2">'3.2.1.1-2 Enteric Methane'!$V$162</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 localSheetId="37">'Calcs - Manure sent off-site'!$E$55</definedName>
    <definedName name="VEERG_5_4_1_3__1_OrganicFertiliserAtmosphericDepositionN2OEmissions_Result_Method1" localSheetId="38">'Calcs - Manure sent off-site'!$E$55</definedName>
    <definedName name="VEERG_5_4_1_3__1_OrganicFertiliserAtmosphericDepositionN2OEmissions_Result_Method1" localSheetId="45">'Calcs - Manure sent off-site'!$E$55</definedName>
    <definedName name="VEERG_5_4_1_3__1_OrganicFertiliserAtmosphericDepositionN2OEmissions_Result_Method1" localSheetId="7">'Calcs - Manure sent off-site'!$E$55</definedName>
    <definedName name="VEERG_5_4_1_3__1_OrganicFertiliserAtmosphericDepositionN2OEmissions_Result_Method1" localSheetId="13">'Calcs - Manure sent off-site'!$E$55</definedName>
    <definedName name="VEERG_5_4_1_3__1_OrganicFertiliserAtmosphericDepositionN2OEmissions_Result_Method1" localSheetId="14">'Calcs - Manure sent off-site'!$E$55</definedName>
    <definedName name="VEERG_5_4_1_3__1_OrganicFertiliserAtmosphericDepositionN2OEmissions_Result_Method1" localSheetId="16">'Calcs - Manure sent off-site'!$E$55</definedName>
    <definedName name="VEERG_5_4_1_3__1_OrganicFertiliserAtmosphericDepositionN2OEmissions_Result_Method1" localSheetId="15">'Calcs - Manure sent off-site'!$E$55</definedName>
    <definedName name="VEERG_5_4_1_3__1_OrganicFertiliserAtmosphericDepositionN2OEmissions_Result_Method1" localSheetId="18">'Calcs - Manure sent off-site'!$E$55</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 localSheetId="37">'Calcs - Manure sent off-site'!$E$90</definedName>
    <definedName name="VEERG_5_5_1_1__1_FertiliserLeachingAndRunoffN2OEmissions_Result_Method1" localSheetId="38">'Calcs - Manure sent off-site'!$E$90</definedName>
    <definedName name="VEERG_5_5_1_1__1_FertiliserLeachingAndRunoffN2OEmissions_Result_Method1" localSheetId="45">'Calcs - Manure sent off-site'!$E$90</definedName>
    <definedName name="VEERG_5_5_1_1__1_FertiliserLeachingAndRunoffN2OEmissions_Result_Method1" localSheetId="7">'Calcs - Manure sent off-site'!$E$90</definedName>
    <definedName name="VEERG_5_5_1_1__1_FertiliserLeachingAndRunoffN2OEmissions_Result_Method1" localSheetId="13">'Calcs - Manure sent off-site'!$E$90</definedName>
    <definedName name="VEERG_5_5_1_1__1_FertiliserLeachingAndRunoffN2OEmissions_Result_Method1" localSheetId="14">'Calcs - Manure sent off-site'!$E$90</definedName>
    <definedName name="VEERG_5_5_1_1__1_FertiliserLeachingAndRunoffN2OEmissions_Result_Method1" localSheetId="16">'Calcs - Manure sent off-site'!$E$90</definedName>
    <definedName name="VEERG_5_5_1_1__1_FertiliserLeachingAndRunoffN2OEmissions_Result_Method1" localSheetId="15">'Calcs - Manure sent off-site'!$E$90</definedName>
    <definedName name="VEERG_5_5_1_1__1_FertiliserLeachingAndRunoffN2OEmissions_Result_Method1" localSheetId="18">'Calcs - Manure sent off-site'!$E$90</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32">'6.3.1.1-2 Leach runoff pasture'!$E$48</definedName>
    <definedName name="VEERG_6_3_1_1__1__LeachingAndRunoffEmissionsCropAndPastureResidue_Result_Method2" localSheetId="32">'6.3.1.1-2 Leach runoff pasture'!$O$48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 localSheetId="3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8">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6">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3">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4">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6">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8">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_xlfn.LAMBDA(
  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
)))</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 localSheetId="3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8">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6">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3">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4">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6">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8">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_xlfn.LAMBDA(
  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
)))</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prise_LiveweightGrown_Method1">'Input - Enterprise'!$E$23</definedName>
    <definedName name="X_Cell_Enteprise_LiveweightGrown_Method2">'Input - Enterprise'!$E$24</definedName>
    <definedName name="X_Cell_Enteprise_ManureProduced_Method1">'Input - Enterprise'!$E$25</definedName>
    <definedName name="X_Cell_Enteprise_ManureProduced_Method2">'Input - Enterprise'!$E$26</definedName>
    <definedName name="X_Cell_Enteprise_PercentIncomeFromLiveweight">'Input - Enterprise'!$E$31</definedName>
    <definedName name="X_Cell_Enteprise_PercentIncomeFromManure">'Input - Enterprise'!$E$32</definedName>
    <definedName name="X_Cell_Enteprise_PercentManureAppliedAsFertiliserOwnFarm">'Input - Enterprise'!$E$28</definedName>
    <definedName name="X_Cell_Enteprise_PercentManureAppliedAsWaste">'Input - Enterprise'!$E$29</definedName>
    <definedName name="X_Cell_Enteprise_PercentManureSold">'Input - Enterprise'!$E$27</definedName>
    <definedName name="X_Cell_Enterprise_LiveweightSold">'Input - Enterprise'!$E$22</definedName>
    <definedName name="X_Cell_Enterprise_ProductionTimeframeEnd">'Input - Enterprise'!$E$19</definedName>
    <definedName name="X_Cell_Enterprise_ProductionTimeframeLength">'Input - Enterprise'!$E$20</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'Input - Pasture Beef'!$E$9</definedName>
    <definedName name="X_Cell_PastureBeef_CalculatedMMSAnaerobicLagoon">'Input - Pasture Beef'!$E$153</definedName>
    <definedName name="X_Cell_PastureBeef_CalculatedMMSPastureRangeAndPaddock">'Input - Pasture Beef'!$E$152</definedName>
    <definedName name="X_Cell_PastureBeef_FencedWater">'Input - Pasture Beef'!$E$149</definedName>
    <definedName name="X_Cell_PastureBeef_GrazingIrrigationMethod">'Input - Pasture Beef'!$E$157</definedName>
    <definedName name="X_Cell_PastureBeef_GrazingProductionSystem">'Input - Pasture Beef'!$E$156</definedName>
    <definedName name="X_Cell_PastureBeef_ProductionRegion">'Input - Pasture Beef'!$E$8</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ResultsTable_ActivityPeriod_Scope1">'Results - Activity period'!$D$8:$J$34</definedName>
    <definedName name="X_Table_PastureBeef_CrudeProtein_Method1">'Input - Pasture Beef'!$D$126:$N$130</definedName>
    <definedName name="X_Table_PastureBeef_CrudeProtein_Method2">'Input - Pasture Beef'!$D$132:$N$144</definedName>
    <definedName name="X_Table_PastureBeef_DryMatterDigestibility_Method1">'Input - Pasture Beef'!$D$104:$N$108</definedName>
    <definedName name="X_Table_PastureBeef_DryMatterDigestibility_Method2">'Input - Pasture Beef'!$D$110:$N$122</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 name="X_Table_Result_ActivityPeriodEmissions_RowsToCols">'Input - Enterprise'!$D$54:$F$59</definedName>
    <definedName name="X_Table_Result_CarbonRemovalsFromPlantings_RowsToCols">'Input - Enterprise'!$D$67:$E$72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9" i="78" l="1"/>
  <c r="D78" i="78"/>
  <c r="D77" i="78"/>
  <c r="D76" i="78"/>
  <c r="D69" i="78"/>
  <c r="D68" i="78"/>
  <c r="D67" i="78"/>
  <c r="D66" i="78"/>
  <c r="D60" i="78"/>
  <c r="D59" i="78"/>
  <c r="D58" i="78"/>
  <c r="D57" i="78"/>
  <c r="D51" i="78"/>
  <c r="D50" i="78"/>
  <c r="D49" i="78"/>
  <c r="D48" i="78"/>
  <c r="D47" i="78"/>
  <c r="D41" i="78"/>
  <c r="D40" i="78"/>
  <c r="D39" i="78"/>
  <c r="D38" i="78"/>
  <c r="D37" i="78"/>
  <c r="D36" i="78"/>
  <c r="D35" i="78"/>
  <c r="D34" i="78"/>
  <c r="D33" i="78"/>
  <c r="D32" i="78"/>
  <c r="D31" i="78"/>
  <c r="D30" i="78"/>
  <c r="D24" i="78"/>
  <c r="D23" i="78"/>
  <c r="D22" i="78"/>
  <c r="D21" i="78"/>
  <c r="D20" i="78"/>
  <c r="D19" i="78"/>
  <c r="D13" i="78"/>
  <c r="D12" i="78"/>
  <c r="D11" i="78"/>
  <c r="D10" i="78"/>
  <c r="D9" i="78"/>
  <c r="D8" i="78"/>
  <c r="G12" i="89"/>
  <c r="G14" i="89"/>
  <c r="N20" i="82"/>
  <c r="M20" i="82"/>
  <c r="L20" i="82"/>
  <c r="K20" i="82"/>
  <c r="J20" i="82"/>
  <c r="I20" i="82"/>
  <c r="H20" i="82"/>
  <c r="G20" i="82"/>
  <c r="F20" i="82"/>
  <c r="E20" i="82"/>
  <c r="N19" i="82"/>
  <c r="M19" i="82"/>
  <c r="L19" i="82"/>
  <c r="K19" i="82"/>
  <c r="J19" i="82"/>
  <c r="I19" i="82"/>
  <c r="H19" i="82"/>
  <c r="G19" i="82"/>
  <c r="F19" i="82"/>
  <c r="E19" i="82"/>
  <c r="N18" i="82"/>
  <c r="M18" i="82"/>
  <c r="L18" i="82"/>
  <c r="K18" i="82"/>
  <c r="J18" i="82"/>
  <c r="I18" i="82"/>
  <c r="H18" i="82"/>
  <c r="G18" i="82"/>
  <c r="F18" i="82"/>
  <c r="E18" i="82"/>
  <c r="N17" i="82"/>
  <c r="M17" i="82"/>
  <c r="L17" i="82"/>
  <c r="K17" i="82"/>
  <c r="J17" i="82"/>
  <c r="I17" i="82"/>
  <c r="H17" i="82"/>
  <c r="G17" i="82"/>
  <c r="F17" i="82"/>
  <c r="E115" i="88" s="1" a="1"/>
  <c r="E17" i="82"/>
  <c r="A60" i="121"/>
  <c r="A59" i="121"/>
  <c r="A58" i="121"/>
  <c r="A57" i="121"/>
  <c r="A56" i="121"/>
  <c r="A55" i="121"/>
  <c r="A54" i="121"/>
  <c r="A53" i="121"/>
  <c r="A52" i="121"/>
  <c r="A51" i="121"/>
  <c r="A47" i="121"/>
  <c r="A46" i="121"/>
  <c r="A45" i="121"/>
  <c r="A44" i="121"/>
  <c r="A43" i="121"/>
  <c r="A42" i="121"/>
  <c r="A41" i="121"/>
  <c r="A40" i="121"/>
  <c r="A39" i="121"/>
  <c r="A38" i="121"/>
  <c r="A37" i="121"/>
  <c r="A36" i="121"/>
  <c r="A35" i="121"/>
  <c r="A34" i="121"/>
  <c r="A33" i="121"/>
  <c r="A32" i="121"/>
  <c r="A31" i="121"/>
  <c r="A30" i="121"/>
  <c r="A29" i="121"/>
  <c r="A25" i="121"/>
  <c r="A24" i="121"/>
  <c r="A23" i="121"/>
  <c r="A22" i="121"/>
  <c r="A21" i="121"/>
  <c r="A20" i="121"/>
  <c r="A19" i="121"/>
  <c r="A18" i="121"/>
  <c r="A17" i="121"/>
  <c r="A16" i="121"/>
  <c r="A15" i="121"/>
  <c r="A14" i="121"/>
  <c r="A13" i="121"/>
  <c r="A12" i="121"/>
  <c r="A11" i="121"/>
  <c r="A10" i="121"/>
  <c r="A9" i="121"/>
  <c r="A5" i="121"/>
  <c r="A4" i="121"/>
  <c r="A3" i="121"/>
  <c r="A60" i="79"/>
  <c r="A59" i="79"/>
  <c r="A58" i="79"/>
  <c r="A57" i="79"/>
  <c r="A56" i="79"/>
  <c r="A55" i="79"/>
  <c r="A54" i="79"/>
  <c r="A53" i="79"/>
  <c r="A52" i="79"/>
  <c r="A51" i="79"/>
  <c r="A47" i="79"/>
  <c r="A46" i="79"/>
  <c r="A45" i="79"/>
  <c r="A44" i="79"/>
  <c r="A43" i="79"/>
  <c r="A42" i="79"/>
  <c r="A41" i="79"/>
  <c r="A40" i="79"/>
  <c r="A39" i="79"/>
  <c r="A38" i="79"/>
  <c r="A37" i="79"/>
  <c r="A36" i="79"/>
  <c r="A35" i="79"/>
  <c r="A34" i="79"/>
  <c r="A33" i="79"/>
  <c r="A32" i="79"/>
  <c r="A31" i="79"/>
  <c r="A30" i="79"/>
  <c r="A29" i="79"/>
  <c r="A25" i="79"/>
  <c r="A24" i="79"/>
  <c r="A23" i="79"/>
  <c r="A22" i="79"/>
  <c r="A21" i="79"/>
  <c r="A20" i="79"/>
  <c r="A19" i="79"/>
  <c r="A18" i="79"/>
  <c r="A17" i="79"/>
  <c r="A16" i="79"/>
  <c r="A15" i="79"/>
  <c r="A14" i="79"/>
  <c r="A13" i="79"/>
  <c r="A12" i="79"/>
  <c r="A11" i="79"/>
  <c r="A10" i="79"/>
  <c r="A9" i="79"/>
  <c r="A5" i="79"/>
  <c r="A4" i="79"/>
  <c r="A3" i="79"/>
  <c r="A60" i="106"/>
  <c r="A59" i="106"/>
  <c r="A58" i="106"/>
  <c r="A57" i="106"/>
  <c r="A56" i="106"/>
  <c r="A55" i="106"/>
  <c r="A54" i="106"/>
  <c r="A53" i="106"/>
  <c r="A52" i="106"/>
  <c r="A51" i="106"/>
  <c r="A47" i="106"/>
  <c r="A46" i="106"/>
  <c r="A45" i="106"/>
  <c r="A44" i="106"/>
  <c r="A43" i="106"/>
  <c r="A42" i="106"/>
  <c r="A41" i="106"/>
  <c r="A40" i="106"/>
  <c r="A39" i="106"/>
  <c r="A38" i="106"/>
  <c r="A37" i="106"/>
  <c r="A36" i="106"/>
  <c r="A35" i="106"/>
  <c r="A34" i="106"/>
  <c r="A33" i="106"/>
  <c r="A32" i="106"/>
  <c r="A31" i="106"/>
  <c r="A30" i="106"/>
  <c r="A29" i="106"/>
  <c r="A25" i="106"/>
  <c r="A24" i="106"/>
  <c r="A23" i="106"/>
  <c r="A22" i="106"/>
  <c r="A21" i="106"/>
  <c r="A20" i="106"/>
  <c r="A19" i="106"/>
  <c r="A18" i="106"/>
  <c r="A17" i="106"/>
  <c r="A16" i="106"/>
  <c r="A15" i="106"/>
  <c r="A14" i="106"/>
  <c r="A13" i="106"/>
  <c r="A12" i="106"/>
  <c r="A11" i="106"/>
  <c r="A10" i="106"/>
  <c r="A9" i="106"/>
  <c r="A5" i="106"/>
  <c r="A4" i="106"/>
  <c r="A3" i="106"/>
  <c r="A60" i="119"/>
  <c r="A59" i="119"/>
  <c r="A58" i="119"/>
  <c r="A57" i="119"/>
  <c r="A56" i="119"/>
  <c r="A55" i="119"/>
  <c r="A54" i="119"/>
  <c r="A53" i="119"/>
  <c r="A52" i="119"/>
  <c r="A51" i="119"/>
  <c r="A47" i="119"/>
  <c r="A46" i="119"/>
  <c r="A45" i="119"/>
  <c r="A44" i="119"/>
  <c r="A43" i="119"/>
  <c r="A42" i="119"/>
  <c r="A41" i="119"/>
  <c r="A40" i="119"/>
  <c r="A39" i="119"/>
  <c r="A38" i="119"/>
  <c r="A37" i="119"/>
  <c r="A36" i="119"/>
  <c r="A35" i="119"/>
  <c r="A34" i="119"/>
  <c r="A33" i="119"/>
  <c r="A32" i="119"/>
  <c r="A31" i="119"/>
  <c r="A30" i="119"/>
  <c r="A29" i="119"/>
  <c r="A25" i="119"/>
  <c r="A24" i="119"/>
  <c r="A23" i="119"/>
  <c r="A22" i="119"/>
  <c r="A21" i="119"/>
  <c r="A20" i="119"/>
  <c r="A19" i="119"/>
  <c r="A18" i="119"/>
  <c r="A17" i="119"/>
  <c r="A16" i="119"/>
  <c r="A15" i="119"/>
  <c r="A14" i="119"/>
  <c r="A13" i="119"/>
  <c r="A12" i="119"/>
  <c r="A11" i="119"/>
  <c r="A10" i="119"/>
  <c r="A9" i="119"/>
  <c r="A5" i="119"/>
  <c r="A4" i="119"/>
  <c r="A3" i="119"/>
  <c r="A60" i="103"/>
  <c r="A59" i="103"/>
  <c r="A58" i="103"/>
  <c r="A57" i="103"/>
  <c r="A56" i="103"/>
  <c r="A55" i="103"/>
  <c r="A54" i="103"/>
  <c r="A53" i="103"/>
  <c r="A52" i="103"/>
  <c r="A51" i="103"/>
  <c r="A47" i="103"/>
  <c r="A46" i="103"/>
  <c r="A45" i="103"/>
  <c r="A44" i="103"/>
  <c r="A43" i="103"/>
  <c r="A42" i="103"/>
  <c r="A41" i="103"/>
  <c r="A40" i="103"/>
  <c r="A39" i="103"/>
  <c r="A38" i="103"/>
  <c r="A37" i="103"/>
  <c r="A36" i="103"/>
  <c r="A35" i="103"/>
  <c r="A34" i="103"/>
  <c r="A33" i="103"/>
  <c r="A32" i="103"/>
  <c r="A31" i="103"/>
  <c r="A30" i="103"/>
  <c r="A29" i="103"/>
  <c r="A25" i="103"/>
  <c r="A24" i="103"/>
  <c r="A23" i="103"/>
  <c r="A22" i="103"/>
  <c r="A21" i="103"/>
  <c r="A20" i="103"/>
  <c r="A19" i="103"/>
  <c r="A18" i="103"/>
  <c r="A17" i="103"/>
  <c r="A16" i="103"/>
  <c r="A15" i="103"/>
  <c r="A14" i="103"/>
  <c r="A13" i="103"/>
  <c r="A12" i="103"/>
  <c r="A11" i="103"/>
  <c r="A10" i="103"/>
  <c r="A9" i="103"/>
  <c r="A5" i="103"/>
  <c r="A4" i="103"/>
  <c r="A3" i="103"/>
  <c r="A60" i="96"/>
  <c r="A59" i="96"/>
  <c r="A58" i="96"/>
  <c r="A57" i="96"/>
  <c r="A56" i="96"/>
  <c r="A55" i="96"/>
  <c r="A54" i="96"/>
  <c r="A53" i="96"/>
  <c r="A52" i="96"/>
  <c r="A51" i="96"/>
  <c r="A47" i="96"/>
  <c r="A46" i="96"/>
  <c r="A45" i="96"/>
  <c r="A44" i="96"/>
  <c r="A43" i="96"/>
  <c r="A42" i="96"/>
  <c r="A41" i="96"/>
  <c r="A40" i="96"/>
  <c r="A39" i="96"/>
  <c r="A38" i="96"/>
  <c r="A37" i="96"/>
  <c r="A36" i="96"/>
  <c r="A35" i="96"/>
  <c r="A34" i="96"/>
  <c r="A33" i="96"/>
  <c r="A32" i="96"/>
  <c r="A31" i="96"/>
  <c r="A30" i="96"/>
  <c r="A29" i="96"/>
  <c r="A25" i="96"/>
  <c r="A24" i="96"/>
  <c r="A23" i="96"/>
  <c r="A22" i="96"/>
  <c r="A21" i="96"/>
  <c r="A20" i="96"/>
  <c r="A19" i="96"/>
  <c r="A18" i="96"/>
  <c r="A17" i="96"/>
  <c r="A16" i="96"/>
  <c r="A15" i="96"/>
  <c r="A14" i="96"/>
  <c r="A13" i="96"/>
  <c r="A12" i="96"/>
  <c r="A11" i="96"/>
  <c r="A10" i="96"/>
  <c r="A9" i="96"/>
  <c r="A5" i="96"/>
  <c r="A4" i="96"/>
  <c r="A3" i="96"/>
  <c r="A60" i="99"/>
  <c r="A59" i="99"/>
  <c r="A58" i="99"/>
  <c r="A57" i="99"/>
  <c r="A56" i="99"/>
  <c r="A55" i="99"/>
  <c r="A54" i="99"/>
  <c r="A53" i="99"/>
  <c r="A52" i="99"/>
  <c r="A51" i="99"/>
  <c r="A47" i="99"/>
  <c r="A46" i="99"/>
  <c r="A45" i="99"/>
  <c r="A44" i="99"/>
  <c r="A43" i="99"/>
  <c r="A42" i="99"/>
  <c r="A41" i="99"/>
  <c r="A40" i="99"/>
  <c r="A39" i="99"/>
  <c r="A38" i="99"/>
  <c r="A37" i="99"/>
  <c r="A36" i="99"/>
  <c r="A35" i="99"/>
  <c r="A34" i="99"/>
  <c r="A33" i="99"/>
  <c r="A32" i="99"/>
  <c r="A31" i="99"/>
  <c r="A30" i="99"/>
  <c r="A29" i="99"/>
  <c r="A25" i="99"/>
  <c r="A24" i="99"/>
  <c r="A23" i="99"/>
  <c r="A22" i="99"/>
  <c r="A21" i="99"/>
  <c r="A20" i="99"/>
  <c r="A19" i="99"/>
  <c r="A18" i="99"/>
  <c r="A17" i="99"/>
  <c r="A16" i="99"/>
  <c r="A15" i="99"/>
  <c r="A14" i="99"/>
  <c r="A13" i="99"/>
  <c r="A12" i="99"/>
  <c r="A11" i="99"/>
  <c r="A10" i="99"/>
  <c r="A9" i="99"/>
  <c r="A5" i="99"/>
  <c r="A4" i="99"/>
  <c r="A3" i="99"/>
  <c r="A60" i="120"/>
  <c r="A59" i="120"/>
  <c r="A58" i="120"/>
  <c r="A57" i="120"/>
  <c r="A56" i="120"/>
  <c r="A55" i="120"/>
  <c r="A54" i="120"/>
  <c r="A53" i="120"/>
  <c r="A52" i="120"/>
  <c r="A51" i="120"/>
  <c r="A47" i="120"/>
  <c r="A46" i="120"/>
  <c r="A45" i="120"/>
  <c r="A44" i="120"/>
  <c r="A43" i="120"/>
  <c r="A42" i="120"/>
  <c r="A41" i="120"/>
  <c r="A40" i="120"/>
  <c r="A39" i="120"/>
  <c r="A38" i="120"/>
  <c r="A37" i="120"/>
  <c r="A36" i="120"/>
  <c r="A35" i="120"/>
  <c r="A34" i="120"/>
  <c r="A33" i="120"/>
  <c r="A32" i="120"/>
  <c r="A31" i="120"/>
  <c r="A30" i="120"/>
  <c r="A29" i="120"/>
  <c r="A25" i="120"/>
  <c r="A24" i="120"/>
  <c r="A23" i="120"/>
  <c r="A22" i="120"/>
  <c r="A21" i="120"/>
  <c r="A20" i="120"/>
  <c r="A19" i="120"/>
  <c r="A18" i="120"/>
  <c r="A17" i="120"/>
  <c r="A16" i="120"/>
  <c r="A15" i="120"/>
  <c r="A14" i="120"/>
  <c r="A13" i="120"/>
  <c r="A12" i="120"/>
  <c r="A11" i="120"/>
  <c r="A10" i="120"/>
  <c r="A9" i="120"/>
  <c r="A5" i="120"/>
  <c r="A4" i="120"/>
  <c r="A3" i="120"/>
  <c r="A60" i="110"/>
  <c r="A59" i="110"/>
  <c r="A58" i="110"/>
  <c r="A57" i="110"/>
  <c r="A56" i="110"/>
  <c r="A55" i="110"/>
  <c r="A54" i="110"/>
  <c r="A53" i="110"/>
  <c r="A52" i="110"/>
  <c r="A51" i="110"/>
  <c r="A47" i="110"/>
  <c r="A46" i="110"/>
  <c r="A45" i="110"/>
  <c r="A44" i="110"/>
  <c r="A43" i="110"/>
  <c r="A42" i="110"/>
  <c r="A41" i="110"/>
  <c r="A40" i="110"/>
  <c r="A39" i="110"/>
  <c r="A38" i="110"/>
  <c r="A37" i="110"/>
  <c r="A36" i="110"/>
  <c r="A35" i="110"/>
  <c r="A34" i="110"/>
  <c r="A33" i="110"/>
  <c r="A32" i="110"/>
  <c r="A31" i="110"/>
  <c r="A30" i="110"/>
  <c r="A29" i="110"/>
  <c r="A25" i="110"/>
  <c r="A24" i="110"/>
  <c r="A23" i="110"/>
  <c r="A22" i="110"/>
  <c r="A21" i="110"/>
  <c r="A20" i="110"/>
  <c r="A19" i="110"/>
  <c r="A18" i="110"/>
  <c r="A17" i="110"/>
  <c r="A16" i="110"/>
  <c r="A15" i="110"/>
  <c r="A14" i="110"/>
  <c r="A13" i="110"/>
  <c r="A12" i="110"/>
  <c r="A11" i="110"/>
  <c r="A10" i="110"/>
  <c r="A9" i="110"/>
  <c r="A5" i="110"/>
  <c r="A4" i="110"/>
  <c r="A3" i="110"/>
  <c r="A60" i="87"/>
  <c r="A59" i="87"/>
  <c r="A58" i="87"/>
  <c r="A57" i="87"/>
  <c r="A56" i="87"/>
  <c r="A55" i="87"/>
  <c r="A54" i="87"/>
  <c r="A53" i="87"/>
  <c r="A52" i="87"/>
  <c r="A51" i="87"/>
  <c r="A47" i="87"/>
  <c r="A46" i="87"/>
  <c r="A45" i="87"/>
  <c r="A44" i="87"/>
  <c r="A43" i="87"/>
  <c r="A42" i="87"/>
  <c r="A41" i="87"/>
  <c r="A40" i="87"/>
  <c r="A39" i="87"/>
  <c r="A38" i="87"/>
  <c r="A37" i="87"/>
  <c r="A36" i="87"/>
  <c r="A35" i="87"/>
  <c r="A34" i="87"/>
  <c r="A33" i="87"/>
  <c r="A32" i="87"/>
  <c r="A31" i="87"/>
  <c r="A30" i="87"/>
  <c r="A29" i="87"/>
  <c r="A25" i="87"/>
  <c r="A24" i="87"/>
  <c r="A23" i="87"/>
  <c r="A22" i="87"/>
  <c r="A21" i="87"/>
  <c r="A20" i="87"/>
  <c r="A19" i="87"/>
  <c r="A18" i="87"/>
  <c r="A17" i="87"/>
  <c r="A16" i="87"/>
  <c r="A15" i="87"/>
  <c r="A14" i="87"/>
  <c r="A13" i="87"/>
  <c r="A12" i="87"/>
  <c r="A11" i="87"/>
  <c r="A10" i="87"/>
  <c r="A9" i="87"/>
  <c r="A5" i="87"/>
  <c r="A4" i="87"/>
  <c r="A3" i="87"/>
  <c r="A60" i="118"/>
  <c r="A59" i="118"/>
  <c r="A58" i="118"/>
  <c r="A57" i="118"/>
  <c r="A56" i="118"/>
  <c r="A55" i="118"/>
  <c r="A54" i="118"/>
  <c r="A53" i="118"/>
  <c r="A52" i="118"/>
  <c r="A51" i="118"/>
  <c r="A47" i="118"/>
  <c r="A46" i="118"/>
  <c r="A45" i="118"/>
  <c r="A44" i="118"/>
  <c r="A43" i="118"/>
  <c r="A42" i="118"/>
  <c r="A41" i="118"/>
  <c r="A40" i="118"/>
  <c r="A39" i="118"/>
  <c r="A38" i="118"/>
  <c r="A37" i="118"/>
  <c r="A36" i="118"/>
  <c r="A35" i="118"/>
  <c r="A34" i="118"/>
  <c r="A33" i="118"/>
  <c r="A32" i="118"/>
  <c r="A31" i="118"/>
  <c r="A30" i="118"/>
  <c r="A29" i="118"/>
  <c r="A25" i="118"/>
  <c r="A24" i="118"/>
  <c r="A23" i="118"/>
  <c r="A22" i="118"/>
  <c r="A21" i="118"/>
  <c r="A20" i="118"/>
  <c r="A19" i="118"/>
  <c r="A18" i="118"/>
  <c r="A17" i="118"/>
  <c r="A16" i="118"/>
  <c r="A15" i="118"/>
  <c r="A14" i="118"/>
  <c r="A13" i="118"/>
  <c r="A12" i="118"/>
  <c r="A11" i="118"/>
  <c r="A10" i="118"/>
  <c r="A9" i="118"/>
  <c r="A5" i="118"/>
  <c r="A4" i="118"/>
  <c r="A3" i="118"/>
  <c r="A60" i="117"/>
  <c r="A59" i="117"/>
  <c r="A58" i="117"/>
  <c r="A57" i="117"/>
  <c r="A56" i="117"/>
  <c r="A55" i="117"/>
  <c r="A54" i="117"/>
  <c r="A53" i="117"/>
  <c r="A52" i="117"/>
  <c r="A51" i="117"/>
  <c r="A47" i="117"/>
  <c r="A46" i="117"/>
  <c r="A45" i="117"/>
  <c r="A44" i="117"/>
  <c r="A43" i="117"/>
  <c r="A42" i="117"/>
  <c r="A41" i="117"/>
  <c r="A40" i="117"/>
  <c r="A39" i="117"/>
  <c r="A38" i="117"/>
  <c r="A37" i="117"/>
  <c r="A36" i="117"/>
  <c r="A35" i="117"/>
  <c r="A34" i="117"/>
  <c r="A33" i="117"/>
  <c r="A32" i="117"/>
  <c r="A31" i="117"/>
  <c r="A30" i="117"/>
  <c r="A29" i="117"/>
  <c r="A25" i="117"/>
  <c r="A24" i="117"/>
  <c r="A23" i="117"/>
  <c r="A22" i="117"/>
  <c r="A21" i="117"/>
  <c r="A20" i="117"/>
  <c r="A19" i="117"/>
  <c r="A18" i="117"/>
  <c r="A17" i="117"/>
  <c r="A16" i="117"/>
  <c r="A15" i="117"/>
  <c r="A14" i="117"/>
  <c r="A13" i="117"/>
  <c r="A12" i="117"/>
  <c r="A11" i="117"/>
  <c r="A10" i="117"/>
  <c r="A9" i="117"/>
  <c r="A5" i="117"/>
  <c r="A4" i="117"/>
  <c r="A3" i="117"/>
  <c r="A60" i="98"/>
  <c r="A59" i="98"/>
  <c r="A58" i="98"/>
  <c r="A57" i="98"/>
  <c r="A56" i="98"/>
  <c r="A55" i="98"/>
  <c r="A54" i="98"/>
  <c r="A53" i="98"/>
  <c r="A52" i="98"/>
  <c r="A51" i="98"/>
  <c r="A47" i="98"/>
  <c r="A46" i="98"/>
  <c r="A45" i="98"/>
  <c r="A44" i="98"/>
  <c r="A43" i="98"/>
  <c r="A42" i="98"/>
  <c r="A41" i="98"/>
  <c r="A40" i="98"/>
  <c r="A39" i="98"/>
  <c r="A38" i="98"/>
  <c r="A37" i="98"/>
  <c r="A36" i="98"/>
  <c r="A35" i="98"/>
  <c r="A34" i="98"/>
  <c r="A33" i="98"/>
  <c r="A32" i="98"/>
  <c r="A31" i="98"/>
  <c r="A30" i="98"/>
  <c r="A29" i="98"/>
  <c r="A25" i="98"/>
  <c r="A24" i="98"/>
  <c r="A23" i="98"/>
  <c r="A22" i="98"/>
  <c r="A21" i="98"/>
  <c r="A20" i="98"/>
  <c r="A19" i="98"/>
  <c r="A18" i="98"/>
  <c r="A17" i="98"/>
  <c r="A16" i="98"/>
  <c r="A15" i="98"/>
  <c r="A14" i="98"/>
  <c r="A13" i="98"/>
  <c r="A12" i="98"/>
  <c r="A11" i="98"/>
  <c r="A10" i="98"/>
  <c r="A9" i="98"/>
  <c r="A5" i="98"/>
  <c r="A4" i="98"/>
  <c r="A3" i="98"/>
  <c r="A60" i="105"/>
  <c r="A59" i="105"/>
  <c r="A58" i="105"/>
  <c r="A57" i="105"/>
  <c r="A56" i="105"/>
  <c r="A55" i="105"/>
  <c r="A54" i="105"/>
  <c r="A53" i="105"/>
  <c r="A52" i="105"/>
  <c r="A51" i="105"/>
  <c r="A47" i="105"/>
  <c r="A46" i="105"/>
  <c r="A45" i="105"/>
  <c r="A44" i="105"/>
  <c r="A43" i="105"/>
  <c r="A42" i="105"/>
  <c r="A41" i="105"/>
  <c r="A40" i="105"/>
  <c r="A39" i="105"/>
  <c r="A38" i="105"/>
  <c r="A37" i="105"/>
  <c r="A36" i="105"/>
  <c r="A35" i="105"/>
  <c r="A34" i="105"/>
  <c r="A33" i="105"/>
  <c r="A32" i="105"/>
  <c r="A31" i="105"/>
  <c r="A30" i="105"/>
  <c r="A29" i="105"/>
  <c r="A25" i="105"/>
  <c r="A24" i="105"/>
  <c r="A23" i="105"/>
  <c r="A22" i="105"/>
  <c r="A21" i="105"/>
  <c r="A20" i="105"/>
  <c r="A19" i="105"/>
  <c r="A18" i="105"/>
  <c r="A17" i="105"/>
  <c r="A16" i="105"/>
  <c r="A15" i="105"/>
  <c r="A14" i="105"/>
  <c r="A13" i="105"/>
  <c r="A12" i="105"/>
  <c r="A11" i="105"/>
  <c r="A10" i="105"/>
  <c r="A9" i="105"/>
  <c r="A5" i="105"/>
  <c r="A4" i="105"/>
  <c r="A3" i="105"/>
  <c r="A60" i="102"/>
  <c r="A59" i="102"/>
  <c r="A58" i="102"/>
  <c r="A57" i="102"/>
  <c r="A56" i="102"/>
  <c r="A55" i="102"/>
  <c r="A54" i="102"/>
  <c r="A53" i="102"/>
  <c r="A52" i="102"/>
  <c r="A51" i="102"/>
  <c r="A47" i="102"/>
  <c r="A46" i="102"/>
  <c r="A45" i="102"/>
  <c r="A44" i="102"/>
  <c r="A43" i="102"/>
  <c r="A42" i="102"/>
  <c r="A41" i="102"/>
  <c r="A40" i="102"/>
  <c r="A39" i="102"/>
  <c r="A38" i="102"/>
  <c r="A37" i="102"/>
  <c r="A36" i="102"/>
  <c r="A35" i="102"/>
  <c r="A34" i="102"/>
  <c r="A33" i="102"/>
  <c r="A32" i="102"/>
  <c r="A31" i="102"/>
  <c r="A30" i="102"/>
  <c r="A29" i="102"/>
  <c r="A25" i="102"/>
  <c r="A24" i="102"/>
  <c r="A23" i="102"/>
  <c r="A22" i="102"/>
  <c r="A21" i="102"/>
  <c r="A20" i="102"/>
  <c r="A19" i="102"/>
  <c r="A18" i="102"/>
  <c r="A17" i="102"/>
  <c r="A16" i="102"/>
  <c r="A15" i="102"/>
  <c r="A14" i="102"/>
  <c r="A13" i="102"/>
  <c r="A12" i="102"/>
  <c r="A11" i="102"/>
  <c r="A10" i="102"/>
  <c r="A9" i="102"/>
  <c r="A5" i="102"/>
  <c r="A4" i="102"/>
  <c r="A3" i="102"/>
  <c r="A60" i="101"/>
  <c r="A59" i="101"/>
  <c r="A58" i="101"/>
  <c r="A57" i="101"/>
  <c r="A56" i="101"/>
  <c r="A55" i="101"/>
  <c r="A54" i="101"/>
  <c r="A53" i="101"/>
  <c r="A52" i="101"/>
  <c r="A51" i="101"/>
  <c r="A47" i="101"/>
  <c r="A46" i="101"/>
  <c r="A45" i="101"/>
  <c r="A44" i="101"/>
  <c r="A43" i="101"/>
  <c r="A42" i="101"/>
  <c r="A41" i="101"/>
  <c r="A40" i="101"/>
  <c r="A39" i="101"/>
  <c r="A38" i="101"/>
  <c r="A37" i="101"/>
  <c r="A36" i="101"/>
  <c r="A35" i="101"/>
  <c r="A34" i="101"/>
  <c r="A33" i="101"/>
  <c r="A32" i="101"/>
  <c r="A31" i="101"/>
  <c r="A30" i="101"/>
  <c r="A29" i="101"/>
  <c r="A25" i="101"/>
  <c r="A24" i="101"/>
  <c r="A23" i="101"/>
  <c r="A22" i="101"/>
  <c r="A21" i="101"/>
  <c r="A20" i="101"/>
  <c r="A19" i="101"/>
  <c r="A18" i="101"/>
  <c r="A17" i="101"/>
  <c r="A16" i="101"/>
  <c r="A15" i="101"/>
  <c r="A14" i="101"/>
  <c r="A13" i="101"/>
  <c r="A12" i="101"/>
  <c r="A11" i="101"/>
  <c r="A10" i="101"/>
  <c r="A9" i="101"/>
  <c r="A5" i="101"/>
  <c r="A4" i="101"/>
  <c r="A3" i="101"/>
  <c r="A60" i="109"/>
  <c r="A59" i="109"/>
  <c r="A58" i="109"/>
  <c r="A57" i="109"/>
  <c r="A56" i="109"/>
  <c r="A55" i="109"/>
  <c r="A54" i="109"/>
  <c r="A53" i="109"/>
  <c r="A52" i="109"/>
  <c r="A51" i="109"/>
  <c r="A47" i="109"/>
  <c r="A46" i="109"/>
  <c r="A45" i="109"/>
  <c r="A44" i="109"/>
  <c r="A43" i="109"/>
  <c r="A42" i="109"/>
  <c r="A41" i="109"/>
  <c r="A40" i="109"/>
  <c r="A39" i="109"/>
  <c r="A38" i="109"/>
  <c r="A37" i="109"/>
  <c r="A36" i="109"/>
  <c r="A35" i="109"/>
  <c r="A34" i="109"/>
  <c r="A33" i="109"/>
  <c r="A32" i="109"/>
  <c r="A31" i="109"/>
  <c r="A30" i="109"/>
  <c r="A29" i="109"/>
  <c r="A25" i="109"/>
  <c r="A24" i="109"/>
  <c r="A23" i="109"/>
  <c r="A22" i="109"/>
  <c r="A21" i="109"/>
  <c r="A20" i="109"/>
  <c r="A19" i="109"/>
  <c r="A18" i="109"/>
  <c r="A17" i="109"/>
  <c r="A16" i="109"/>
  <c r="A15" i="109"/>
  <c r="A14" i="109"/>
  <c r="A13" i="109"/>
  <c r="A12" i="109"/>
  <c r="A11" i="109"/>
  <c r="A10" i="109"/>
  <c r="A9" i="109"/>
  <c r="A5" i="109"/>
  <c r="A4" i="109"/>
  <c r="A3" i="109"/>
  <c r="A60" i="108"/>
  <c r="A59" i="108"/>
  <c r="A58" i="108"/>
  <c r="A57" i="108"/>
  <c r="A56" i="108"/>
  <c r="A55" i="108"/>
  <c r="A54" i="108"/>
  <c r="A53" i="108"/>
  <c r="A52" i="108"/>
  <c r="A51" i="108"/>
  <c r="A47" i="108"/>
  <c r="A46" i="108"/>
  <c r="A45" i="108"/>
  <c r="A44" i="108"/>
  <c r="A43" i="108"/>
  <c r="A42" i="108"/>
  <c r="A41" i="108"/>
  <c r="A40" i="108"/>
  <c r="A39" i="108"/>
  <c r="A38" i="108"/>
  <c r="A37" i="108"/>
  <c r="A36" i="108"/>
  <c r="A35" i="108"/>
  <c r="A34" i="108"/>
  <c r="A33" i="108"/>
  <c r="A32" i="108"/>
  <c r="A31" i="108"/>
  <c r="A30" i="108"/>
  <c r="A29" i="108"/>
  <c r="A25" i="108"/>
  <c r="A24" i="108"/>
  <c r="A23" i="108"/>
  <c r="A22" i="108"/>
  <c r="A21" i="108"/>
  <c r="A20" i="108"/>
  <c r="A19" i="108"/>
  <c r="A18" i="108"/>
  <c r="A17" i="108"/>
  <c r="A16" i="108"/>
  <c r="A15" i="108"/>
  <c r="A14" i="108"/>
  <c r="A13" i="108"/>
  <c r="A12" i="108"/>
  <c r="A11" i="108"/>
  <c r="A10" i="108"/>
  <c r="A9" i="108"/>
  <c r="A5" i="108"/>
  <c r="A4" i="108"/>
  <c r="A3" i="108"/>
  <c r="A60" i="95"/>
  <c r="A59" i="95"/>
  <c r="A58" i="95"/>
  <c r="A57" i="95"/>
  <c r="A56" i="95"/>
  <c r="A55" i="95"/>
  <c r="A54" i="95"/>
  <c r="A53" i="95"/>
  <c r="A52" i="95"/>
  <c r="A51" i="95"/>
  <c r="A47" i="95"/>
  <c r="A46" i="95"/>
  <c r="A45" i="95"/>
  <c r="A44" i="95"/>
  <c r="A43" i="95"/>
  <c r="A42" i="95"/>
  <c r="A41" i="95"/>
  <c r="A40" i="95"/>
  <c r="A39" i="95"/>
  <c r="A38" i="95"/>
  <c r="A37" i="95"/>
  <c r="A36" i="95"/>
  <c r="A35" i="95"/>
  <c r="A34" i="95"/>
  <c r="A33" i="95"/>
  <c r="A32" i="95"/>
  <c r="A31" i="95"/>
  <c r="A30" i="95"/>
  <c r="A29" i="95"/>
  <c r="A25" i="95"/>
  <c r="A24" i="95"/>
  <c r="A23" i="95"/>
  <c r="A22" i="95"/>
  <c r="A21" i="95"/>
  <c r="A20" i="95"/>
  <c r="A19" i="95"/>
  <c r="A18" i="95"/>
  <c r="A17" i="95"/>
  <c r="A16" i="95"/>
  <c r="A15" i="95"/>
  <c r="A14" i="95"/>
  <c r="A13" i="95"/>
  <c r="A12" i="95"/>
  <c r="A11" i="95"/>
  <c r="A10" i="95"/>
  <c r="A9" i="95"/>
  <c r="A5" i="95"/>
  <c r="A4" i="95"/>
  <c r="A3" i="95"/>
  <c r="A60" i="94"/>
  <c r="A59" i="94"/>
  <c r="A58" i="94"/>
  <c r="A57" i="94"/>
  <c r="A56" i="94"/>
  <c r="A55" i="94"/>
  <c r="A54" i="94"/>
  <c r="A53" i="94"/>
  <c r="A52" i="94"/>
  <c r="A51" i="94"/>
  <c r="A47" i="94"/>
  <c r="A46" i="94"/>
  <c r="A45" i="94"/>
  <c r="A44" i="94"/>
  <c r="A43" i="94"/>
  <c r="A42" i="94"/>
  <c r="A41" i="94"/>
  <c r="A40" i="94"/>
  <c r="A39" i="94"/>
  <c r="A38" i="94"/>
  <c r="A37" i="94"/>
  <c r="A36" i="94"/>
  <c r="A35" i="94"/>
  <c r="A34" i="94"/>
  <c r="A33" i="94"/>
  <c r="A32" i="94"/>
  <c r="A31" i="94"/>
  <c r="A30" i="94"/>
  <c r="A29" i="94"/>
  <c r="A25" i="94"/>
  <c r="A24" i="94"/>
  <c r="A23" i="94"/>
  <c r="A22" i="94"/>
  <c r="A21" i="94"/>
  <c r="A20" i="94"/>
  <c r="A19" i="94"/>
  <c r="A18" i="94"/>
  <c r="A17" i="94"/>
  <c r="A16" i="94"/>
  <c r="A15" i="94"/>
  <c r="A14" i="94"/>
  <c r="A13" i="94"/>
  <c r="A12" i="94"/>
  <c r="A11" i="94"/>
  <c r="A10" i="94"/>
  <c r="A9" i="94"/>
  <c r="A5" i="94"/>
  <c r="A4" i="94"/>
  <c r="A3" i="94"/>
  <c r="A60" i="93"/>
  <c r="A59" i="93"/>
  <c r="A58" i="93"/>
  <c r="A57" i="93"/>
  <c r="A56" i="93"/>
  <c r="A55" i="93"/>
  <c r="A54" i="93"/>
  <c r="A53" i="93"/>
  <c r="A52" i="93"/>
  <c r="A51" i="93"/>
  <c r="A47" i="93"/>
  <c r="A46" i="93"/>
  <c r="A45" i="93"/>
  <c r="A44" i="93"/>
  <c r="A43" i="93"/>
  <c r="A42" i="93"/>
  <c r="A41" i="93"/>
  <c r="A40" i="93"/>
  <c r="A39" i="93"/>
  <c r="A38" i="93"/>
  <c r="A37" i="93"/>
  <c r="A36" i="93"/>
  <c r="A35" i="93"/>
  <c r="A34" i="93"/>
  <c r="A33" i="93"/>
  <c r="A32" i="93"/>
  <c r="A31" i="93"/>
  <c r="A30" i="93"/>
  <c r="A29" i="93"/>
  <c r="A25" i="93"/>
  <c r="A24" i="93"/>
  <c r="A23" i="93"/>
  <c r="A22" i="93"/>
  <c r="A21" i="93"/>
  <c r="A20" i="93"/>
  <c r="A19" i="93"/>
  <c r="A18" i="93"/>
  <c r="A17" i="93"/>
  <c r="A16" i="93"/>
  <c r="A15" i="93"/>
  <c r="A14" i="93"/>
  <c r="A13" i="93"/>
  <c r="A12" i="93"/>
  <c r="A11" i="93"/>
  <c r="A10" i="93"/>
  <c r="A9" i="93"/>
  <c r="A5" i="93"/>
  <c r="A4" i="93"/>
  <c r="A3" i="93"/>
  <c r="A60" i="92"/>
  <c r="A59" i="92"/>
  <c r="A58" i="92"/>
  <c r="A57" i="92"/>
  <c r="A56" i="92"/>
  <c r="A55" i="92"/>
  <c r="A54" i="92"/>
  <c r="A53" i="92"/>
  <c r="A52" i="92"/>
  <c r="A51" i="92"/>
  <c r="A47" i="92"/>
  <c r="A46" i="92"/>
  <c r="A45" i="92"/>
  <c r="A44" i="92"/>
  <c r="A43" i="92"/>
  <c r="A42" i="92"/>
  <c r="A41" i="92"/>
  <c r="A40" i="92"/>
  <c r="A39" i="92"/>
  <c r="A38" i="92"/>
  <c r="A37" i="92"/>
  <c r="A36" i="92"/>
  <c r="A35" i="92"/>
  <c r="A34" i="92"/>
  <c r="A33" i="92"/>
  <c r="A32" i="92"/>
  <c r="A31" i="92"/>
  <c r="A30" i="92"/>
  <c r="A29" i="92"/>
  <c r="A25" i="92"/>
  <c r="A24" i="92"/>
  <c r="A23" i="92"/>
  <c r="A22" i="92"/>
  <c r="A21" i="92"/>
  <c r="A20" i="92"/>
  <c r="A19" i="92"/>
  <c r="A18" i="92"/>
  <c r="A17" i="92"/>
  <c r="A16" i="92"/>
  <c r="A15" i="92"/>
  <c r="A14" i="92"/>
  <c r="A13" i="92"/>
  <c r="A12" i="92"/>
  <c r="A11" i="92"/>
  <c r="A10" i="92"/>
  <c r="A9" i="92"/>
  <c r="A5" i="92"/>
  <c r="A4" i="92"/>
  <c r="A3" i="92"/>
  <c r="A60" i="91"/>
  <c r="A59" i="91"/>
  <c r="A58" i="91"/>
  <c r="A57" i="91"/>
  <c r="A56" i="91"/>
  <c r="A55" i="91"/>
  <c r="A54" i="91"/>
  <c r="A53" i="91"/>
  <c r="A52" i="91"/>
  <c r="A51" i="91"/>
  <c r="A47" i="91"/>
  <c r="A46" i="91"/>
  <c r="A45" i="91"/>
  <c r="A44" i="91"/>
  <c r="A43" i="91"/>
  <c r="A42" i="91"/>
  <c r="A41" i="91"/>
  <c r="A40" i="91"/>
  <c r="A39" i="91"/>
  <c r="A38" i="91"/>
  <c r="A37" i="91"/>
  <c r="A36" i="91"/>
  <c r="A35" i="91"/>
  <c r="A34" i="91"/>
  <c r="A33" i="91"/>
  <c r="A32" i="91"/>
  <c r="A31" i="91"/>
  <c r="A30" i="91"/>
  <c r="A29" i="91"/>
  <c r="A25" i="91"/>
  <c r="A24" i="91"/>
  <c r="A23" i="91"/>
  <c r="A22" i="91"/>
  <c r="A21" i="91"/>
  <c r="A20" i="91"/>
  <c r="A19" i="91"/>
  <c r="A18" i="91"/>
  <c r="A17" i="91"/>
  <c r="A16" i="91"/>
  <c r="A15" i="91"/>
  <c r="A14" i="91"/>
  <c r="A13" i="91"/>
  <c r="A12" i="91"/>
  <c r="A11" i="91"/>
  <c r="A10" i="91"/>
  <c r="A9" i="91"/>
  <c r="A5" i="91"/>
  <c r="A4" i="91"/>
  <c r="A3" i="91"/>
  <c r="A60" i="90"/>
  <c r="A59" i="90"/>
  <c r="A58" i="90"/>
  <c r="A57" i="90"/>
  <c r="A56" i="90"/>
  <c r="A55" i="90"/>
  <c r="A54" i="90"/>
  <c r="A53" i="90"/>
  <c r="A52" i="90"/>
  <c r="A51" i="90"/>
  <c r="A47" i="90"/>
  <c r="A46" i="90"/>
  <c r="A45" i="90"/>
  <c r="A44" i="90"/>
  <c r="A43" i="90"/>
  <c r="A42" i="90"/>
  <c r="A41" i="90"/>
  <c r="A40" i="90"/>
  <c r="A39" i="90"/>
  <c r="A38" i="90"/>
  <c r="A37" i="90"/>
  <c r="A36" i="90"/>
  <c r="A35" i="90"/>
  <c r="A34" i="90"/>
  <c r="A33" i="90"/>
  <c r="A32" i="90"/>
  <c r="A31" i="90"/>
  <c r="A30" i="90"/>
  <c r="A29" i="90"/>
  <c r="A25" i="90"/>
  <c r="A24" i="90"/>
  <c r="A23" i="90"/>
  <c r="A22" i="90"/>
  <c r="A21" i="90"/>
  <c r="A20" i="90"/>
  <c r="A19" i="90"/>
  <c r="A18" i="90"/>
  <c r="A17" i="90"/>
  <c r="A16" i="90"/>
  <c r="A15" i="90"/>
  <c r="A14" i="90"/>
  <c r="A13" i="90"/>
  <c r="A12" i="90"/>
  <c r="A11" i="90"/>
  <c r="A10" i="90"/>
  <c r="A9" i="90"/>
  <c r="A5" i="90"/>
  <c r="A4" i="90"/>
  <c r="A3" i="90"/>
  <c r="A60" i="86"/>
  <c r="A59" i="86"/>
  <c r="A58" i="86"/>
  <c r="A57" i="86"/>
  <c r="A56" i="86"/>
  <c r="A55" i="86"/>
  <c r="A54" i="86"/>
  <c r="A53" i="86"/>
  <c r="A52" i="86"/>
  <c r="A51" i="86"/>
  <c r="A47" i="86"/>
  <c r="A46" i="86"/>
  <c r="A45" i="86"/>
  <c r="A44" i="86"/>
  <c r="A43" i="86"/>
  <c r="A42" i="86"/>
  <c r="A41" i="86"/>
  <c r="A40" i="86"/>
  <c r="A39" i="86"/>
  <c r="A38" i="86"/>
  <c r="A37" i="86"/>
  <c r="A36" i="86"/>
  <c r="A35" i="86"/>
  <c r="A34" i="86"/>
  <c r="A33" i="86"/>
  <c r="A32" i="86"/>
  <c r="A31" i="86"/>
  <c r="A30" i="86"/>
  <c r="A29" i="86"/>
  <c r="A25" i="86"/>
  <c r="A24" i="86"/>
  <c r="A23" i="86"/>
  <c r="A22" i="86"/>
  <c r="A21" i="86"/>
  <c r="A20" i="86"/>
  <c r="A19" i="86"/>
  <c r="A18" i="86"/>
  <c r="A17" i="86"/>
  <c r="A16" i="86"/>
  <c r="A15" i="86"/>
  <c r="A14" i="86"/>
  <c r="A13" i="86"/>
  <c r="A12" i="86"/>
  <c r="A11" i="86"/>
  <c r="A10" i="86"/>
  <c r="A9" i="86"/>
  <c r="A5" i="86"/>
  <c r="A4" i="86"/>
  <c r="A3" i="86"/>
  <c r="A60" i="85"/>
  <c r="A59" i="85"/>
  <c r="A58" i="85"/>
  <c r="A57" i="85"/>
  <c r="A56" i="85"/>
  <c r="A55" i="85"/>
  <c r="A54" i="85"/>
  <c r="A53" i="85"/>
  <c r="A52" i="85"/>
  <c r="A51" i="85"/>
  <c r="A47" i="85"/>
  <c r="A46" i="85"/>
  <c r="A45" i="85"/>
  <c r="A44" i="85"/>
  <c r="A43" i="85"/>
  <c r="A42" i="85"/>
  <c r="A41" i="85"/>
  <c r="A40" i="85"/>
  <c r="A39" i="85"/>
  <c r="A38" i="85"/>
  <c r="A37" i="85"/>
  <c r="A36" i="85"/>
  <c r="A35" i="85"/>
  <c r="A34" i="85"/>
  <c r="A33" i="85"/>
  <c r="A32" i="85"/>
  <c r="A31" i="85"/>
  <c r="A30" i="85"/>
  <c r="A29" i="85"/>
  <c r="A25" i="85"/>
  <c r="A24" i="85"/>
  <c r="A23" i="85"/>
  <c r="A22" i="85"/>
  <c r="A21" i="85"/>
  <c r="A20" i="85"/>
  <c r="A19" i="85"/>
  <c r="A18" i="85"/>
  <c r="A17" i="85"/>
  <c r="A16" i="85"/>
  <c r="A15" i="85"/>
  <c r="A14" i="85"/>
  <c r="A13" i="85"/>
  <c r="A12" i="85"/>
  <c r="A11" i="85"/>
  <c r="A10" i="85"/>
  <c r="A9" i="85"/>
  <c r="A5" i="85"/>
  <c r="A4" i="85"/>
  <c r="A3" i="85"/>
  <c r="A60" i="84"/>
  <c r="A59" i="84"/>
  <c r="A58" i="84"/>
  <c r="A57" i="84"/>
  <c r="A56" i="84"/>
  <c r="A55" i="84"/>
  <c r="A54" i="84"/>
  <c r="A53" i="84"/>
  <c r="A52" i="84"/>
  <c r="A51" i="84"/>
  <c r="A47" i="84"/>
  <c r="A46" i="84"/>
  <c r="A45" i="84"/>
  <c r="A44" i="84"/>
  <c r="A43" i="84"/>
  <c r="A42" i="84"/>
  <c r="A41" i="84"/>
  <c r="A40" i="84"/>
  <c r="A39" i="84"/>
  <c r="A38" i="84"/>
  <c r="A37" i="84"/>
  <c r="A36" i="84"/>
  <c r="A35" i="84"/>
  <c r="A34" i="84"/>
  <c r="A33" i="84"/>
  <c r="A32" i="84"/>
  <c r="A31" i="84"/>
  <c r="A30" i="84"/>
  <c r="A29" i="84"/>
  <c r="A25" i="84"/>
  <c r="A24" i="84"/>
  <c r="A23" i="84"/>
  <c r="A22" i="84"/>
  <c r="A21" i="84"/>
  <c r="A20" i="84"/>
  <c r="A19" i="84"/>
  <c r="A18" i="84"/>
  <c r="A17" i="84"/>
  <c r="A16" i="84"/>
  <c r="A15" i="84"/>
  <c r="A14" i="84"/>
  <c r="A13" i="84"/>
  <c r="A12" i="84"/>
  <c r="A11" i="84"/>
  <c r="A10" i="84"/>
  <c r="A9" i="84"/>
  <c r="A5" i="84"/>
  <c r="A4" i="84"/>
  <c r="A3" i="84"/>
  <c r="A60" i="83"/>
  <c r="A59" i="83"/>
  <c r="A58" i="83"/>
  <c r="A57" i="83"/>
  <c r="A56" i="83"/>
  <c r="A55" i="83"/>
  <c r="A54" i="83"/>
  <c r="A53" i="83"/>
  <c r="A52" i="83"/>
  <c r="A51" i="83"/>
  <c r="A47" i="83"/>
  <c r="A46" i="83"/>
  <c r="A45" i="83"/>
  <c r="A44" i="83"/>
  <c r="A43" i="83"/>
  <c r="A42" i="83"/>
  <c r="A41" i="83"/>
  <c r="A40" i="83"/>
  <c r="A39" i="83"/>
  <c r="A38" i="83"/>
  <c r="A37" i="83"/>
  <c r="A36" i="83"/>
  <c r="A35" i="83"/>
  <c r="A34" i="83"/>
  <c r="A33" i="83"/>
  <c r="A32" i="83"/>
  <c r="A31" i="83"/>
  <c r="A30" i="83"/>
  <c r="A29" i="83"/>
  <c r="A25" i="83"/>
  <c r="A24" i="83"/>
  <c r="A23" i="83"/>
  <c r="A22" i="83"/>
  <c r="A21" i="83"/>
  <c r="A20" i="83"/>
  <c r="A19" i="83"/>
  <c r="A18" i="83"/>
  <c r="A17" i="83"/>
  <c r="A16" i="83"/>
  <c r="A15" i="83"/>
  <c r="A14" i="83"/>
  <c r="A13" i="83"/>
  <c r="A12" i="83"/>
  <c r="A11" i="83"/>
  <c r="A10" i="83"/>
  <c r="A9" i="83"/>
  <c r="A5" i="83"/>
  <c r="A4" i="83"/>
  <c r="A3" i="83"/>
  <c r="A60" i="88"/>
  <c r="A59" i="88"/>
  <c r="A58" i="88"/>
  <c r="A57" i="88"/>
  <c r="A56" i="88"/>
  <c r="A55" i="88"/>
  <c r="A54" i="88"/>
  <c r="A53" i="88"/>
  <c r="A52" i="88"/>
  <c r="A51" i="88"/>
  <c r="A47" i="88"/>
  <c r="A46" i="88"/>
  <c r="A45" i="88"/>
  <c r="A44" i="88"/>
  <c r="A43" i="88"/>
  <c r="A42" i="88"/>
  <c r="A41" i="88"/>
  <c r="A40" i="88"/>
  <c r="A39" i="88"/>
  <c r="A38" i="88"/>
  <c r="A37" i="88"/>
  <c r="A36" i="88"/>
  <c r="A35" i="88"/>
  <c r="A34" i="88"/>
  <c r="A33" i="88"/>
  <c r="A32" i="88"/>
  <c r="A31" i="88"/>
  <c r="A30" i="88"/>
  <c r="A29" i="88"/>
  <c r="A25" i="88"/>
  <c r="A24" i="88"/>
  <c r="A23" i="88"/>
  <c r="A22" i="88"/>
  <c r="A21" i="88"/>
  <c r="A20" i="88"/>
  <c r="A19" i="88"/>
  <c r="A18" i="88"/>
  <c r="A17" i="88"/>
  <c r="A16" i="88"/>
  <c r="A15" i="88"/>
  <c r="A14" i="88"/>
  <c r="A13" i="88"/>
  <c r="A12" i="88"/>
  <c r="A11" i="88"/>
  <c r="A10" i="88"/>
  <c r="A9" i="88"/>
  <c r="A5" i="88"/>
  <c r="A4" i="88"/>
  <c r="A3" i="88"/>
  <c r="A60" i="78"/>
  <c r="A59" i="78"/>
  <c r="A58" i="78"/>
  <c r="A57" i="78"/>
  <c r="A56" i="78"/>
  <c r="A55" i="78"/>
  <c r="A54" i="78"/>
  <c r="A53" i="78"/>
  <c r="A52" i="78"/>
  <c r="A51" i="78"/>
  <c r="A47" i="78"/>
  <c r="A46" i="78"/>
  <c r="A45" i="78"/>
  <c r="A44" i="78"/>
  <c r="A43" i="78"/>
  <c r="A42" i="78"/>
  <c r="A41" i="78"/>
  <c r="A40" i="78"/>
  <c r="A39" i="78"/>
  <c r="A38" i="78"/>
  <c r="A37" i="78"/>
  <c r="A36" i="78"/>
  <c r="A35" i="78"/>
  <c r="A34" i="78"/>
  <c r="A33" i="78"/>
  <c r="A32" i="78"/>
  <c r="A31" i="78"/>
  <c r="A30" i="78"/>
  <c r="A29" i="78"/>
  <c r="A25" i="78"/>
  <c r="A24" i="78"/>
  <c r="A23" i="78"/>
  <c r="A22" i="78"/>
  <c r="A21" i="78"/>
  <c r="A20" i="78"/>
  <c r="A19" i="78"/>
  <c r="A18" i="78"/>
  <c r="A17" i="78"/>
  <c r="A16" i="78"/>
  <c r="A15" i="78"/>
  <c r="A14" i="78"/>
  <c r="A13" i="78"/>
  <c r="A12" i="78"/>
  <c r="A11" i="78"/>
  <c r="A10" i="78"/>
  <c r="A9" i="78"/>
  <c r="A5" i="78"/>
  <c r="A4" i="78"/>
  <c r="A3" i="78"/>
  <c r="A60" i="116"/>
  <c r="A59" i="116"/>
  <c r="A58" i="116"/>
  <c r="A57" i="116"/>
  <c r="A56" i="116"/>
  <c r="A55" i="116"/>
  <c r="A54" i="116"/>
  <c r="A53" i="116"/>
  <c r="A52" i="116"/>
  <c r="A51" i="116"/>
  <c r="A47" i="116"/>
  <c r="A46" i="116"/>
  <c r="A45" i="116"/>
  <c r="A44" i="116"/>
  <c r="A43" i="116"/>
  <c r="A42" i="116"/>
  <c r="A41" i="116"/>
  <c r="A40" i="116"/>
  <c r="A39" i="116"/>
  <c r="A38" i="116"/>
  <c r="A37" i="116"/>
  <c r="A36" i="116"/>
  <c r="A35" i="116"/>
  <c r="A34" i="116"/>
  <c r="A33" i="116"/>
  <c r="A32" i="116"/>
  <c r="A31" i="116"/>
  <c r="A30" i="116"/>
  <c r="A29" i="116"/>
  <c r="A25" i="116"/>
  <c r="A24" i="116"/>
  <c r="A23" i="116"/>
  <c r="A22" i="116"/>
  <c r="A21" i="116"/>
  <c r="A20" i="116"/>
  <c r="A19" i="116"/>
  <c r="A18" i="116"/>
  <c r="A17" i="116"/>
  <c r="A16" i="116"/>
  <c r="A15" i="116"/>
  <c r="A14" i="116"/>
  <c r="A13" i="116"/>
  <c r="A12" i="116"/>
  <c r="A11" i="116"/>
  <c r="A10" i="116"/>
  <c r="A9" i="116"/>
  <c r="A5" i="116"/>
  <c r="A4" i="116"/>
  <c r="A3" i="116"/>
  <c r="A60" i="104"/>
  <c r="A59" i="104"/>
  <c r="A58" i="104"/>
  <c r="A57" i="104"/>
  <c r="A56" i="104"/>
  <c r="A55" i="104"/>
  <c r="A54" i="104"/>
  <c r="A53" i="104"/>
  <c r="A52" i="104"/>
  <c r="A51" i="104"/>
  <c r="A47" i="104"/>
  <c r="A46" i="104"/>
  <c r="A45" i="104"/>
  <c r="A44" i="104"/>
  <c r="A43" i="104"/>
  <c r="A42" i="104"/>
  <c r="A41" i="104"/>
  <c r="A40" i="104"/>
  <c r="A39" i="104"/>
  <c r="A38" i="104"/>
  <c r="A37" i="104"/>
  <c r="A36" i="104"/>
  <c r="A35" i="104"/>
  <c r="A34" i="104"/>
  <c r="A33" i="104"/>
  <c r="A32" i="104"/>
  <c r="A31" i="104"/>
  <c r="A30" i="104"/>
  <c r="A29" i="104"/>
  <c r="A25" i="104"/>
  <c r="A24" i="104"/>
  <c r="A23" i="104"/>
  <c r="A22" i="104"/>
  <c r="A21" i="104"/>
  <c r="A20" i="104"/>
  <c r="A19" i="104"/>
  <c r="A18" i="104"/>
  <c r="A17" i="104"/>
  <c r="A16" i="104"/>
  <c r="A15" i="104"/>
  <c r="A14" i="104"/>
  <c r="A13" i="104"/>
  <c r="A12" i="104"/>
  <c r="A11" i="104"/>
  <c r="A10" i="104"/>
  <c r="A9" i="104"/>
  <c r="A5" i="104"/>
  <c r="A4" i="104"/>
  <c r="A3" i="104"/>
  <c r="A60" i="115"/>
  <c r="A59" i="115"/>
  <c r="A58" i="115"/>
  <c r="A57" i="115"/>
  <c r="A56" i="115"/>
  <c r="A55" i="115"/>
  <c r="A54" i="115"/>
  <c r="A53" i="115"/>
  <c r="A52" i="115"/>
  <c r="A51" i="115"/>
  <c r="A47" i="115"/>
  <c r="A46" i="115"/>
  <c r="A45" i="115"/>
  <c r="A44" i="115"/>
  <c r="A43" i="115"/>
  <c r="A42" i="115"/>
  <c r="A41" i="115"/>
  <c r="A40" i="115"/>
  <c r="A39" i="115"/>
  <c r="A38" i="115"/>
  <c r="A37" i="115"/>
  <c r="A36" i="115"/>
  <c r="A35" i="115"/>
  <c r="A34" i="115"/>
  <c r="A33" i="115"/>
  <c r="A32" i="115"/>
  <c r="A31" i="115"/>
  <c r="A30" i="115"/>
  <c r="A29" i="115"/>
  <c r="A25" i="115"/>
  <c r="A24" i="115"/>
  <c r="A23" i="115"/>
  <c r="A22" i="115"/>
  <c r="A21" i="115"/>
  <c r="A20" i="115"/>
  <c r="A19" i="115"/>
  <c r="A18" i="115"/>
  <c r="A17" i="115"/>
  <c r="A16" i="115"/>
  <c r="A15" i="115"/>
  <c r="A14" i="115"/>
  <c r="A13" i="115"/>
  <c r="A12" i="115"/>
  <c r="A11" i="115"/>
  <c r="A10" i="115"/>
  <c r="A9" i="115"/>
  <c r="A5" i="115"/>
  <c r="A4" i="115"/>
  <c r="A3" i="115"/>
  <c r="A60" i="114"/>
  <c r="A59" i="114"/>
  <c r="A58" i="114"/>
  <c r="A57" i="114"/>
  <c r="A56" i="114"/>
  <c r="A55" i="114"/>
  <c r="A54" i="114"/>
  <c r="A53" i="114"/>
  <c r="A52" i="114"/>
  <c r="A51" i="114"/>
  <c r="A47" i="114"/>
  <c r="A46" i="114"/>
  <c r="A45" i="114"/>
  <c r="A44" i="114"/>
  <c r="A43" i="114"/>
  <c r="A42" i="114"/>
  <c r="A41" i="114"/>
  <c r="A40" i="114"/>
  <c r="A39" i="114"/>
  <c r="A38" i="114"/>
  <c r="A37" i="114"/>
  <c r="A36" i="114"/>
  <c r="A35" i="114"/>
  <c r="A34" i="114"/>
  <c r="A33" i="114"/>
  <c r="A32" i="114"/>
  <c r="A31" i="114"/>
  <c r="A30" i="114"/>
  <c r="A29" i="114"/>
  <c r="A25" i="114"/>
  <c r="A24" i="114"/>
  <c r="A23" i="114"/>
  <c r="A22" i="114"/>
  <c r="A21" i="114"/>
  <c r="A20" i="114"/>
  <c r="A19" i="114"/>
  <c r="A18" i="114"/>
  <c r="A17" i="114"/>
  <c r="A16" i="114"/>
  <c r="A15" i="114"/>
  <c r="A14" i="114"/>
  <c r="A13" i="114"/>
  <c r="A12" i="114"/>
  <c r="A11" i="114"/>
  <c r="A10" i="114"/>
  <c r="A9" i="114"/>
  <c r="A5" i="114"/>
  <c r="A4" i="114"/>
  <c r="A3" i="114"/>
  <c r="A60" i="113"/>
  <c r="A59" i="113"/>
  <c r="A58" i="113"/>
  <c r="A57" i="113"/>
  <c r="A56" i="113"/>
  <c r="A55" i="113"/>
  <c r="A54" i="113"/>
  <c r="A53" i="113"/>
  <c r="A52" i="113"/>
  <c r="A51" i="113"/>
  <c r="A47" i="113"/>
  <c r="A46" i="113"/>
  <c r="A45" i="113"/>
  <c r="A44" i="113"/>
  <c r="A43" i="113"/>
  <c r="A42" i="113"/>
  <c r="A41" i="113"/>
  <c r="A40" i="113"/>
  <c r="A39" i="113"/>
  <c r="A38" i="113"/>
  <c r="A37" i="113"/>
  <c r="A36" i="113"/>
  <c r="A35" i="113"/>
  <c r="A34" i="113"/>
  <c r="A33" i="113"/>
  <c r="A32" i="113"/>
  <c r="A31" i="113"/>
  <c r="A30" i="113"/>
  <c r="A29" i="113"/>
  <c r="A25" i="113"/>
  <c r="A24" i="113"/>
  <c r="A23" i="113"/>
  <c r="A22" i="113"/>
  <c r="A21" i="113"/>
  <c r="A20" i="113"/>
  <c r="A19" i="113"/>
  <c r="A18" i="113"/>
  <c r="A17" i="113"/>
  <c r="A16" i="113"/>
  <c r="A15" i="113"/>
  <c r="A14" i="113"/>
  <c r="A13" i="113"/>
  <c r="A12" i="113"/>
  <c r="A11" i="113"/>
  <c r="A10" i="113"/>
  <c r="A9" i="113"/>
  <c r="A5" i="113"/>
  <c r="A4" i="113"/>
  <c r="A3" i="113"/>
  <c r="A60" i="112"/>
  <c r="A59" i="112"/>
  <c r="A58" i="112"/>
  <c r="A57" i="112"/>
  <c r="A56" i="112"/>
  <c r="A55" i="112"/>
  <c r="A54" i="112"/>
  <c r="A53" i="112"/>
  <c r="A52" i="112"/>
  <c r="A51" i="112"/>
  <c r="A47" i="112"/>
  <c r="A46" i="112"/>
  <c r="A45" i="112"/>
  <c r="A44" i="112"/>
  <c r="A43" i="112"/>
  <c r="A42" i="112"/>
  <c r="A41" i="112"/>
  <c r="A40" i="112"/>
  <c r="A39" i="112"/>
  <c r="A38" i="112"/>
  <c r="A37" i="112"/>
  <c r="A36" i="112"/>
  <c r="A35" i="112"/>
  <c r="A34" i="112"/>
  <c r="A33" i="112"/>
  <c r="A32" i="112"/>
  <c r="A31" i="112"/>
  <c r="A30" i="112"/>
  <c r="A29" i="112"/>
  <c r="A25" i="112"/>
  <c r="A24" i="112"/>
  <c r="A23" i="112"/>
  <c r="A22" i="112"/>
  <c r="A21" i="112"/>
  <c r="A20" i="112"/>
  <c r="A19" i="112"/>
  <c r="A18" i="112"/>
  <c r="A17" i="112"/>
  <c r="A16" i="112"/>
  <c r="A15" i="112"/>
  <c r="A14" i="112"/>
  <c r="A13" i="112"/>
  <c r="A12" i="112"/>
  <c r="A11" i="112"/>
  <c r="A10" i="112"/>
  <c r="A9" i="112"/>
  <c r="A5" i="112"/>
  <c r="A4" i="112"/>
  <c r="A3" i="112"/>
  <c r="A60" i="97"/>
  <c r="A59" i="97"/>
  <c r="A58" i="97"/>
  <c r="A57" i="97"/>
  <c r="A56" i="97"/>
  <c r="A55" i="97"/>
  <c r="A54" i="97"/>
  <c r="A53" i="97"/>
  <c r="A52" i="97"/>
  <c r="A51" i="97"/>
  <c r="A47" i="97"/>
  <c r="A46" i="97"/>
  <c r="A45" i="97"/>
  <c r="A44" i="97"/>
  <c r="A43" i="97"/>
  <c r="A42" i="97"/>
  <c r="A41" i="97"/>
  <c r="A40" i="97"/>
  <c r="A39" i="97"/>
  <c r="A38" i="97"/>
  <c r="A37" i="97"/>
  <c r="A36" i="97"/>
  <c r="A35" i="97"/>
  <c r="A34" i="97"/>
  <c r="A33" i="97"/>
  <c r="A32" i="97"/>
  <c r="A31" i="97"/>
  <c r="A30" i="97"/>
  <c r="A29" i="97"/>
  <c r="A25" i="97"/>
  <c r="A24" i="97"/>
  <c r="A23" i="97"/>
  <c r="A22" i="97"/>
  <c r="A21" i="97"/>
  <c r="A20" i="97"/>
  <c r="A19" i="97"/>
  <c r="A18" i="97"/>
  <c r="A17" i="97"/>
  <c r="A16" i="97"/>
  <c r="A15" i="97"/>
  <c r="A14" i="97"/>
  <c r="A13" i="97"/>
  <c r="A12" i="97"/>
  <c r="A11" i="97"/>
  <c r="A10" i="97"/>
  <c r="A9" i="97"/>
  <c r="A5" i="97"/>
  <c r="A4" i="97"/>
  <c r="A3" i="97"/>
  <c r="A60" i="100"/>
  <c r="A59" i="100"/>
  <c r="A58" i="100"/>
  <c r="A57" i="100"/>
  <c r="A56" i="100"/>
  <c r="A55" i="100"/>
  <c r="A54" i="100"/>
  <c r="A53" i="100"/>
  <c r="A52" i="100"/>
  <c r="A51" i="100"/>
  <c r="A47" i="100"/>
  <c r="A46" i="100"/>
  <c r="A45" i="100"/>
  <c r="A44" i="100"/>
  <c r="A43" i="100"/>
  <c r="A42" i="100"/>
  <c r="A41" i="100"/>
  <c r="A40" i="100"/>
  <c r="A39" i="100"/>
  <c r="A38" i="100"/>
  <c r="A37" i="100"/>
  <c r="A36" i="100"/>
  <c r="A35" i="100"/>
  <c r="A34" i="100"/>
  <c r="A33" i="100"/>
  <c r="A32" i="100"/>
  <c r="A31" i="100"/>
  <c r="A30" i="100"/>
  <c r="A29" i="100"/>
  <c r="A25" i="100"/>
  <c r="A24" i="100"/>
  <c r="A23" i="100"/>
  <c r="A22" i="100"/>
  <c r="A21" i="100"/>
  <c r="A20" i="100"/>
  <c r="A19" i="100"/>
  <c r="A18" i="100"/>
  <c r="A17" i="100"/>
  <c r="A16" i="100"/>
  <c r="A15" i="100"/>
  <c r="A14" i="100"/>
  <c r="A13" i="100"/>
  <c r="A12" i="100"/>
  <c r="A11" i="100"/>
  <c r="A10" i="100"/>
  <c r="A9" i="100"/>
  <c r="A5" i="100"/>
  <c r="A4" i="100"/>
  <c r="A3" i="100"/>
  <c r="A60" i="89"/>
  <c r="A59" i="89"/>
  <c r="A58" i="89"/>
  <c r="A57" i="89"/>
  <c r="A56" i="89"/>
  <c r="A55" i="89"/>
  <c r="A54" i="89"/>
  <c r="A53" i="89"/>
  <c r="A52" i="89"/>
  <c r="A51" i="89"/>
  <c r="A47" i="89"/>
  <c r="A46" i="89"/>
  <c r="A45" i="89"/>
  <c r="A44" i="89"/>
  <c r="A43" i="89"/>
  <c r="A42" i="89"/>
  <c r="A41" i="89"/>
  <c r="A40" i="89"/>
  <c r="A39" i="89"/>
  <c r="A38" i="89"/>
  <c r="A37" i="89"/>
  <c r="A36" i="89"/>
  <c r="A35" i="89"/>
  <c r="A34" i="89"/>
  <c r="A33" i="89"/>
  <c r="A32" i="89"/>
  <c r="A31" i="89"/>
  <c r="A30" i="89"/>
  <c r="A29" i="89"/>
  <c r="A25" i="89"/>
  <c r="A24" i="89"/>
  <c r="A23" i="89"/>
  <c r="A22" i="89"/>
  <c r="A21" i="89"/>
  <c r="A20" i="89"/>
  <c r="A19" i="89"/>
  <c r="A18" i="89"/>
  <c r="A17" i="89"/>
  <c r="A16" i="89"/>
  <c r="A15" i="89"/>
  <c r="A14" i="89"/>
  <c r="A13" i="89"/>
  <c r="A12" i="89"/>
  <c r="A11" i="89"/>
  <c r="A10" i="89"/>
  <c r="A9" i="89"/>
  <c r="A5" i="89"/>
  <c r="A4" i="89"/>
  <c r="A3" i="89"/>
  <c r="A60" i="76"/>
  <c r="A59" i="76"/>
  <c r="A58" i="76"/>
  <c r="A57" i="76"/>
  <c r="A56" i="76"/>
  <c r="A55" i="76"/>
  <c r="A54" i="76"/>
  <c r="A53" i="76"/>
  <c r="A52" i="76"/>
  <c r="A51" i="76"/>
  <c r="A47" i="76"/>
  <c r="A46" i="76"/>
  <c r="A45" i="76"/>
  <c r="A44" i="76"/>
  <c r="A43" i="76"/>
  <c r="A42" i="76"/>
  <c r="A41" i="76"/>
  <c r="A40" i="76"/>
  <c r="A39" i="76"/>
  <c r="A38" i="76"/>
  <c r="A37" i="76"/>
  <c r="A36" i="76"/>
  <c r="A35" i="76"/>
  <c r="A34" i="76"/>
  <c r="A33" i="76"/>
  <c r="A32" i="76"/>
  <c r="A31" i="76"/>
  <c r="A30" i="76"/>
  <c r="A29" i="76"/>
  <c r="A25" i="76"/>
  <c r="A24" i="76"/>
  <c r="A23" i="76"/>
  <c r="A22" i="76"/>
  <c r="A21" i="76"/>
  <c r="A20" i="76"/>
  <c r="A19" i="76"/>
  <c r="A18" i="76"/>
  <c r="A17" i="76"/>
  <c r="A16" i="76"/>
  <c r="A15" i="76"/>
  <c r="A14" i="76"/>
  <c r="A13" i="76"/>
  <c r="A12" i="76"/>
  <c r="A11" i="76"/>
  <c r="A10" i="76"/>
  <c r="A9" i="76"/>
  <c r="A5" i="76"/>
  <c r="A4" i="76"/>
  <c r="A3" i="76"/>
  <c r="A60" i="107"/>
  <c r="A59" i="107"/>
  <c r="A58" i="107"/>
  <c r="A57" i="107"/>
  <c r="A56" i="107"/>
  <c r="A55" i="107"/>
  <c r="A54" i="107"/>
  <c r="A53" i="107"/>
  <c r="A52" i="107"/>
  <c r="A51" i="107"/>
  <c r="A47" i="107"/>
  <c r="A46" i="107"/>
  <c r="A45" i="107"/>
  <c r="A44" i="107"/>
  <c r="A43" i="107"/>
  <c r="A42" i="107"/>
  <c r="A41" i="107"/>
  <c r="A40" i="107"/>
  <c r="A39" i="107"/>
  <c r="A38" i="107"/>
  <c r="A37" i="107"/>
  <c r="A36" i="107"/>
  <c r="A35" i="107"/>
  <c r="A34" i="107"/>
  <c r="A33" i="107"/>
  <c r="A32" i="107"/>
  <c r="A31" i="107"/>
  <c r="A30" i="107"/>
  <c r="A29" i="107"/>
  <c r="A25" i="107"/>
  <c r="A24" i="107"/>
  <c r="A23" i="107"/>
  <c r="A22" i="107"/>
  <c r="A21" i="107"/>
  <c r="A20" i="107"/>
  <c r="A19" i="107"/>
  <c r="A18" i="107"/>
  <c r="A17" i="107"/>
  <c r="A16" i="107"/>
  <c r="A15" i="107"/>
  <c r="A14" i="107"/>
  <c r="A13" i="107"/>
  <c r="A12" i="107"/>
  <c r="A11" i="107"/>
  <c r="A10" i="107"/>
  <c r="A9" i="107"/>
  <c r="A5" i="107"/>
  <c r="A4" i="107"/>
  <c r="A3" i="107"/>
  <c r="A60" i="111"/>
  <c r="A59" i="111"/>
  <c r="A58" i="111"/>
  <c r="A57" i="111"/>
  <c r="A56" i="111"/>
  <c r="A55" i="111"/>
  <c r="A54" i="111"/>
  <c r="A53" i="111"/>
  <c r="A52" i="111"/>
  <c r="A51" i="111"/>
  <c r="A47" i="111"/>
  <c r="A46" i="111"/>
  <c r="A45" i="111"/>
  <c r="A44" i="111"/>
  <c r="A43" i="111"/>
  <c r="A42" i="111"/>
  <c r="A41" i="111"/>
  <c r="A40" i="111"/>
  <c r="A39" i="111"/>
  <c r="A38" i="111"/>
  <c r="A37" i="111"/>
  <c r="A36" i="111"/>
  <c r="A35" i="111"/>
  <c r="A34" i="111"/>
  <c r="A33" i="111"/>
  <c r="A32" i="111"/>
  <c r="A31" i="111"/>
  <c r="A30" i="111"/>
  <c r="A29" i="111"/>
  <c r="A25" i="111"/>
  <c r="A24" i="111"/>
  <c r="A23" i="111"/>
  <c r="A22" i="111"/>
  <c r="A21" i="111"/>
  <c r="A20" i="111"/>
  <c r="A19" i="111"/>
  <c r="A18" i="111"/>
  <c r="A17" i="111"/>
  <c r="A16" i="111"/>
  <c r="A15" i="111"/>
  <c r="A14" i="111"/>
  <c r="A13" i="111"/>
  <c r="A12" i="111"/>
  <c r="A11" i="111"/>
  <c r="A10" i="111"/>
  <c r="A9" i="111"/>
  <c r="A5" i="111"/>
  <c r="A4" i="111"/>
  <c r="A3" i="111"/>
  <c r="A60" i="77"/>
  <c r="A59" i="77"/>
  <c r="A58" i="77"/>
  <c r="A57" i="77"/>
  <c r="A56" i="77"/>
  <c r="A55" i="77"/>
  <c r="A54" i="77"/>
  <c r="A53" i="77"/>
  <c r="A52" i="77"/>
  <c r="A51" i="77"/>
  <c r="A47" i="77"/>
  <c r="A46" i="77"/>
  <c r="A45" i="77"/>
  <c r="A44" i="77"/>
  <c r="A43" i="77"/>
  <c r="A42" i="77"/>
  <c r="A41" i="77"/>
  <c r="A40" i="77"/>
  <c r="A39" i="77"/>
  <c r="A38" i="77"/>
  <c r="A37" i="77"/>
  <c r="A36" i="77"/>
  <c r="A35" i="77"/>
  <c r="A34" i="77"/>
  <c r="A33" i="77"/>
  <c r="A32" i="77"/>
  <c r="A31" i="77"/>
  <c r="A30" i="77"/>
  <c r="A29" i="77"/>
  <c r="A25" i="77"/>
  <c r="A24" i="77"/>
  <c r="A23" i="77"/>
  <c r="A22" i="77"/>
  <c r="A21" i="77"/>
  <c r="A20" i="77"/>
  <c r="A19" i="77"/>
  <c r="A18" i="77"/>
  <c r="A17" i="77"/>
  <c r="A16" i="77"/>
  <c r="A15" i="77"/>
  <c r="A14" i="77"/>
  <c r="A13" i="77"/>
  <c r="A12" i="77"/>
  <c r="A11" i="77"/>
  <c r="A10" i="77"/>
  <c r="A9" i="77"/>
  <c r="A5" i="77"/>
  <c r="A4" i="77"/>
  <c r="A3" i="77"/>
  <c r="A60" i="82"/>
  <c r="A59" i="82"/>
  <c r="A58" i="82"/>
  <c r="A57" i="82"/>
  <c r="A56" i="82"/>
  <c r="A55" i="82"/>
  <c r="A54" i="82"/>
  <c r="A53" i="82"/>
  <c r="A52" i="82"/>
  <c r="A51" i="82"/>
  <c r="A47" i="82"/>
  <c r="A46" i="82"/>
  <c r="A45" i="82"/>
  <c r="A44" i="82"/>
  <c r="A43" i="82"/>
  <c r="A42" i="82"/>
  <c r="A41" i="82"/>
  <c r="A40" i="82"/>
  <c r="A39" i="82"/>
  <c r="A38" i="82"/>
  <c r="A37" i="82"/>
  <c r="A36" i="82"/>
  <c r="A35" i="82"/>
  <c r="A34" i="82"/>
  <c r="A33" i="82"/>
  <c r="A32" i="82"/>
  <c r="A31" i="82"/>
  <c r="A30" i="82"/>
  <c r="A29" i="82"/>
  <c r="A25" i="82"/>
  <c r="A24" i="82"/>
  <c r="A23" i="82"/>
  <c r="A22" i="82"/>
  <c r="A21" i="82"/>
  <c r="A20" i="82"/>
  <c r="A19" i="82"/>
  <c r="A18" i="82"/>
  <c r="A17" i="82"/>
  <c r="A16" i="82"/>
  <c r="A15" i="82"/>
  <c r="A14" i="82"/>
  <c r="A13" i="82"/>
  <c r="A12" i="82"/>
  <c r="A11" i="82"/>
  <c r="A10" i="82"/>
  <c r="A9" i="82"/>
  <c r="A5" i="82"/>
  <c r="A4" i="82"/>
  <c r="A3" i="82"/>
  <c r="A60" i="75"/>
  <c r="A59" i="75"/>
  <c r="A58" i="75"/>
  <c r="A57" i="75"/>
  <c r="A56" i="75"/>
  <c r="A55" i="75"/>
  <c r="A54" i="75"/>
  <c r="A53" i="75"/>
  <c r="A52" i="75"/>
  <c r="A51" i="75"/>
  <c r="A47" i="75"/>
  <c r="A46" i="75"/>
  <c r="A45" i="75"/>
  <c r="A44" i="75"/>
  <c r="A43" i="75"/>
  <c r="A42" i="75"/>
  <c r="A41" i="75"/>
  <c r="A40" i="75"/>
  <c r="A39" i="75"/>
  <c r="A38" i="75"/>
  <c r="A37" i="75"/>
  <c r="A36" i="75"/>
  <c r="A35" i="75"/>
  <c r="A34" i="75"/>
  <c r="A33" i="75"/>
  <c r="A32" i="75"/>
  <c r="A31" i="75"/>
  <c r="A30" i="75"/>
  <c r="A29" i="75"/>
  <c r="A25" i="75"/>
  <c r="A24" i="75"/>
  <c r="A23" i="75"/>
  <c r="A22" i="75"/>
  <c r="A21" i="75"/>
  <c r="A20" i="75"/>
  <c r="A19" i="75"/>
  <c r="A18" i="75"/>
  <c r="A17" i="75"/>
  <c r="A16" i="75"/>
  <c r="A15" i="75"/>
  <c r="A14" i="75"/>
  <c r="A13" i="75"/>
  <c r="A12" i="75"/>
  <c r="A11" i="75"/>
  <c r="A10" i="75"/>
  <c r="A9" i="75"/>
  <c r="A5" i="75"/>
  <c r="A4" i="75"/>
  <c r="A3" i="75"/>
  <c r="A60" i="72"/>
  <c r="A59" i="72"/>
  <c r="A58" i="72"/>
  <c r="A57" i="72"/>
  <c r="A56" i="72"/>
  <c r="A55" i="72"/>
  <c r="A54" i="72"/>
  <c r="A53" i="72"/>
  <c r="A52" i="72"/>
  <c r="A51" i="72"/>
  <c r="A47" i="72"/>
  <c r="A46" i="72"/>
  <c r="A45" i="72"/>
  <c r="A44" i="72"/>
  <c r="A43" i="72"/>
  <c r="A42" i="72"/>
  <c r="A41" i="72"/>
  <c r="A40" i="72"/>
  <c r="A39" i="72"/>
  <c r="A38" i="72"/>
  <c r="A37" i="72"/>
  <c r="A36" i="72"/>
  <c r="A35" i="72"/>
  <c r="A34" i="72"/>
  <c r="A33" i="72"/>
  <c r="A32" i="72"/>
  <c r="A31" i="72"/>
  <c r="A30" i="72"/>
  <c r="A29" i="72"/>
  <c r="A25" i="72"/>
  <c r="A24" i="72"/>
  <c r="A23" i="72"/>
  <c r="A22" i="72"/>
  <c r="A21" i="72"/>
  <c r="A20" i="72"/>
  <c r="A19" i="72"/>
  <c r="A18" i="72"/>
  <c r="A17" i="72"/>
  <c r="A16" i="72"/>
  <c r="A15" i="72"/>
  <c r="A14" i="72"/>
  <c r="A13" i="72"/>
  <c r="A12" i="72"/>
  <c r="A11" i="72"/>
  <c r="A10" i="72"/>
  <c r="A9" i="72"/>
  <c r="A5" i="72"/>
  <c r="A4" i="72"/>
  <c r="A3" i="72"/>
  <c r="A60" i="81"/>
  <c r="A59" i="81"/>
  <c r="A58" i="81"/>
  <c r="A57" i="81"/>
  <c r="A56" i="81"/>
  <c r="A55" i="81"/>
  <c r="A54" i="81"/>
  <c r="A53" i="81"/>
  <c r="A52" i="81"/>
  <c r="A51" i="81"/>
  <c r="A47" i="81"/>
  <c r="A46" i="81"/>
  <c r="A45" i="81"/>
  <c r="A44" i="81"/>
  <c r="A43" i="81"/>
  <c r="A42" i="81"/>
  <c r="A41" i="81"/>
  <c r="A40" i="81"/>
  <c r="A39" i="81"/>
  <c r="A38" i="81"/>
  <c r="A37" i="81"/>
  <c r="A36" i="81"/>
  <c r="A35" i="81"/>
  <c r="A34" i="81"/>
  <c r="A33" i="81"/>
  <c r="A32" i="81"/>
  <c r="A31" i="81"/>
  <c r="A30" i="81"/>
  <c r="A29" i="81"/>
  <c r="A25" i="81"/>
  <c r="A24" i="81"/>
  <c r="A23" i="81"/>
  <c r="A22" i="81"/>
  <c r="A21" i="81"/>
  <c r="A20" i="81"/>
  <c r="A19" i="81"/>
  <c r="A18" i="81"/>
  <c r="A17" i="81"/>
  <c r="A16" i="81"/>
  <c r="A15" i="81"/>
  <c r="A14" i="81"/>
  <c r="A13" i="81"/>
  <c r="A12" i="81"/>
  <c r="A11" i="81"/>
  <c r="A10" i="81"/>
  <c r="A9" i="81"/>
  <c r="A5" i="81"/>
  <c r="A4" i="81"/>
  <c r="A3" i="81"/>
  <c r="A60" i="13"/>
  <c r="A59" i="13"/>
  <c r="A58" i="13"/>
  <c r="A57" i="13"/>
  <c r="A56" i="13"/>
  <c r="A55" i="13"/>
  <c r="A54" i="13"/>
  <c r="A53" i="13"/>
  <c r="A52" i="13"/>
  <c r="A51" i="13"/>
  <c r="A47" i="13"/>
  <c r="A46" i="13"/>
  <c r="A45" i="13"/>
  <c r="A44" i="13"/>
  <c r="A43" i="13"/>
  <c r="A42" i="13"/>
  <c r="A41" i="13"/>
  <c r="A40" i="13"/>
  <c r="A39" i="13"/>
  <c r="A38" i="13"/>
  <c r="A37" i="13"/>
  <c r="A36" i="13"/>
  <c r="A35" i="13"/>
  <c r="A34" i="13"/>
  <c r="A33" i="13"/>
  <c r="A32" i="13"/>
  <c r="A31" i="13"/>
  <c r="A30" i="13"/>
  <c r="A29" i="13"/>
  <c r="A25" i="13"/>
  <c r="A24" i="13"/>
  <c r="A23" i="13"/>
  <c r="A22" i="13"/>
  <c r="A21" i="13"/>
  <c r="A20" i="13"/>
  <c r="A19" i="13"/>
  <c r="A18" i="13"/>
  <c r="A17" i="13"/>
  <c r="A16" i="13"/>
  <c r="A15" i="13"/>
  <c r="A14" i="13"/>
  <c r="A13" i="13"/>
  <c r="A12" i="13"/>
  <c r="A11" i="13"/>
  <c r="A10" i="13"/>
  <c r="A9" i="13"/>
  <c r="A5" i="13"/>
  <c r="A4" i="13"/>
  <c r="A3" i="13"/>
  <c r="A60" i="71"/>
  <c r="A59" i="71"/>
  <c r="A58" i="71"/>
  <c r="A57" i="71"/>
  <c r="A56" i="71"/>
  <c r="A55" i="71"/>
  <c r="A54" i="71"/>
  <c r="A53" i="71"/>
  <c r="A52" i="71"/>
  <c r="A51" i="71"/>
  <c r="A47" i="71"/>
  <c r="A46" i="71"/>
  <c r="A45" i="71"/>
  <c r="A44" i="71"/>
  <c r="A43" i="71"/>
  <c r="A42" i="71"/>
  <c r="A41" i="71"/>
  <c r="A40" i="71"/>
  <c r="A39" i="71"/>
  <c r="A38" i="71"/>
  <c r="A37" i="71"/>
  <c r="A36" i="71"/>
  <c r="A35" i="71"/>
  <c r="A34" i="71"/>
  <c r="A33" i="71"/>
  <c r="A32" i="71"/>
  <c r="A31" i="71"/>
  <c r="A30" i="71"/>
  <c r="A29" i="71"/>
  <c r="A25" i="71"/>
  <c r="A24" i="71"/>
  <c r="A23" i="71"/>
  <c r="A22" i="71"/>
  <c r="A21" i="71"/>
  <c r="A20" i="71"/>
  <c r="A19" i="71"/>
  <c r="A18" i="71"/>
  <c r="A17" i="71"/>
  <c r="A16" i="71"/>
  <c r="A15" i="71"/>
  <c r="A14" i="71"/>
  <c r="A13" i="71"/>
  <c r="A12" i="71"/>
  <c r="A11" i="71"/>
  <c r="A10" i="71"/>
  <c r="A9" i="71"/>
  <c r="A5" i="71"/>
  <c r="A4" i="71"/>
  <c r="A3" i="71"/>
  <c r="F642" i="117" a="1"/>
  <c r="F642" i="117" s="1"/>
  <c r="E642" i="117" a="1"/>
  <c r="E642" i="117" s="1"/>
  <c r="D642" i="117" a="1"/>
  <c r="D642" i="117" s="1"/>
  <c r="F624" i="117" a="1"/>
  <c r="F624" i="117" s="1"/>
  <c r="E624" i="117" a="1"/>
  <c r="E624" i="117" s="1"/>
  <c r="D624" i="117" a="1"/>
  <c r="D624" i="117" s="1"/>
  <c r="F505" i="117" a="1"/>
  <c r="F505" i="117" s="1"/>
  <c r="E505" i="117" a="1"/>
  <c r="E505" i="117" s="1"/>
  <c r="D505" i="117" a="1"/>
  <c r="D505" i="117" s="1"/>
  <c r="F463" i="117" a="1"/>
  <c r="F463" i="117" s="1"/>
  <c r="E463" i="117" a="1"/>
  <c r="E463" i="117" s="1"/>
  <c r="D463" i="117" a="1"/>
  <c r="D463" i="117" s="1"/>
  <c r="F445" i="117" a="1"/>
  <c r="F445" i="117" s="1"/>
  <c r="E445" i="117" a="1"/>
  <c r="E445" i="117" s="1"/>
  <c r="D445" i="117" a="1"/>
  <c r="D445" i="117" s="1"/>
  <c r="G351" i="117" a="1"/>
  <c r="G351" i="117" s="1"/>
  <c r="L351" i="117" s="1"/>
  <c r="F351" i="117" a="1"/>
  <c r="F351" i="117" s="1"/>
  <c r="K351" i="117" s="1" a="1"/>
  <c r="K351" i="117" s="1"/>
  <c r="E351" i="117" a="1"/>
  <c r="E351" i="117" s="1"/>
  <c r="D351" i="117" a="1"/>
  <c r="D351" i="117" s="1"/>
  <c r="AD252" i="117" a="1"/>
  <c r="AD252" i="117" s="1"/>
  <c r="AC252" i="117" a="1"/>
  <c r="AC252" i="117" s="1"/>
  <c r="Z252" i="117" a="1"/>
  <c r="Z252" i="117" s="1"/>
  <c r="Y252" i="117" a="1"/>
  <c r="Y252" i="117" s="1"/>
  <c r="V252" i="117" a="1"/>
  <c r="V252" i="117" s="1"/>
  <c r="U252" i="117" a="1"/>
  <c r="U252" i="117" s="1"/>
  <c r="R252" i="117" a="1"/>
  <c r="R252" i="117" s="1"/>
  <c r="Q252" i="117" a="1"/>
  <c r="Q252" i="117" s="1"/>
  <c r="P252" i="117" a="1"/>
  <c r="P252" i="117" s="1"/>
  <c r="O252" i="117" a="1"/>
  <c r="O252" i="117" s="1"/>
  <c r="D252" i="117" a="1"/>
  <c r="D252" i="117" s="1"/>
  <c r="D236" i="117" a="1"/>
  <c r="D236" i="117" s="1"/>
  <c r="AA120" i="117" a="1"/>
  <c r="AA120" i="117" s="1"/>
  <c r="Z120" i="117" a="1"/>
  <c r="Z120" i="117" s="1"/>
  <c r="Y120" i="117" a="1"/>
  <c r="Y120" i="117" s="1"/>
  <c r="W120" i="117" a="1"/>
  <c r="W120" i="117" s="1"/>
  <c r="V120" i="117" a="1"/>
  <c r="V120" i="117" s="1"/>
  <c r="U120" i="117" a="1"/>
  <c r="U120" i="117" s="1"/>
  <c r="S120" i="117" a="1"/>
  <c r="S120" i="117" s="1"/>
  <c r="R120" i="117" a="1"/>
  <c r="R120" i="117" s="1"/>
  <c r="Q120" i="117" a="1"/>
  <c r="Q120" i="117" s="1"/>
  <c r="O120" i="117" a="1"/>
  <c r="O120" i="117" s="1"/>
  <c r="N120" i="117" a="1"/>
  <c r="N120" i="117" s="1"/>
  <c r="M120" i="117" a="1"/>
  <c r="M120" i="117" s="1"/>
  <c r="E120" i="117" a="1"/>
  <c r="E120" i="117" s="1"/>
  <c r="D120" i="117" a="1"/>
  <c r="D120" i="117" s="1"/>
  <c r="K23" i="117" a="1"/>
  <c r="K23" i="117" s="1"/>
  <c r="G23" i="117" a="1"/>
  <c r="G23" i="117" s="1"/>
  <c r="F23" i="117" a="1"/>
  <c r="F23" i="117" s="1"/>
  <c r="E23" i="117" a="1"/>
  <c r="E23" i="117" s="1"/>
  <c r="D23" i="117" a="1"/>
  <c r="D23" i="117" s="1"/>
  <c r="D32" i="102"/>
  <c r="D25" i="102"/>
  <c r="F39" i="101"/>
  <c r="M39" i="101" s="1" a="1"/>
  <c r="M39" i="101" s="1"/>
  <c r="D37" i="101"/>
  <c r="D34" i="101"/>
  <c r="D33" i="101"/>
  <c r="D25" i="101"/>
  <c r="D75" i="95"/>
  <c r="D74" i="95"/>
  <c r="D73" i="95"/>
  <c r="D72" i="95"/>
  <c r="D71" i="95"/>
  <c r="D70" i="95"/>
  <c r="D69" i="95"/>
  <c r="D68" i="95"/>
  <c r="D134" i="94" a="1"/>
  <c r="D134" i="94" s="1"/>
  <c r="D102" i="94" a="1"/>
  <c r="D102" i="94" s="1"/>
  <c r="G25" i="93" a="1"/>
  <c r="G25" i="93" s="1"/>
  <c r="F25" i="93" a="1"/>
  <c r="F25" i="93" s="1"/>
  <c r="D25" i="93" a="1"/>
  <c r="D25" i="93" s="1"/>
  <c r="H20" i="92" a="1"/>
  <c r="H20" i="92" s="1"/>
  <c r="E20" i="92" a="1"/>
  <c r="E20" i="92" s="1"/>
  <c r="D20" i="92" a="1"/>
  <c r="D20" i="92" s="1"/>
  <c r="D65" i="95" s="1"/>
  <c r="N21" i="90" a="1"/>
  <c r="N21" i="90" s="1"/>
  <c r="N11" i="90" a="1"/>
  <c r="N11" i="90" s="1"/>
  <c r="I148" i="84"/>
  <c r="G87" i="84"/>
  <c r="F87" i="84"/>
  <c r="E87" i="84"/>
  <c r="D87" i="84"/>
  <c r="W274" i="83"/>
  <c r="W273" i="83"/>
  <c r="W272" i="83"/>
  <c r="W271" i="83"/>
  <c r="W270" i="83"/>
  <c r="W269" i="83"/>
  <c r="W268" i="83"/>
  <c r="W267" i="83"/>
  <c r="W266" i="83"/>
  <c r="W265" i="83"/>
  <c r="W264" i="83"/>
  <c r="W263" i="83"/>
  <c r="W262" i="83"/>
  <c r="W261" i="83"/>
  <c r="W260" i="83"/>
  <c r="W259" i="83"/>
  <c r="W258" i="83"/>
  <c r="W257" i="83"/>
  <c r="W256" i="83"/>
  <c r="W255" i="83"/>
  <c r="W254" i="83"/>
  <c r="W253" i="83"/>
  <c r="W252" i="83"/>
  <c r="W251" i="83"/>
  <c r="D242" i="83"/>
  <c r="D241" i="83"/>
  <c r="D240" i="83"/>
  <c r="D239" i="83"/>
  <c r="D238" i="83"/>
  <c r="D237" i="83"/>
  <c r="D236" i="83"/>
  <c r="D235" i="83"/>
  <c r="W200" i="83"/>
  <c r="W199" i="83"/>
  <c r="W198" i="83"/>
  <c r="W197" i="83"/>
  <c r="W196" i="83"/>
  <c r="W195" i="83"/>
  <c r="W194" i="83"/>
  <c r="W193" i="83"/>
  <c r="W192" i="83"/>
  <c r="W191" i="83"/>
  <c r="W190" i="83"/>
  <c r="W189" i="83"/>
  <c r="W188" i="83"/>
  <c r="W187" i="83"/>
  <c r="W186" i="83"/>
  <c r="W185" i="83"/>
  <c r="W184" i="83"/>
  <c r="D184" i="83"/>
  <c r="W183" i="83"/>
  <c r="D183" i="83"/>
  <c r="W182" i="83"/>
  <c r="D182" i="83"/>
  <c r="W181" i="83"/>
  <c r="D181" i="83"/>
  <c r="W180" i="83"/>
  <c r="D180" i="83"/>
  <c r="W179" i="83"/>
  <c r="D179" i="83"/>
  <c r="W178" i="83"/>
  <c r="D178" i="83"/>
  <c r="W177" i="83"/>
  <c r="D177" i="83"/>
  <c r="W172" i="83"/>
  <c r="D172" i="83"/>
  <c r="W171" i="83"/>
  <c r="D171" i="83"/>
  <c r="D166" i="83"/>
  <c r="D165" i="83"/>
  <c r="F33" i="83"/>
  <c r="E33" i="83"/>
  <c r="F32" i="83"/>
  <c r="E32" i="83"/>
  <c r="F31" i="83"/>
  <c r="E31" i="83"/>
  <c r="F30" i="83"/>
  <c r="E30" i="83"/>
  <c r="H25" i="83"/>
  <c r="G25" i="83"/>
  <c r="F25" i="83"/>
  <c r="E25" i="83"/>
  <c r="H24" i="83"/>
  <c r="G24" i="83"/>
  <c r="F24" i="83"/>
  <c r="E24" i="83"/>
  <c r="H23" i="83"/>
  <c r="G23" i="83"/>
  <c r="F23" i="83"/>
  <c r="E23" i="83"/>
  <c r="H22" i="83"/>
  <c r="G22" i="83"/>
  <c r="F22" i="83"/>
  <c r="E22" i="83"/>
  <c r="U23" i="88"/>
  <c r="G21" i="88"/>
  <c r="F21" i="88"/>
  <c r="E21" i="88"/>
  <c r="D21" i="88"/>
  <c r="J21" i="100" a="1"/>
  <c r="J21" i="100" s="1"/>
  <c r="G21" i="100" a="1"/>
  <c r="G21" i="100" s="1"/>
  <c r="J20" i="100" a="1"/>
  <c r="J20" i="100" s="1"/>
  <c r="G20" i="100" a="1"/>
  <c r="G20" i="100" s="1"/>
  <c r="J19" i="100" a="1"/>
  <c r="J19" i="100" s="1"/>
  <c r="G19" i="100" a="1"/>
  <c r="G19" i="100" s="1"/>
  <c r="J18" i="100" a="1"/>
  <c r="J18" i="100" s="1"/>
  <c r="G18" i="100" a="1"/>
  <c r="G18" i="100" s="1"/>
  <c r="J17" i="100" a="1"/>
  <c r="J17" i="100" s="1"/>
  <c r="G17" i="100" a="1"/>
  <c r="G17" i="100" s="1"/>
  <c r="J16" i="111" a="1"/>
  <c r="J16" i="111" s="1"/>
  <c r="J15" i="111" a="1"/>
  <c r="J15" i="111" s="1"/>
  <c r="J14" i="111" a="1"/>
  <c r="J14" i="111" s="1"/>
  <c r="J13" i="111" a="1"/>
  <c r="J13" i="111" s="1"/>
  <c r="J12" i="111" a="1"/>
  <c r="J12" i="111" s="1"/>
  <c r="J11" i="111" a="1"/>
  <c r="J11" i="111" s="1"/>
  <c r="J10" i="111" a="1"/>
  <c r="J10" i="111" s="1"/>
  <c r="J9" i="111" a="1"/>
  <c r="J9" i="111" s="1"/>
  <c r="E65" i="120" a="1"/>
  <c r="E65" i="120" s="1"/>
  <c r="D65" i="120" a="1"/>
  <c r="D65" i="120" s="1"/>
  <c r="D63" i="120" a="1"/>
  <c r="D63" i="120" s="1"/>
  <c r="D62" i="120" a="1"/>
  <c r="D62" i="120" s="1"/>
  <c r="E60" i="120" a="1"/>
  <c r="E60" i="120" s="1"/>
  <c r="D60" i="120" a="1"/>
  <c r="D60" i="120" s="1"/>
  <c r="D58" i="120" a="1"/>
  <c r="D58" i="120" s="1"/>
  <c r="D57" i="120" a="1"/>
  <c r="D57" i="120" s="1"/>
  <c r="E55" i="120" a="1"/>
  <c r="E55" i="120" s="1"/>
  <c r="D55" i="120" a="1"/>
  <c r="D55" i="120" s="1"/>
  <c r="D53" i="120" a="1"/>
  <c r="D53" i="120" s="1"/>
  <c r="D52" i="120" a="1"/>
  <c r="D52" i="120" s="1"/>
  <c r="E50" i="120" a="1"/>
  <c r="E50" i="120" s="1"/>
  <c r="D50" i="120" a="1"/>
  <c r="D50" i="120" s="1"/>
  <c r="E49" i="120" a="1"/>
  <c r="E49" i="120" s="1"/>
  <c r="D49" i="120" a="1"/>
  <c r="D49" i="120" s="1"/>
  <c r="E48" i="120" a="1"/>
  <c r="E48" i="120" s="1"/>
  <c r="D48" i="120" a="1"/>
  <c r="D48" i="120" s="1"/>
  <c r="E47" i="120" a="1"/>
  <c r="E47" i="120" s="1"/>
  <c r="D47" i="120" a="1"/>
  <c r="D47" i="120" s="1"/>
  <c r="E46" i="120" a="1"/>
  <c r="E46" i="120" s="1"/>
  <c r="D46" i="120" a="1"/>
  <c r="D46" i="120" s="1"/>
  <c r="E45" i="120" a="1"/>
  <c r="E45" i="120" s="1"/>
  <c r="D45" i="120" a="1"/>
  <c r="D45" i="120" s="1"/>
  <c r="E44" i="120" a="1"/>
  <c r="E44" i="120" s="1"/>
  <c r="D44" i="120" a="1"/>
  <c r="D44" i="120" s="1"/>
  <c r="D42" i="120" a="1"/>
  <c r="D42" i="120" s="1"/>
  <c r="D41" i="120" a="1"/>
  <c r="D41" i="120" s="1"/>
  <c r="E39" i="120" a="1"/>
  <c r="E39" i="120" s="1"/>
  <c r="D39" i="120" a="1"/>
  <c r="D39" i="120" s="1"/>
  <c r="E38" i="120" a="1"/>
  <c r="E38" i="120" s="1"/>
  <c r="D38" i="120" a="1"/>
  <c r="D38" i="120" s="1"/>
  <c r="E37" i="120" a="1"/>
  <c r="E37" i="120" s="1"/>
  <c r="D37" i="120" a="1"/>
  <c r="D37" i="120" s="1"/>
  <c r="E36" i="120" a="1"/>
  <c r="E36" i="120" s="1"/>
  <c r="D36" i="120" a="1"/>
  <c r="D36" i="120" s="1"/>
  <c r="E35" i="120" a="1"/>
  <c r="E35" i="120" s="1"/>
  <c r="D35" i="120" a="1"/>
  <c r="D35" i="120" s="1"/>
  <c r="E34" i="120" a="1"/>
  <c r="E34" i="120" s="1"/>
  <c r="D34" i="120" a="1"/>
  <c r="D34" i="120" s="1"/>
  <c r="E33" i="120" a="1"/>
  <c r="E33" i="120" s="1"/>
  <c r="D33" i="120" a="1"/>
  <c r="D33" i="120" s="1"/>
  <c r="E32" i="120" a="1"/>
  <c r="E32" i="120" s="1"/>
  <c r="D32" i="120" a="1"/>
  <c r="D32" i="120" s="1"/>
  <c r="D30" i="120" a="1"/>
  <c r="D30" i="120" s="1"/>
  <c r="D29" i="120" a="1"/>
  <c r="D29" i="120" s="1"/>
  <c r="F27" i="120" a="1"/>
  <c r="F27" i="120" s="1"/>
  <c r="E27" i="120" a="1"/>
  <c r="E27" i="120" s="1"/>
  <c r="D27" i="120" a="1"/>
  <c r="D27" i="120" s="1"/>
  <c r="F26" i="120" a="1"/>
  <c r="F26" i="120" s="1"/>
  <c r="E26" i="120" a="1"/>
  <c r="E26" i="120" s="1"/>
  <c r="D26" i="120" a="1"/>
  <c r="D26" i="120" s="1"/>
  <c r="F25" i="120" a="1"/>
  <c r="F25" i="120" s="1"/>
  <c r="E25" i="120" a="1"/>
  <c r="E25" i="120" s="1"/>
  <c r="D25" i="120" a="1"/>
  <c r="D25" i="120" s="1"/>
  <c r="F24" i="120" a="1"/>
  <c r="F24" i="120" s="1"/>
  <c r="E24" i="120" a="1"/>
  <c r="E24" i="120" s="1"/>
  <c r="D24" i="120" a="1"/>
  <c r="D24" i="120" s="1"/>
  <c r="F23" i="120" a="1"/>
  <c r="F23" i="120" s="1"/>
  <c r="E23" i="120" a="1"/>
  <c r="E23" i="120" s="1"/>
  <c r="D23" i="120" a="1"/>
  <c r="D23" i="120" s="1"/>
  <c r="F22" i="120" a="1"/>
  <c r="F22" i="120" s="1"/>
  <c r="E22" i="120" a="1"/>
  <c r="E22" i="120" s="1"/>
  <c r="D22" i="120" a="1"/>
  <c r="D22" i="120" s="1"/>
  <c r="F21" i="120" a="1"/>
  <c r="F21" i="120" s="1"/>
  <c r="E21" i="120" a="1"/>
  <c r="E21" i="120" s="1"/>
  <c r="D21" i="120" a="1"/>
  <c r="D21" i="120" s="1"/>
  <c r="F20" i="120" a="1"/>
  <c r="F20" i="120" s="1"/>
  <c r="E20" i="120" a="1"/>
  <c r="E20" i="120" s="1"/>
  <c r="D20" i="120" a="1"/>
  <c r="D20" i="120" s="1"/>
  <c r="F19" i="120" a="1"/>
  <c r="F19" i="120" s="1"/>
  <c r="E19" i="120" a="1"/>
  <c r="E19" i="120" s="1"/>
  <c r="D19" i="120" a="1"/>
  <c r="D19" i="120" s="1"/>
  <c r="F18" i="120" a="1"/>
  <c r="F18" i="120" s="1"/>
  <c r="E18" i="120" a="1"/>
  <c r="E18" i="120" s="1"/>
  <c r="D18" i="120"/>
  <c r="D18" i="120" a="1"/>
  <c r="F17" i="120"/>
  <c r="F17" i="120" a="1"/>
  <c r="E17" i="120" a="1"/>
  <c r="E17" i="120" s="1"/>
  <c r="D17" i="120" a="1"/>
  <c r="D17" i="120" s="1"/>
  <c r="F16" i="120" a="1"/>
  <c r="F16" i="120" s="1"/>
  <c r="E16" i="120" a="1"/>
  <c r="E16" i="120" s="1"/>
  <c r="D16" i="120" a="1"/>
  <c r="D16" i="120" s="1"/>
  <c r="F15" i="120" a="1"/>
  <c r="F15" i="120" s="1"/>
  <c r="E15" i="120" a="1"/>
  <c r="E15" i="120" s="1"/>
  <c r="D15" i="120" a="1"/>
  <c r="D15" i="120" s="1"/>
  <c r="F14" i="120" a="1"/>
  <c r="F14" i="120" s="1"/>
  <c r="E14" i="120" a="1"/>
  <c r="E14" i="120" s="1"/>
  <c r="D14" i="120"/>
  <c r="D14" i="120" a="1"/>
  <c r="F13" i="120" a="1"/>
  <c r="F13" i="120" s="1"/>
  <c r="E13" i="120" a="1"/>
  <c r="E13" i="120" s="1"/>
  <c r="D13" i="120" a="1"/>
  <c r="D13" i="120" s="1"/>
  <c r="F12" i="120" a="1"/>
  <c r="F12" i="120" s="1"/>
  <c r="E12" i="120" a="1"/>
  <c r="E12" i="120" s="1"/>
  <c r="D12" i="120" a="1"/>
  <c r="D12" i="120" s="1"/>
  <c r="F11" i="120"/>
  <c r="F11" i="120" a="1"/>
  <c r="E11" i="120"/>
  <c r="E11" i="120" a="1"/>
  <c r="D11" i="120" a="1"/>
  <c r="D11" i="120" s="1"/>
  <c r="F10" i="120" a="1"/>
  <c r="F10" i="120" s="1"/>
  <c r="E10" i="120" a="1"/>
  <c r="E10" i="120" s="1"/>
  <c r="D10" i="120" a="1"/>
  <c r="D10" i="120" s="1"/>
  <c r="D8" i="120" a="1"/>
  <c r="D8" i="120" s="1"/>
  <c r="D7" i="120" a="1"/>
  <c r="D7" i="120" s="1"/>
  <c r="D6" i="120" a="1"/>
  <c r="D6" i="120" s="1"/>
  <c r="I247" i="119" a="1"/>
  <c r="I247" i="119" s="1"/>
  <c r="H247" i="119" a="1"/>
  <c r="H247" i="119" s="1"/>
  <c r="G247" i="119" a="1"/>
  <c r="G247" i="119" s="1"/>
  <c r="F247" i="119" a="1"/>
  <c r="F247" i="119" s="1"/>
  <c r="E247" i="119" a="1"/>
  <c r="E247" i="119" s="1"/>
  <c r="D247" i="119" a="1"/>
  <c r="D247" i="119" s="1"/>
  <c r="I246" i="119" a="1"/>
  <c r="I246" i="119" s="1"/>
  <c r="H246" i="119" a="1"/>
  <c r="H246" i="119" s="1"/>
  <c r="G246" i="119" a="1"/>
  <c r="G246" i="119" s="1"/>
  <c r="F246" i="119" a="1"/>
  <c r="F246" i="119" s="1"/>
  <c r="E246" i="119" a="1"/>
  <c r="E246" i="119" s="1"/>
  <c r="D246" i="119" a="1"/>
  <c r="D246" i="119" s="1"/>
  <c r="I245" i="119" a="1"/>
  <c r="I245" i="119" s="1"/>
  <c r="H245" i="119" a="1"/>
  <c r="H245" i="119" s="1"/>
  <c r="G245" i="119" a="1"/>
  <c r="G245" i="119" s="1"/>
  <c r="F245" i="119" a="1"/>
  <c r="F245" i="119" s="1"/>
  <c r="E245" i="119" a="1"/>
  <c r="E245" i="119" s="1"/>
  <c r="D245" i="119" a="1"/>
  <c r="D245" i="119" s="1"/>
  <c r="I244" i="119" a="1"/>
  <c r="I244" i="119" s="1"/>
  <c r="H244" i="119" a="1"/>
  <c r="H244" i="119" s="1"/>
  <c r="G244" i="119" a="1"/>
  <c r="G244" i="119" s="1"/>
  <c r="F244" i="119" a="1"/>
  <c r="F244" i="119" s="1"/>
  <c r="E244" i="119" a="1"/>
  <c r="E244" i="119" s="1"/>
  <c r="D244" i="119" a="1"/>
  <c r="D244" i="119" s="1"/>
  <c r="I243" i="119" a="1"/>
  <c r="I243" i="119" s="1"/>
  <c r="H243" i="119" a="1"/>
  <c r="H243" i="119" s="1"/>
  <c r="G243" i="119" a="1"/>
  <c r="G243" i="119" s="1"/>
  <c r="F243" i="119" a="1"/>
  <c r="F243" i="119" s="1"/>
  <c r="M243" i="119" s="1"/>
  <c r="E243" i="119" a="1"/>
  <c r="E243" i="119" s="1"/>
  <c r="L243" i="119" s="1"/>
  <c r="D243" i="119" a="1"/>
  <c r="D243" i="119" s="1"/>
  <c r="I242" i="119" a="1"/>
  <c r="I242" i="119" s="1"/>
  <c r="H242" i="119" a="1"/>
  <c r="H242" i="119" s="1"/>
  <c r="G242" i="119" a="1"/>
  <c r="G242" i="119" s="1"/>
  <c r="F242" i="119" a="1"/>
  <c r="F242" i="119" s="1"/>
  <c r="M242" i="119" s="1"/>
  <c r="E242" i="119" a="1"/>
  <c r="E242" i="119" s="1"/>
  <c r="D242" i="119" a="1"/>
  <c r="D242" i="119" s="1"/>
  <c r="I237" i="119" a="1"/>
  <c r="I237" i="119" s="1"/>
  <c r="H237" i="119" a="1"/>
  <c r="H237" i="119" s="1"/>
  <c r="G237" i="119" a="1"/>
  <c r="G237" i="119" s="1"/>
  <c r="F237" i="119" a="1"/>
  <c r="F237" i="119" s="1"/>
  <c r="E237" i="119" a="1"/>
  <c r="E237" i="119" s="1"/>
  <c r="D237" i="119" a="1"/>
  <c r="D237" i="119" s="1"/>
  <c r="I236" i="119"/>
  <c r="I236" i="119" a="1"/>
  <c r="H236" i="119" a="1"/>
  <c r="H236" i="119" s="1"/>
  <c r="G236" i="119" a="1"/>
  <c r="G236" i="119" s="1"/>
  <c r="F236" i="119" a="1"/>
  <c r="F236" i="119" s="1"/>
  <c r="E236" i="119" a="1"/>
  <c r="E236" i="119" s="1"/>
  <c r="D236" i="119" a="1"/>
  <c r="D236" i="119" s="1"/>
  <c r="I235" i="119" a="1"/>
  <c r="I235" i="119" s="1"/>
  <c r="H235" i="119" a="1"/>
  <c r="H235" i="119" s="1"/>
  <c r="G235" i="119" a="1"/>
  <c r="G235" i="119" s="1"/>
  <c r="F235" i="119" a="1"/>
  <c r="F235" i="119" s="1"/>
  <c r="E235" i="119" a="1"/>
  <c r="E235" i="119" s="1"/>
  <c r="D235" i="119" a="1"/>
  <c r="D235" i="119" s="1"/>
  <c r="I231" i="119" a="1"/>
  <c r="I231" i="119" s="1"/>
  <c r="H231" i="119" a="1"/>
  <c r="H231" i="119" s="1"/>
  <c r="G231" i="119" a="1"/>
  <c r="G231" i="119" s="1"/>
  <c r="F231" i="119" a="1"/>
  <c r="F231" i="119" s="1"/>
  <c r="E231" i="119" a="1"/>
  <c r="E231" i="119" s="1"/>
  <c r="D231" i="119" a="1"/>
  <c r="D231" i="119" s="1"/>
  <c r="I230" i="119" a="1"/>
  <c r="I230" i="119" s="1"/>
  <c r="H230" i="119" a="1"/>
  <c r="H230" i="119" s="1"/>
  <c r="G230" i="119" a="1"/>
  <c r="G230" i="119" s="1"/>
  <c r="F230" i="119" a="1"/>
  <c r="F230" i="119" s="1"/>
  <c r="E230" i="119" a="1"/>
  <c r="E230" i="119" s="1"/>
  <c r="D230" i="119" a="1"/>
  <c r="D230" i="119" s="1"/>
  <c r="I229" i="119" a="1"/>
  <c r="I229" i="119" s="1"/>
  <c r="H229" i="119" a="1"/>
  <c r="H229" i="119" s="1"/>
  <c r="G229" i="119" a="1"/>
  <c r="G229" i="119" s="1"/>
  <c r="F229" i="119" a="1"/>
  <c r="F229" i="119" s="1"/>
  <c r="E229" i="119" a="1"/>
  <c r="E229" i="119" s="1"/>
  <c r="D229" i="119" a="1"/>
  <c r="D229" i="119" s="1"/>
  <c r="I228" i="119" a="1"/>
  <c r="I228" i="119" s="1"/>
  <c r="H228" i="119" a="1"/>
  <c r="H228" i="119" s="1"/>
  <c r="G228" i="119" a="1"/>
  <c r="G228" i="119" s="1"/>
  <c r="F228" i="119" a="1"/>
  <c r="F228" i="119" s="1"/>
  <c r="E228" i="119" a="1"/>
  <c r="E228" i="119" s="1"/>
  <c r="D228" i="119" a="1"/>
  <c r="D228" i="119" s="1"/>
  <c r="I227" i="119" a="1"/>
  <c r="I227" i="119" s="1"/>
  <c r="H227" i="119" a="1"/>
  <c r="H227" i="119" s="1"/>
  <c r="G227" i="119" a="1"/>
  <c r="G227" i="119" s="1"/>
  <c r="F227" i="119" a="1"/>
  <c r="F227" i="119" s="1"/>
  <c r="E227" i="119" a="1"/>
  <c r="E227" i="119" s="1"/>
  <c r="D227" i="119" a="1"/>
  <c r="D227" i="119" s="1"/>
  <c r="I226" i="119" a="1"/>
  <c r="I226" i="119" s="1"/>
  <c r="H226" i="119" a="1"/>
  <c r="H226" i="119" s="1"/>
  <c r="G226" i="119" a="1"/>
  <c r="G226" i="119" s="1"/>
  <c r="F226" i="119" a="1"/>
  <c r="F226" i="119" s="1"/>
  <c r="E226" i="119" a="1"/>
  <c r="E226" i="119" s="1"/>
  <c r="D226" i="119" a="1"/>
  <c r="D226" i="119" s="1"/>
  <c r="I225" i="119" a="1"/>
  <c r="I225" i="119" s="1"/>
  <c r="H225" i="119" a="1"/>
  <c r="H225" i="119" s="1"/>
  <c r="G225" i="119" a="1"/>
  <c r="G225" i="119" s="1"/>
  <c r="F225" i="119" a="1"/>
  <c r="F225" i="119" s="1"/>
  <c r="E225" i="119" a="1"/>
  <c r="E225" i="119" s="1"/>
  <c r="D225" i="119" a="1"/>
  <c r="D225" i="119" s="1"/>
  <c r="I224" i="119" a="1"/>
  <c r="I224" i="119" s="1"/>
  <c r="H224" i="119" a="1"/>
  <c r="H224" i="119" s="1"/>
  <c r="G224" i="119" a="1"/>
  <c r="G224" i="119" s="1"/>
  <c r="F224" i="119" a="1"/>
  <c r="F224" i="119" s="1"/>
  <c r="E224" i="119" a="1"/>
  <c r="E224" i="119" s="1"/>
  <c r="D224" i="119" a="1"/>
  <c r="D224" i="119" s="1"/>
  <c r="I223" i="119" a="1"/>
  <c r="I223" i="119" s="1"/>
  <c r="H223" i="119" a="1"/>
  <c r="H223" i="119" s="1"/>
  <c r="G223" i="119" a="1"/>
  <c r="G223" i="119" s="1"/>
  <c r="F223" i="119" a="1"/>
  <c r="F223" i="119" s="1"/>
  <c r="E223" i="119" a="1"/>
  <c r="E223" i="119" s="1"/>
  <c r="D223" i="119" a="1"/>
  <c r="D223" i="119" s="1"/>
  <c r="I222" i="119" a="1"/>
  <c r="I222" i="119" s="1"/>
  <c r="H222" i="119" a="1"/>
  <c r="H222" i="119" s="1"/>
  <c r="G222" i="119" a="1"/>
  <c r="G222" i="119" s="1"/>
  <c r="F222" i="119" a="1"/>
  <c r="F222" i="119" s="1"/>
  <c r="E222" i="119" a="1"/>
  <c r="E222" i="119" s="1"/>
  <c r="D222" i="119" a="1"/>
  <c r="D222" i="119" s="1"/>
  <c r="I221" i="119" a="1"/>
  <c r="I221" i="119" s="1"/>
  <c r="H221" i="119" a="1"/>
  <c r="H221" i="119" s="1"/>
  <c r="G221" i="119" a="1"/>
  <c r="G221" i="119" s="1"/>
  <c r="F221" i="119" a="1"/>
  <c r="F221" i="119" s="1"/>
  <c r="E221" i="119" a="1"/>
  <c r="E221" i="119" s="1"/>
  <c r="D221" i="119" a="1"/>
  <c r="D221" i="119" s="1"/>
  <c r="I220" i="119" a="1"/>
  <c r="I220" i="119" s="1"/>
  <c r="H220" i="119" a="1"/>
  <c r="H220" i="119" s="1"/>
  <c r="G220" i="119" a="1"/>
  <c r="G220" i="119" s="1"/>
  <c r="F220" i="119" a="1"/>
  <c r="F220" i="119" s="1"/>
  <c r="E220" i="119" a="1"/>
  <c r="E220" i="119" s="1"/>
  <c r="D220" i="119" a="1"/>
  <c r="D220" i="119" s="1"/>
  <c r="I216" i="119" a="1"/>
  <c r="I216" i="119" s="1"/>
  <c r="H216" i="119" a="1"/>
  <c r="H216" i="119" s="1"/>
  <c r="G216" i="119" a="1"/>
  <c r="G216" i="119" s="1"/>
  <c r="F216" i="119" a="1"/>
  <c r="F216" i="119" s="1"/>
  <c r="E216" i="119" a="1"/>
  <c r="E216" i="119" s="1"/>
  <c r="D216" i="119" a="1"/>
  <c r="D216" i="119" s="1"/>
  <c r="I215" i="119" a="1"/>
  <c r="I215" i="119" s="1"/>
  <c r="H215" i="119" a="1"/>
  <c r="H215" i="119" s="1"/>
  <c r="G215" i="119" a="1"/>
  <c r="G215" i="119" s="1"/>
  <c r="F215" i="119" a="1"/>
  <c r="F215" i="119" s="1"/>
  <c r="E215" i="119" a="1"/>
  <c r="E215" i="119" s="1"/>
  <c r="D215" i="119" a="1"/>
  <c r="D215" i="119" s="1"/>
  <c r="I214" i="119" a="1"/>
  <c r="I214" i="119" s="1"/>
  <c r="H214" i="119" a="1"/>
  <c r="H214" i="119" s="1"/>
  <c r="G214" i="119" a="1"/>
  <c r="G214" i="119" s="1"/>
  <c r="F214" i="119" a="1"/>
  <c r="F214" i="119" s="1"/>
  <c r="E214" i="119"/>
  <c r="E214" i="119" a="1"/>
  <c r="D214" i="119" a="1"/>
  <c r="D214" i="119" s="1"/>
  <c r="I213" i="119" a="1"/>
  <c r="I213" i="119" s="1"/>
  <c r="H213" i="119" a="1"/>
  <c r="H213" i="119" s="1"/>
  <c r="G213" i="119" a="1"/>
  <c r="G213" i="119" s="1"/>
  <c r="F213" i="119" a="1"/>
  <c r="F213" i="119" s="1"/>
  <c r="E213" i="119" a="1"/>
  <c r="E213" i="119" s="1"/>
  <c r="D213" i="119" a="1"/>
  <c r="D213" i="119" s="1"/>
  <c r="I209" i="119" a="1"/>
  <c r="I209" i="119" s="1"/>
  <c r="H209" i="119" a="1"/>
  <c r="H209" i="119" s="1"/>
  <c r="G209" i="119" a="1"/>
  <c r="G209" i="119" s="1"/>
  <c r="F209" i="119" a="1"/>
  <c r="F209" i="119" s="1"/>
  <c r="E209" i="119" a="1"/>
  <c r="E209" i="119" s="1"/>
  <c r="D27" i="113" s="1"/>
  <c r="D485" i="117" s="1"/>
  <c r="D209" i="119" a="1"/>
  <c r="D209" i="119" s="1"/>
  <c r="I208" i="119" a="1"/>
  <c r="I208" i="119" s="1"/>
  <c r="H208" i="119" a="1"/>
  <c r="H208" i="119" s="1"/>
  <c r="G208" i="119" a="1"/>
  <c r="G208" i="119" s="1"/>
  <c r="F208" i="119" a="1"/>
  <c r="F208" i="119" s="1"/>
  <c r="E208" i="119" a="1"/>
  <c r="E208" i="119" s="1"/>
  <c r="D26" i="113" s="1"/>
  <c r="D484" i="117" s="1"/>
  <c r="F484" i="117" s="1" a="1"/>
  <c r="F484" i="117" s="1"/>
  <c r="D208" i="119" a="1"/>
  <c r="D208" i="119" s="1"/>
  <c r="I207" i="119" a="1"/>
  <c r="I207" i="119" s="1"/>
  <c r="H207" i="119" a="1"/>
  <c r="H207" i="119" s="1"/>
  <c r="G207" i="119" a="1"/>
  <c r="G207" i="119" s="1"/>
  <c r="F207" i="119" a="1"/>
  <c r="F207" i="119" s="1"/>
  <c r="E207" i="119" a="1"/>
  <c r="E207" i="119" s="1"/>
  <c r="D25" i="113" s="1"/>
  <c r="D483" i="117" s="1"/>
  <c r="D207" i="119" a="1"/>
  <c r="D207" i="119" s="1"/>
  <c r="I206" i="119" a="1"/>
  <c r="I206" i="119" s="1"/>
  <c r="H206" i="119" a="1"/>
  <c r="H206" i="119" s="1"/>
  <c r="G206" i="119" a="1"/>
  <c r="G206" i="119" s="1"/>
  <c r="F206" i="119" a="1"/>
  <c r="F206" i="119" s="1"/>
  <c r="E206" i="119" a="1"/>
  <c r="E206" i="119" s="1"/>
  <c r="D206" i="119" a="1"/>
  <c r="D206" i="119" s="1"/>
  <c r="I205" i="119" a="1"/>
  <c r="I205" i="119" s="1"/>
  <c r="H205" i="119" a="1"/>
  <c r="H205" i="119" s="1"/>
  <c r="G205" i="119" a="1"/>
  <c r="G205" i="119" s="1"/>
  <c r="F205" i="119" a="1"/>
  <c r="F205" i="119" s="1"/>
  <c r="E205" i="119" a="1"/>
  <c r="E205" i="119" s="1"/>
  <c r="D24" i="113" s="1"/>
  <c r="D482" i="117" s="1"/>
  <c r="D205" i="119" a="1"/>
  <c r="D205" i="119" s="1"/>
  <c r="I204" i="119" a="1"/>
  <c r="I204" i="119" s="1"/>
  <c r="H204" i="119" a="1"/>
  <c r="H204" i="119" s="1"/>
  <c r="G204" i="119" a="1"/>
  <c r="G204" i="119" s="1"/>
  <c r="F204" i="119" a="1"/>
  <c r="F204" i="119" s="1"/>
  <c r="E204" i="119" a="1"/>
  <c r="E204" i="119" s="1"/>
  <c r="D23" i="113" s="1"/>
  <c r="D481" i="117" s="1"/>
  <c r="D204" i="119" a="1"/>
  <c r="D204" i="119" s="1"/>
  <c r="I203" i="119" a="1"/>
  <c r="I203" i="119" s="1"/>
  <c r="H203" i="119" a="1"/>
  <c r="H203" i="119" s="1"/>
  <c r="G203" i="119" a="1"/>
  <c r="G203" i="119" s="1"/>
  <c r="F203" i="119" a="1"/>
  <c r="F203" i="119" s="1"/>
  <c r="E203" i="119" a="1"/>
  <c r="E203" i="119" s="1"/>
  <c r="D48" i="114" s="1"/>
  <c r="D495" i="117" s="1"/>
  <c r="D203" i="119" a="1"/>
  <c r="D203" i="119" s="1"/>
  <c r="I202" i="119" a="1"/>
  <c r="I202" i="119" s="1"/>
  <c r="H202" i="119" a="1"/>
  <c r="H202" i="119" s="1"/>
  <c r="G202" i="119" a="1"/>
  <c r="G202" i="119" s="1"/>
  <c r="F202" i="119" a="1"/>
  <c r="F202" i="119" s="1"/>
  <c r="E202" i="119" a="1"/>
  <c r="E202" i="119" s="1"/>
  <c r="D202" i="119" a="1"/>
  <c r="D202" i="119" s="1"/>
  <c r="M198" i="119" a="1"/>
  <c r="M198" i="119" s="1"/>
  <c r="L198" i="119" a="1"/>
  <c r="L198" i="119" s="1"/>
  <c r="K198" i="119" a="1"/>
  <c r="K198" i="119" s="1"/>
  <c r="F198" i="119" a="1"/>
  <c r="F198" i="119" s="1"/>
  <c r="E198" i="119" a="1"/>
  <c r="E198" i="119" s="1"/>
  <c r="D198" i="119" a="1"/>
  <c r="D198" i="119" s="1"/>
  <c r="M197" i="119" a="1"/>
  <c r="M197" i="119" s="1"/>
  <c r="L197" i="119" a="1"/>
  <c r="L197" i="119" s="1"/>
  <c r="K197" i="119" a="1"/>
  <c r="K197" i="119" s="1"/>
  <c r="F197" i="119" a="1"/>
  <c r="F197" i="119" s="1"/>
  <c r="E197" i="119" a="1"/>
  <c r="E197" i="119" s="1"/>
  <c r="D197" i="119" a="1"/>
  <c r="D197" i="119" s="1"/>
  <c r="M196" i="119" a="1"/>
  <c r="M196" i="119" s="1"/>
  <c r="L196" i="119" a="1"/>
  <c r="L196" i="119" s="1"/>
  <c r="K196" i="119" a="1"/>
  <c r="K196" i="119" s="1"/>
  <c r="F196" i="119" a="1"/>
  <c r="F196" i="119" s="1"/>
  <c r="E196" i="119" a="1"/>
  <c r="E196" i="119" s="1"/>
  <c r="D196" i="119" a="1"/>
  <c r="D196" i="119" s="1"/>
  <c r="M195" i="119" a="1"/>
  <c r="M195" i="119" s="1"/>
  <c r="L195" i="119" a="1"/>
  <c r="L195" i="119" s="1"/>
  <c r="K195" i="119" a="1"/>
  <c r="K195" i="119" s="1"/>
  <c r="F195" i="119" a="1"/>
  <c r="F195" i="119" s="1"/>
  <c r="E195" i="119" a="1"/>
  <c r="E195" i="119" s="1"/>
  <c r="D195" i="119" a="1"/>
  <c r="D195" i="119" s="1"/>
  <c r="M194" i="119" a="1"/>
  <c r="M194" i="119" s="1"/>
  <c r="L194" i="119" a="1"/>
  <c r="L194" i="119" s="1"/>
  <c r="K194" i="119" a="1"/>
  <c r="K194" i="119" s="1"/>
  <c r="F194" i="119" a="1"/>
  <c r="F194" i="119" s="1"/>
  <c r="E194" i="119" a="1"/>
  <c r="E194" i="119" s="1"/>
  <c r="D194" i="119" a="1"/>
  <c r="D194" i="119" s="1"/>
  <c r="M193" i="119" a="1"/>
  <c r="M193" i="119" s="1"/>
  <c r="L193" i="119" a="1"/>
  <c r="L193" i="119" s="1"/>
  <c r="K193" i="119" a="1"/>
  <c r="K193" i="119" s="1"/>
  <c r="F193" i="119" a="1"/>
  <c r="F193" i="119" s="1"/>
  <c r="E193" i="119" a="1"/>
  <c r="E193" i="119" s="1"/>
  <c r="D193" i="119" a="1"/>
  <c r="D193" i="119" s="1"/>
  <c r="M192" i="119" a="1"/>
  <c r="M192" i="119" s="1"/>
  <c r="L192" i="119" a="1"/>
  <c r="L192" i="119" s="1"/>
  <c r="K192" i="119" a="1"/>
  <c r="K192" i="119" s="1"/>
  <c r="F192" i="119" a="1"/>
  <c r="F192" i="119" s="1"/>
  <c r="E192" i="119" a="1"/>
  <c r="E192" i="119" s="1"/>
  <c r="D192" i="119" a="1"/>
  <c r="D192" i="119" s="1"/>
  <c r="M191" i="119" a="1"/>
  <c r="M191" i="119" s="1"/>
  <c r="L191" i="119" a="1"/>
  <c r="L191" i="119" s="1"/>
  <c r="K191" i="119" a="1"/>
  <c r="K191" i="119" s="1"/>
  <c r="F191" i="119" a="1"/>
  <c r="F191" i="119" s="1"/>
  <c r="E191" i="119" a="1"/>
  <c r="E191" i="119" s="1"/>
  <c r="D191" i="119" a="1"/>
  <c r="D191" i="119" s="1"/>
  <c r="M190" i="119" a="1"/>
  <c r="M190" i="119" s="1"/>
  <c r="L190" i="119" a="1"/>
  <c r="L190" i="119" s="1"/>
  <c r="K190" i="119" a="1"/>
  <c r="K190" i="119" s="1"/>
  <c r="F190" i="119" a="1"/>
  <c r="F190" i="119" s="1"/>
  <c r="E190" i="119" a="1"/>
  <c r="E190" i="119" s="1"/>
  <c r="D190" i="119" a="1"/>
  <c r="D190" i="119" s="1"/>
  <c r="M189" i="119" a="1"/>
  <c r="M189" i="119" s="1"/>
  <c r="L189" i="119" a="1"/>
  <c r="L189" i="119" s="1"/>
  <c r="K189" i="119" a="1"/>
  <c r="K189" i="119" s="1"/>
  <c r="F189" i="119" a="1"/>
  <c r="F189" i="119" s="1"/>
  <c r="E189" i="119" a="1"/>
  <c r="E189" i="119" s="1"/>
  <c r="D189" i="119" a="1"/>
  <c r="D189" i="119" s="1"/>
  <c r="M188" i="119" a="1"/>
  <c r="M188" i="119" s="1"/>
  <c r="L188" i="119" a="1"/>
  <c r="L188" i="119" s="1"/>
  <c r="K188" i="119" a="1"/>
  <c r="K188" i="119" s="1"/>
  <c r="F188" i="119" a="1"/>
  <c r="F188" i="119" s="1"/>
  <c r="E188" i="119" a="1"/>
  <c r="E188" i="119" s="1"/>
  <c r="D188" i="119" a="1"/>
  <c r="D188" i="119" s="1"/>
  <c r="M187" i="119" a="1"/>
  <c r="M187" i="119" s="1"/>
  <c r="L187" i="119" a="1"/>
  <c r="L187" i="119" s="1"/>
  <c r="K187" i="119" a="1"/>
  <c r="K187" i="119" s="1"/>
  <c r="F187" i="119" a="1"/>
  <c r="F187" i="119" s="1"/>
  <c r="E187" i="119" a="1"/>
  <c r="E187" i="119" s="1"/>
  <c r="D187" i="119" a="1"/>
  <c r="D187" i="119" s="1"/>
  <c r="M186" i="119" a="1"/>
  <c r="M186" i="119" s="1"/>
  <c r="L186" i="119" a="1"/>
  <c r="L186" i="119" s="1"/>
  <c r="K186" i="119" a="1"/>
  <c r="K186" i="119" s="1"/>
  <c r="F186" i="119" a="1"/>
  <c r="F186" i="119" s="1"/>
  <c r="E186" i="119" a="1"/>
  <c r="E186" i="119" s="1"/>
  <c r="D186" i="119" a="1"/>
  <c r="D186" i="119" s="1"/>
  <c r="M185" i="119" a="1"/>
  <c r="M185" i="119" s="1"/>
  <c r="L185" i="119" a="1"/>
  <c r="L185" i="119" s="1"/>
  <c r="K185" i="119" a="1"/>
  <c r="K185" i="119" s="1"/>
  <c r="F185" i="119" a="1"/>
  <c r="F185" i="119" s="1"/>
  <c r="E185" i="119" a="1"/>
  <c r="E185" i="119" s="1"/>
  <c r="D185" i="119" a="1"/>
  <c r="D185" i="119" s="1"/>
  <c r="M184" i="119" a="1"/>
  <c r="M184" i="119" s="1"/>
  <c r="L184" i="119" a="1"/>
  <c r="L184" i="119" s="1"/>
  <c r="K184" i="119" a="1"/>
  <c r="K184" i="119" s="1"/>
  <c r="F184" i="119" a="1"/>
  <c r="F184" i="119" s="1"/>
  <c r="E184" i="119" a="1"/>
  <c r="E184" i="119" s="1"/>
  <c r="D184" i="119" a="1"/>
  <c r="D184" i="119" s="1"/>
  <c r="M183" i="119" a="1"/>
  <c r="M183" i="119" s="1"/>
  <c r="L183" i="119" a="1"/>
  <c r="L183" i="119" s="1"/>
  <c r="K183" i="119" a="1"/>
  <c r="K183" i="119" s="1"/>
  <c r="F183" i="119" a="1"/>
  <c r="F183" i="119" s="1"/>
  <c r="E183" i="119" a="1"/>
  <c r="E183" i="119" s="1"/>
  <c r="D183" i="119" a="1"/>
  <c r="D183" i="119" s="1"/>
  <c r="M182" i="119" a="1"/>
  <c r="M182" i="119" s="1"/>
  <c r="L182" i="119" a="1"/>
  <c r="L182" i="119" s="1"/>
  <c r="K182" i="119" a="1"/>
  <c r="K182" i="119" s="1"/>
  <c r="F182" i="119" a="1"/>
  <c r="F182" i="119" s="1"/>
  <c r="E182" i="119" a="1"/>
  <c r="E182" i="119" s="1"/>
  <c r="D182" i="119" a="1"/>
  <c r="D182" i="119" s="1"/>
  <c r="M181" i="119" a="1"/>
  <c r="M181" i="119" s="1"/>
  <c r="L181" i="119" a="1"/>
  <c r="L181" i="119" s="1"/>
  <c r="K181" i="119" a="1"/>
  <c r="K181" i="119" s="1"/>
  <c r="F181" i="119" a="1"/>
  <c r="F181" i="119" s="1"/>
  <c r="E181" i="119" a="1"/>
  <c r="E181" i="119" s="1"/>
  <c r="D181" i="119" a="1"/>
  <c r="D181" i="119" s="1"/>
  <c r="M180" i="119"/>
  <c r="M180" i="119" a="1"/>
  <c r="L180" i="119" a="1"/>
  <c r="L180" i="119" s="1"/>
  <c r="K180" i="119" a="1"/>
  <c r="K180" i="119" s="1"/>
  <c r="F180" i="119" a="1"/>
  <c r="F180" i="119" s="1"/>
  <c r="E180" i="119" a="1"/>
  <c r="E180" i="119" s="1"/>
  <c r="D180" i="119"/>
  <c r="D180" i="119" a="1"/>
  <c r="M179" i="119" a="1"/>
  <c r="M179" i="119" s="1"/>
  <c r="L179" i="119" a="1"/>
  <c r="L179" i="119" s="1"/>
  <c r="K179" i="119" a="1"/>
  <c r="K179" i="119" s="1"/>
  <c r="F179" i="119" a="1"/>
  <c r="F179" i="119" s="1"/>
  <c r="E179" i="119" a="1"/>
  <c r="E179" i="119" s="1"/>
  <c r="D179" i="119" a="1"/>
  <c r="D179" i="119" s="1"/>
  <c r="M178" i="119" a="1"/>
  <c r="M178" i="119" s="1"/>
  <c r="L178" i="119" a="1"/>
  <c r="L178" i="119" s="1"/>
  <c r="K178" i="119" a="1"/>
  <c r="K178" i="119" s="1"/>
  <c r="F178" i="119" a="1"/>
  <c r="F178" i="119" s="1"/>
  <c r="E178" i="119" a="1"/>
  <c r="E178" i="119" s="1"/>
  <c r="D178" i="119" a="1"/>
  <c r="D178" i="119" s="1"/>
  <c r="M177" i="119" a="1"/>
  <c r="M177" i="119" s="1"/>
  <c r="L177" i="119" a="1"/>
  <c r="L177" i="119" s="1"/>
  <c r="K177" i="119" a="1"/>
  <c r="K177" i="119" s="1"/>
  <c r="F177" i="119" a="1"/>
  <c r="F177" i="119" s="1"/>
  <c r="E177" i="119" a="1"/>
  <c r="E177" i="119" s="1"/>
  <c r="D177" i="119" a="1"/>
  <c r="D177" i="119" s="1"/>
  <c r="M176" i="119" a="1"/>
  <c r="M176" i="119" s="1"/>
  <c r="L176" i="119" a="1"/>
  <c r="L176" i="119" s="1"/>
  <c r="K176" i="119" a="1"/>
  <c r="K176" i="119" s="1"/>
  <c r="F176" i="119" a="1"/>
  <c r="F176" i="119" s="1"/>
  <c r="E176" i="119" a="1"/>
  <c r="E176" i="119" s="1"/>
  <c r="D176" i="119" a="1"/>
  <c r="D176" i="119" s="1"/>
  <c r="M175" i="119" a="1"/>
  <c r="M175" i="119" s="1"/>
  <c r="L175" i="119" a="1"/>
  <c r="L175" i="119" s="1"/>
  <c r="K175" i="119" a="1"/>
  <c r="K175" i="119" s="1"/>
  <c r="F175" i="119" a="1"/>
  <c r="F175" i="119" s="1"/>
  <c r="E175" i="119" a="1"/>
  <c r="E175" i="119" s="1"/>
  <c r="D175" i="119" a="1"/>
  <c r="D175" i="119" s="1"/>
  <c r="M174" i="119" a="1"/>
  <c r="M174" i="119" s="1"/>
  <c r="L174" i="119" a="1"/>
  <c r="L174" i="119" s="1"/>
  <c r="K174" i="119" a="1"/>
  <c r="K174" i="119" s="1"/>
  <c r="F174" i="119" a="1"/>
  <c r="F174" i="119" s="1"/>
  <c r="E174" i="119" a="1"/>
  <c r="E174" i="119" s="1"/>
  <c r="D174" i="119" a="1"/>
  <c r="D174" i="119" s="1"/>
  <c r="I170" i="119" a="1"/>
  <c r="I170" i="119" s="1"/>
  <c r="H170" i="119" a="1"/>
  <c r="H170" i="119" s="1"/>
  <c r="G170" i="119" a="1"/>
  <c r="G170" i="119" s="1"/>
  <c r="F170" i="119" a="1"/>
  <c r="F170" i="119" s="1"/>
  <c r="E170" i="119" a="1"/>
  <c r="E170" i="119" s="1"/>
  <c r="D170" i="119" a="1"/>
  <c r="D170" i="119" s="1"/>
  <c r="I169" i="119" a="1"/>
  <c r="I169" i="119" s="1"/>
  <c r="H169" i="119" a="1"/>
  <c r="H169" i="119" s="1"/>
  <c r="G169" i="119" a="1"/>
  <c r="G169" i="119" s="1"/>
  <c r="F169" i="119" a="1"/>
  <c r="F169" i="119" s="1"/>
  <c r="E169" i="119" a="1"/>
  <c r="E169" i="119" s="1"/>
  <c r="D169" i="119" a="1"/>
  <c r="D169" i="119" s="1"/>
  <c r="I168" i="119" a="1"/>
  <c r="I168" i="119" s="1"/>
  <c r="H168" i="119" a="1"/>
  <c r="H168" i="119" s="1"/>
  <c r="G168" i="119" a="1"/>
  <c r="G168" i="119" s="1"/>
  <c r="F168" i="119" a="1"/>
  <c r="F168" i="119" s="1"/>
  <c r="E168" i="119" a="1"/>
  <c r="E168" i="119" s="1"/>
  <c r="D7" i="114" s="1" a="1"/>
  <c r="D168" i="119" a="1"/>
  <c r="D168" i="119" s="1"/>
  <c r="I165" i="119" a="1"/>
  <c r="I165" i="119" s="1"/>
  <c r="H165" i="119" a="1"/>
  <c r="H165" i="119" s="1"/>
  <c r="G165" i="119" a="1"/>
  <c r="G165" i="119" s="1"/>
  <c r="F165" i="119" a="1"/>
  <c r="F165" i="119" s="1"/>
  <c r="E165" i="119" a="1"/>
  <c r="E165" i="119" s="1"/>
  <c r="D165" i="119" a="1"/>
  <c r="D165" i="119" s="1"/>
  <c r="I164" i="119" a="1"/>
  <c r="I164" i="119" s="1"/>
  <c r="H164" i="119" a="1"/>
  <c r="H164" i="119" s="1"/>
  <c r="G164" i="119" a="1"/>
  <c r="G164" i="119" s="1"/>
  <c r="F164" i="119" a="1"/>
  <c r="F164" i="119" s="1"/>
  <c r="E164" i="119" a="1"/>
  <c r="E164" i="119" s="1"/>
  <c r="D164" i="119" a="1"/>
  <c r="D164" i="119" s="1"/>
  <c r="I163" i="119" a="1"/>
  <c r="I163" i="119" s="1"/>
  <c r="H163" i="119" a="1"/>
  <c r="H163" i="119" s="1"/>
  <c r="G163" i="119" a="1"/>
  <c r="G163" i="119" s="1"/>
  <c r="F163" i="119" a="1"/>
  <c r="F163" i="119" s="1"/>
  <c r="E163" i="119" a="1"/>
  <c r="E163" i="119" s="1"/>
  <c r="D163" i="119" a="1"/>
  <c r="D163" i="119" s="1"/>
  <c r="I162" i="119" a="1"/>
  <c r="I162" i="119" s="1"/>
  <c r="H162" i="119" a="1"/>
  <c r="H162" i="119" s="1"/>
  <c r="G162" i="119" a="1"/>
  <c r="G162" i="119" s="1"/>
  <c r="F162" i="119" a="1"/>
  <c r="F162" i="119" s="1"/>
  <c r="E162" i="119" a="1"/>
  <c r="E162" i="119" s="1"/>
  <c r="D12" i="114" s="1" a="1"/>
  <c r="D162" i="119" a="1"/>
  <c r="D162" i="119" s="1"/>
  <c r="I158" i="119" a="1"/>
  <c r="I158" i="119" s="1"/>
  <c r="H158" i="119" a="1"/>
  <c r="H158" i="119" s="1"/>
  <c r="G158" i="119" a="1"/>
  <c r="G158" i="119" s="1"/>
  <c r="F158" i="119" a="1"/>
  <c r="F158" i="119" s="1"/>
  <c r="P158" i="119" s="1"/>
  <c r="E158" i="119" a="1"/>
  <c r="E158" i="119" s="1"/>
  <c r="O158" i="119" s="1"/>
  <c r="Q157" i="119" s="1"/>
  <c r="D158" i="119" a="1"/>
  <c r="D158" i="119" s="1"/>
  <c r="I157" i="119" a="1"/>
  <c r="I157" i="119" s="1"/>
  <c r="H157" i="119" a="1"/>
  <c r="H157" i="119" s="1"/>
  <c r="G157" i="119" a="1"/>
  <c r="G157" i="119" s="1"/>
  <c r="F157" i="119" a="1"/>
  <c r="F157" i="119" s="1"/>
  <c r="M157" i="119" s="1"/>
  <c r="E157" i="119" a="1"/>
  <c r="E157" i="119" s="1"/>
  <c r="L157" i="119" s="1"/>
  <c r="N156" i="119" s="1"/>
  <c r="D157" i="119" a="1"/>
  <c r="D157" i="119" s="1"/>
  <c r="I156" i="119" a="1"/>
  <c r="I156" i="119" s="1"/>
  <c r="H156" i="119" a="1"/>
  <c r="H156" i="119" s="1"/>
  <c r="G156" i="119" a="1"/>
  <c r="G156" i="119" s="1"/>
  <c r="F156" i="119" a="1"/>
  <c r="F156" i="119" s="1"/>
  <c r="P156" i="119" s="1"/>
  <c r="E156" i="119" a="1"/>
  <c r="E156" i="119" s="1"/>
  <c r="O156" i="119" s="1"/>
  <c r="Q155" i="119" s="1"/>
  <c r="D156" i="119" a="1"/>
  <c r="D156" i="119" s="1"/>
  <c r="I155" i="119" a="1"/>
  <c r="I155" i="119" s="1"/>
  <c r="H155" i="119" a="1"/>
  <c r="H155" i="119" s="1"/>
  <c r="G155" i="119" a="1"/>
  <c r="G155" i="119" s="1"/>
  <c r="F155" i="119" a="1"/>
  <c r="F155" i="119" s="1"/>
  <c r="M155" i="119" s="1"/>
  <c r="E155" i="119" a="1"/>
  <c r="E155" i="119" s="1"/>
  <c r="L155" i="119" s="1"/>
  <c r="N154" i="119" s="1"/>
  <c r="D155" i="119" a="1"/>
  <c r="D155" i="119" s="1"/>
  <c r="I154" i="119" a="1"/>
  <c r="I154" i="119" s="1"/>
  <c r="H154" i="119" a="1"/>
  <c r="H154" i="119" s="1"/>
  <c r="G154" i="119" a="1"/>
  <c r="G154" i="119" s="1"/>
  <c r="F154" i="119" a="1"/>
  <c r="F154" i="119" s="1"/>
  <c r="P154" i="119" s="1"/>
  <c r="E154" i="119" a="1"/>
  <c r="E154" i="119" s="1"/>
  <c r="O154" i="119" s="1"/>
  <c r="Q153" i="119" s="1"/>
  <c r="D154" i="119" a="1"/>
  <c r="D154" i="119" s="1"/>
  <c r="I153" i="119"/>
  <c r="I153" i="119" a="1"/>
  <c r="H153" i="119" a="1"/>
  <c r="H153" i="119" s="1"/>
  <c r="G153" i="119" a="1"/>
  <c r="G153" i="119" s="1"/>
  <c r="F153" i="119" a="1"/>
  <c r="F153" i="119" s="1"/>
  <c r="M153" i="119" s="1"/>
  <c r="E153" i="119" a="1"/>
  <c r="E153" i="119" s="1"/>
  <c r="L153" i="119" s="1"/>
  <c r="N152" i="119" s="1"/>
  <c r="D153" i="119" a="1"/>
  <c r="D153" i="119" s="1"/>
  <c r="I152" i="119" a="1"/>
  <c r="I152" i="119" s="1"/>
  <c r="H152" i="119" a="1"/>
  <c r="H152" i="119" s="1"/>
  <c r="G152" i="119" a="1"/>
  <c r="G152" i="119" s="1"/>
  <c r="F152" i="119" a="1"/>
  <c r="F152" i="119" s="1"/>
  <c r="P152" i="119" s="1"/>
  <c r="E152" i="119" a="1"/>
  <c r="E152" i="119" s="1"/>
  <c r="O152" i="119" s="1"/>
  <c r="Q151" i="119" s="1"/>
  <c r="D152" i="119" a="1"/>
  <c r="D152" i="119" s="1"/>
  <c r="I151" i="119" a="1"/>
  <c r="I151" i="119" s="1"/>
  <c r="H151" i="119" a="1"/>
  <c r="H151" i="119" s="1"/>
  <c r="G151" i="119" a="1"/>
  <c r="G151" i="119" s="1"/>
  <c r="F151" i="119" a="1"/>
  <c r="F151" i="119" s="1"/>
  <c r="M151" i="119" s="1"/>
  <c r="E151" i="119" a="1"/>
  <c r="E151" i="119" s="1"/>
  <c r="L151" i="119" s="1"/>
  <c r="N150" i="119" s="1"/>
  <c r="D151" i="119" a="1"/>
  <c r="D151" i="119" s="1"/>
  <c r="I150" i="119" a="1"/>
  <c r="I150" i="119" s="1"/>
  <c r="H150" i="119" a="1"/>
  <c r="H150" i="119" s="1"/>
  <c r="G150" i="119" a="1"/>
  <c r="G150" i="119" s="1"/>
  <c r="F150" i="119" a="1"/>
  <c r="F150" i="119" s="1"/>
  <c r="P150" i="119" s="1"/>
  <c r="E150" i="119" a="1"/>
  <c r="E150" i="119" s="1"/>
  <c r="O150" i="119" s="1"/>
  <c r="D150" i="119" a="1"/>
  <c r="D150" i="119" s="1"/>
  <c r="I149" i="119" a="1"/>
  <c r="I149" i="119" s="1"/>
  <c r="H149" i="119" a="1"/>
  <c r="H149" i="119" s="1"/>
  <c r="G149" i="119" a="1"/>
  <c r="G149" i="119" s="1"/>
  <c r="F149" i="119" a="1"/>
  <c r="F149" i="119" s="1"/>
  <c r="P149" i="119" s="1"/>
  <c r="E149" i="119" a="1"/>
  <c r="E149" i="119" s="1"/>
  <c r="O149" i="119" s="1"/>
  <c r="D149" i="119" a="1"/>
  <c r="D149" i="119" s="1"/>
  <c r="I148" i="119" a="1"/>
  <c r="I148" i="119" s="1"/>
  <c r="H148" i="119" a="1"/>
  <c r="H148" i="119" s="1"/>
  <c r="G148" i="119" a="1"/>
  <c r="G148" i="119" s="1"/>
  <c r="F148" i="119" a="1"/>
  <c r="F148" i="119" s="1"/>
  <c r="P148" i="119" s="1"/>
  <c r="E148" i="119" a="1"/>
  <c r="E148" i="119" s="1"/>
  <c r="O148" i="119" s="1"/>
  <c r="D148" i="119" a="1"/>
  <c r="D148" i="119" s="1"/>
  <c r="I147" i="119" a="1"/>
  <c r="I147" i="119" s="1"/>
  <c r="H147" i="119" a="1"/>
  <c r="H147" i="119" s="1"/>
  <c r="G147" i="119" a="1"/>
  <c r="G147" i="119" s="1"/>
  <c r="F147" i="119" a="1"/>
  <c r="F147" i="119" s="1"/>
  <c r="P147" i="119" s="1"/>
  <c r="E147" i="119" a="1"/>
  <c r="E147" i="119" s="1"/>
  <c r="O147" i="119" s="1"/>
  <c r="D147" i="119" a="1"/>
  <c r="D147" i="119" s="1"/>
  <c r="I146" i="119" a="1"/>
  <c r="I146" i="119" s="1"/>
  <c r="H146" i="119" a="1"/>
  <c r="H146" i="119" s="1"/>
  <c r="G146" i="119" a="1"/>
  <c r="G146" i="119" s="1"/>
  <c r="F146" i="119" a="1"/>
  <c r="F146" i="119" s="1"/>
  <c r="P146" i="119" s="1"/>
  <c r="E146" i="119" a="1"/>
  <c r="E146" i="119" s="1"/>
  <c r="O146" i="119" s="1"/>
  <c r="D146" i="119" a="1"/>
  <c r="D146" i="119" s="1"/>
  <c r="I145" i="119" a="1"/>
  <c r="I145" i="119" s="1"/>
  <c r="H145" i="119" a="1"/>
  <c r="H145" i="119" s="1"/>
  <c r="G145" i="119" a="1"/>
  <c r="G145" i="119" s="1"/>
  <c r="F145" i="119" a="1"/>
  <c r="F145" i="119" s="1"/>
  <c r="P145" i="119" s="1"/>
  <c r="E145" i="119" a="1"/>
  <c r="E145" i="119" s="1"/>
  <c r="O145" i="119" s="1"/>
  <c r="D145" i="119" a="1"/>
  <c r="D145" i="119" s="1"/>
  <c r="I144" i="119" a="1"/>
  <c r="I144" i="119" s="1"/>
  <c r="H144" i="119" a="1"/>
  <c r="H144" i="119" s="1"/>
  <c r="G144" i="119" a="1"/>
  <c r="G144" i="119" s="1"/>
  <c r="F144" i="119" a="1"/>
  <c r="F144" i="119" s="1"/>
  <c r="P144" i="119" s="1"/>
  <c r="E144" i="119" a="1"/>
  <c r="E144" i="119" s="1"/>
  <c r="O144" i="119" s="1"/>
  <c r="Q143" i="119" s="1"/>
  <c r="D144" i="119" a="1"/>
  <c r="D144" i="119" s="1"/>
  <c r="I143" i="119" a="1"/>
  <c r="I143" i="119" s="1"/>
  <c r="H143" i="119" a="1"/>
  <c r="H143" i="119" s="1"/>
  <c r="G143" i="119" a="1"/>
  <c r="G143" i="119" s="1"/>
  <c r="F143" i="119" a="1"/>
  <c r="F143" i="119" s="1"/>
  <c r="M143" i="119" s="1"/>
  <c r="E143" i="119" a="1"/>
  <c r="E143" i="119" s="1"/>
  <c r="L143" i="119" s="1"/>
  <c r="D143" i="119" a="1"/>
  <c r="D143" i="119" s="1"/>
  <c r="I142" i="119" a="1"/>
  <c r="I142" i="119" s="1"/>
  <c r="H142" i="119" a="1"/>
  <c r="H142" i="119" s="1"/>
  <c r="G142" i="119" a="1"/>
  <c r="G142" i="119" s="1"/>
  <c r="F142" i="119" a="1"/>
  <c r="F142" i="119" s="1"/>
  <c r="M142" i="119" s="1"/>
  <c r="E142" i="119" a="1"/>
  <c r="E142" i="119" s="1"/>
  <c r="L142" i="119" s="1"/>
  <c r="D142" i="119" a="1"/>
  <c r="D142" i="119" s="1"/>
  <c r="I141" i="119" a="1"/>
  <c r="I141" i="119" s="1"/>
  <c r="H141" i="119" a="1"/>
  <c r="H141" i="119" s="1"/>
  <c r="G141" i="119" a="1"/>
  <c r="G141" i="119" s="1"/>
  <c r="F141" i="119" a="1"/>
  <c r="F141" i="119" s="1"/>
  <c r="M141" i="119" s="1"/>
  <c r="E141" i="119" a="1"/>
  <c r="E141" i="119" s="1"/>
  <c r="L141" i="119" s="1"/>
  <c r="D141" i="119" a="1"/>
  <c r="D141" i="119" s="1"/>
  <c r="I140" i="119" a="1"/>
  <c r="I140" i="119" s="1"/>
  <c r="H140" i="119" a="1"/>
  <c r="H140" i="119" s="1"/>
  <c r="G140" i="119" a="1"/>
  <c r="G140" i="119" s="1"/>
  <c r="F140" i="119" a="1"/>
  <c r="F140" i="119" s="1"/>
  <c r="M140" i="119" s="1"/>
  <c r="E140" i="119" a="1"/>
  <c r="E140" i="119" s="1"/>
  <c r="L140" i="119" s="1"/>
  <c r="D140" i="119" a="1"/>
  <c r="D140" i="119" s="1"/>
  <c r="I139" i="119" a="1"/>
  <c r="I139" i="119" s="1"/>
  <c r="H139" i="119" a="1"/>
  <c r="H139" i="119" s="1"/>
  <c r="G139" i="119" a="1"/>
  <c r="G139" i="119" s="1"/>
  <c r="F139" i="119" a="1"/>
  <c r="F139" i="119" s="1"/>
  <c r="M139" i="119" s="1"/>
  <c r="E139" i="119" a="1"/>
  <c r="E139" i="119" s="1"/>
  <c r="L139" i="119" s="1"/>
  <c r="D139" i="119" a="1"/>
  <c r="D139" i="119" s="1"/>
  <c r="I138" i="119" a="1"/>
  <c r="I138" i="119" s="1"/>
  <c r="H138" i="119" a="1"/>
  <c r="H138" i="119" s="1"/>
  <c r="G138" i="119" a="1"/>
  <c r="G138" i="119" s="1"/>
  <c r="F138" i="119" a="1"/>
  <c r="F138" i="119" s="1"/>
  <c r="M138" i="119" s="1"/>
  <c r="E138" i="119" a="1"/>
  <c r="E138" i="119" s="1"/>
  <c r="L138" i="119" s="1"/>
  <c r="N137" i="119" s="1"/>
  <c r="D138" i="119" a="1"/>
  <c r="D138" i="119" s="1"/>
  <c r="I137" i="119" a="1"/>
  <c r="I137" i="119" s="1"/>
  <c r="H137" i="119" a="1"/>
  <c r="H137" i="119" s="1"/>
  <c r="G137" i="119" a="1"/>
  <c r="G137" i="119" s="1"/>
  <c r="F137" i="119" a="1"/>
  <c r="F137" i="119" s="1"/>
  <c r="P137" i="119" s="1"/>
  <c r="E137" i="119" a="1"/>
  <c r="E137" i="119" s="1"/>
  <c r="O137" i="119" s="1"/>
  <c r="D137" i="119" a="1"/>
  <c r="D137" i="119" s="1"/>
  <c r="I136" i="119" a="1"/>
  <c r="I136" i="119" s="1"/>
  <c r="H136" i="119" a="1"/>
  <c r="H136" i="119" s="1"/>
  <c r="G136" i="119" a="1"/>
  <c r="G136" i="119" s="1"/>
  <c r="F136" i="119" a="1"/>
  <c r="F136" i="119" s="1"/>
  <c r="P136" i="119" s="1"/>
  <c r="E136" i="119" a="1"/>
  <c r="E136" i="119" s="1"/>
  <c r="O136" i="119" s="1"/>
  <c r="D136" i="119" a="1"/>
  <c r="D136" i="119" s="1"/>
  <c r="I135" i="119" a="1"/>
  <c r="I135" i="119" s="1"/>
  <c r="H135" i="119" a="1"/>
  <c r="H135" i="119" s="1"/>
  <c r="G135" i="119" a="1"/>
  <c r="G135" i="119" s="1"/>
  <c r="F135" i="119" a="1"/>
  <c r="F135" i="119" s="1"/>
  <c r="P135" i="119" s="1"/>
  <c r="E135" i="119" a="1"/>
  <c r="E135" i="119" s="1"/>
  <c r="O135" i="119" s="1"/>
  <c r="D135" i="119" a="1"/>
  <c r="D135" i="119" s="1"/>
  <c r="I134" i="119" a="1"/>
  <c r="I134" i="119" s="1"/>
  <c r="H134" i="119" a="1"/>
  <c r="H134" i="119" s="1"/>
  <c r="G134" i="119" a="1"/>
  <c r="G134" i="119" s="1"/>
  <c r="F134" i="119" a="1"/>
  <c r="F134" i="119" s="1"/>
  <c r="P134" i="119" s="1"/>
  <c r="E134" i="119" a="1"/>
  <c r="E134" i="119" s="1"/>
  <c r="O134" i="119" s="1"/>
  <c r="D134" i="119" a="1"/>
  <c r="D134" i="119" s="1"/>
  <c r="I133" i="119" a="1"/>
  <c r="I133" i="119" s="1"/>
  <c r="H133" i="119" a="1"/>
  <c r="H133" i="119" s="1"/>
  <c r="G133" i="119" a="1"/>
  <c r="G133" i="119" s="1"/>
  <c r="F133" i="119" a="1"/>
  <c r="F133" i="119" s="1"/>
  <c r="P133" i="119" s="1"/>
  <c r="E133" i="119" a="1"/>
  <c r="E133" i="119" s="1"/>
  <c r="O133" i="119" s="1"/>
  <c r="D133" i="119" a="1"/>
  <c r="D133" i="119" s="1"/>
  <c r="I132" i="119" a="1"/>
  <c r="I132" i="119" s="1"/>
  <c r="H132" i="119" a="1"/>
  <c r="H132" i="119" s="1"/>
  <c r="G132" i="119" a="1"/>
  <c r="G132" i="119" s="1"/>
  <c r="F132" i="119" a="1"/>
  <c r="F132" i="119" s="1"/>
  <c r="P132" i="119" s="1"/>
  <c r="E132" i="119" a="1"/>
  <c r="E132" i="119" s="1"/>
  <c r="O132" i="119" s="1"/>
  <c r="D132" i="119" a="1"/>
  <c r="D132" i="119" s="1"/>
  <c r="I131" i="119" a="1"/>
  <c r="I131" i="119" s="1"/>
  <c r="H131" i="119" a="1"/>
  <c r="H131" i="119" s="1"/>
  <c r="G131" i="119" a="1"/>
  <c r="G131" i="119" s="1"/>
  <c r="F131" i="119" a="1"/>
  <c r="F131" i="119" s="1"/>
  <c r="P131" i="119" s="1"/>
  <c r="E131" i="119" a="1"/>
  <c r="E131" i="119" s="1"/>
  <c r="O131" i="119" s="1"/>
  <c r="Q130" i="119" s="1"/>
  <c r="D131" i="119" a="1"/>
  <c r="D131" i="119" s="1"/>
  <c r="I130" i="119" a="1"/>
  <c r="I130" i="119" s="1"/>
  <c r="H130" i="119" a="1"/>
  <c r="H130" i="119" s="1"/>
  <c r="G130" i="119" a="1"/>
  <c r="G130" i="119" s="1"/>
  <c r="F130" i="119" a="1"/>
  <c r="F130" i="119" s="1"/>
  <c r="M130" i="119" s="1"/>
  <c r="E130" i="119" a="1"/>
  <c r="E130" i="119" s="1"/>
  <c r="L130" i="119" s="1"/>
  <c r="D130" i="119" a="1"/>
  <c r="D130" i="119" s="1"/>
  <c r="I129" i="119" a="1"/>
  <c r="I129" i="119" s="1"/>
  <c r="H129" i="119" a="1"/>
  <c r="H129" i="119" s="1"/>
  <c r="G129" i="119" a="1"/>
  <c r="G129" i="119" s="1"/>
  <c r="F129" i="119" a="1"/>
  <c r="F129" i="119" s="1"/>
  <c r="M129" i="119" s="1"/>
  <c r="E129" i="119" a="1"/>
  <c r="E129" i="119" s="1"/>
  <c r="L129" i="119" s="1"/>
  <c r="D129" i="119" a="1"/>
  <c r="D129" i="119" s="1"/>
  <c r="I128" i="119" a="1"/>
  <c r="I128" i="119" s="1"/>
  <c r="H128" i="119" a="1"/>
  <c r="H128" i="119" s="1"/>
  <c r="G128" i="119" a="1"/>
  <c r="G128" i="119" s="1"/>
  <c r="F128" i="119" a="1"/>
  <c r="F128" i="119" s="1"/>
  <c r="M128" i="119" s="1"/>
  <c r="E128" i="119" a="1"/>
  <c r="E128" i="119" s="1"/>
  <c r="L128" i="119" s="1"/>
  <c r="D128" i="119" a="1"/>
  <c r="D128" i="119" s="1"/>
  <c r="I127" i="119" a="1"/>
  <c r="I127" i="119" s="1"/>
  <c r="H127" i="119" a="1"/>
  <c r="H127" i="119" s="1"/>
  <c r="G127" i="119" a="1"/>
  <c r="G127" i="119" s="1"/>
  <c r="F127" i="119" a="1"/>
  <c r="F127" i="119" s="1"/>
  <c r="M127" i="119" s="1"/>
  <c r="E127" i="119" a="1"/>
  <c r="E127" i="119" s="1"/>
  <c r="L127" i="119" s="1"/>
  <c r="D127" i="119" a="1"/>
  <c r="D127" i="119" s="1"/>
  <c r="I126" i="119" a="1"/>
  <c r="I126" i="119" s="1"/>
  <c r="H126" i="119" a="1"/>
  <c r="H126" i="119" s="1"/>
  <c r="G126" i="119" a="1"/>
  <c r="G126" i="119" s="1"/>
  <c r="F126" i="119" a="1"/>
  <c r="F126" i="119" s="1"/>
  <c r="M126" i="119" s="1"/>
  <c r="E126" i="119" a="1"/>
  <c r="E126" i="119" s="1"/>
  <c r="L126" i="119" s="1"/>
  <c r="D126" i="119" a="1"/>
  <c r="D126" i="119" s="1"/>
  <c r="I125" i="119" a="1"/>
  <c r="I125" i="119" s="1"/>
  <c r="H125" i="119" a="1"/>
  <c r="H125" i="119" s="1"/>
  <c r="G125" i="119" a="1"/>
  <c r="G125" i="119" s="1"/>
  <c r="F125" i="119" a="1"/>
  <c r="F125" i="119" s="1"/>
  <c r="M125" i="119" s="1"/>
  <c r="E125" i="119" a="1"/>
  <c r="E125" i="119" s="1"/>
  <c r="L125" i="119" s="1"/>
  <c r="N124" i="119" s="1"/>
  <c r="D125" i="119" a="1"/>
  <c r="D125" i="119" s="1"/>
  <c r="I124" i="119" a="1"/>
  <c r="I124" i="119" s="1"/>
  <c r="H124" i="119" a="1"/>
  <c r="H124" i="119" s="1"/>
  <c r="G124" i="119" a="1"/>
  <c r="G124" i="119" s="1"/>
  <c r="F124" i="119" a="1"/>
  <c r="F124" i="119" s="1"/>
  <c r="P124" i="119" s="1"/>
  <c r="E124" i="119" a="1"/>
  <c r="E124" i="119" s="1"/>
  <c r="O124" i="119" s="1"/>
  <c r="D124" i="119" a="1"/>
  <c r="D124" i="119" s="1"/>
  <c r="I123" i="119" a="1"/>
  <c r="I123" i="119" s="1"/>
  <c r="H123" i="119" a="1"/>
  <c r="H123" i="119" s="1"/>
  <c r="G123" i="119" a="1"/>
  <c r="G123" i="119" s="1"/>
  <c r="F123" i="119" a="1"/>
  <c r="F123" i="119" s="1"/>
  <c r="P123" i="119" s="1"/>
  <c r="E123" i="119" a="1"/>
  <c r="E123" i="119" s="1"/>
  <c r="O123" i="119" s="1"/>
  <c r="D123" i="119" a="1"/>
  <c r="D123" i="119" s="1"/>
  <c r="I122" i="119" a="1"/>
  <c r="I122" i="119" s="1"/>
  <c r="H122" i="119" a="1"/>
  <c r="H122" i="119" s="1"/>
  <c r="G122" i="119" a="1"/>
  <c r="G122" i="119" s="1"/>
  <c r="F122" i="119" a="1"/>
  <c r="F122" i="119" s="1"/>
  <c r="P122" i="119" s="1"/>
  <c r="E122" i="119" a="1"/>
  <c r="E122" i="119" s="1"/>
  <c r="O122" i="119" s="1"/>
  <c r="D122" i="119" a="1"/>
  <c r="D122" i="119" s="1"/>
  <c r="I121" i="119" a="1"/>
  <c r="I121" i="119" s="1"/>
  <c r="H121" i="119" a="1"/>
  <c r="H121" i="119" s="1"/>
  <c r="G121" i="119" a="1"/>
  <c r="G121" i="119" s="1"/>
  <c r="F121" i="119" a="1"/>
  <c r="F121" i="119" s="1"/>
  <c r="P121" i="119" s="1"/>
  <c r="E121" i="119" a="1"/>
  <c r="E121" i="119" s="1"/>
  <c r="O121" i="119" s="1"/>
  <c r="D121" i="119" a="1"/>
  <c r="D121" i="119" s="1"/>
  <c r="I120" i="119" a="1"/>
  <c r="I120" i="119" s="1"/>
  <c r="H120" i="119" a="1"/>
  <c r="H120" i="119" s="1"/>
  <c r="G120" i="119" a="1"/>
  <c r="G120" i="119" s="1"/>
  <c r="F120" i="119" a="1"/>
  <c r="F120" i="119" s="1"/>
  <c r="P120" i="119" s="1"/>
  <c r="E120" i="119" a="1"/>
  <c r="E120" i="119" s="1"/>
  <c r="O120" i="119" s="1"/>
  <c r="D120" i="119" a="1"/>
  <c r="D120" i="119" s="1"/>
  <c r="I119" i="119" a="1"/>
  <c r="I119" i="119" s="1"/>
  <c r="H119" i="119" a="1"/>
  <c r="H119" i="119" s="1"/>
  <c r="G119" i="119" a="1"/>
  <c r="G119" i="119" s="1"/>
  <c r="F119" i="119" a="1"/>
  <c r="F119" i="119" s="1"/>
  <c r="P119" i="119" s="1"/>
  <c r="E119" i="119" a="1"/>
  <c r="E119" i="119" s="1"/>
  <c r="O119" i="119" s="1"/>
  <c r="D119" i="119" a="1"/>
  <c r="D119" i="119" s="1"/>
  <c r="I118" i="119" a="1"/>
  <c r="I118" i="119" s="1"/>
  <c r="H118" i="119" a="1"/>
  <c r="H118" i="119" s="1"/>
  <c r="G118" i="119" a="1"/>
  <c r="G118" i="119" s="1"/>
  <c r="F118" i="119" a="1"/>
  <c r="F118" i="119" s="1"/>
  <c r="P118" i="119" s="1"/>
  <c r="E118" i="119" a="1"/>
  <c r="E118" i="119" s="1"/>
  <c r="O118" i="119" s="1"/>
  <c r="Q117" i="119" s="1"/>
  <c r="D118" i="119" a="1"/>
  <c r="D118" i="119" s="1"/>
  <c r="I117" i="119" a="1"/>
  <c r="I117" i="119" s="1"/>
  <c r="H117" i="119" a="1"/>
  <c r="H117" i="119" s="1"/>
  <c r="G117" i="119" a="1"/>
  <c r="G117" i="119" s="1"/>
  <c r="F117" i="119" a="1"/>
  <c r="F117" i="119" s="1"/>
  <c r="M117" i="119" s="1"/>
  <c r="E117" i="119" a="1"/>
  <c r="E117" i="119" s="1"/>
  <c r="L117" i="119" s="1"/>
  <c r="D117" i="119" a="1"/>
  <c r="D117" i="119" s="1"/>
  <c r="I116" i="119" a="1"/>
  <c r="I116" i="119" s="1"/>
  <c r="H116" i="119" a="1"/>
  <c r="H116" i="119" s="1"/>
  <c r="G116" i="119" a="1"/>
  <c r="G116" i="119" s="1"/>
  <c r="F116" i="119" a="1"/>
  <c r="F116" i="119" s="1"/>
  <c r="M116" i="119" s="1"/>
  <c r="E116" i="119" a="1"/>
  <c r="E116" i="119" s="1"/>
  <c r="L116" i="119" s="1"/>
  <c r="D116" i="119" a="1"/>
  <c r="D116" i="119" s="1"/>
  <c r="I115" i="119" a="1"/>
  <c r="I115" i="119" s="1"/>
  <c r="H115" i="119" a="1"/>
  <c r="H115" i="119" s="1"/>
  <c r="G115" i="119" a="1"/>
  <c r="G115" i="119" s="1"/>
  <c r="F115" i="119" a="1"/>
  <c r="F115" i="119" s="1"/>
  <c r="M115" i="119" s="1"/>
  <c r="E115" i="119" a="1"/>
  <c r="E115" i="119" s="1"/>
  <c r="L115" i="119" s="1"/>
  <c r="D115" i="119" a="1"/>
  <c r="D115" i="119" s="1"/>
  <c r="I114" i="119" a="1"/>
  <c r="I114" i="119" s="1"/>
  <c r="H114" i="119" a="1"/>
  <c r="H114" i="119" s="1"/>
  <c r="G114" i="119" a="1"/>
  <c r="G114" i="119" s="1"/>
  <c r="F114" i="119" a="1"/>
  <c r="F114" i="119" s="1"/>
  <c r="M114" i="119" s="1"/>
  <c r="E114" i="119" a="1"/>
  <c r="E114" i="119" s="1"/>
  <c r="L114" i="119" s="1"/>
  <c r="D114" i="119" a="1"/>
  <c r="D114" i="119" s="1"/>
  <c r="I113" i="119" a="1"/>
  <c r="I113" i="119" s="1"/>
  <c r="H113" i="119" a="1"/>
  <c r="H113" i="119" s="1"/>
  <c r="G113" i="119" a="1"/>
  <c r="G113" i="119" s="1"/>
  <c r="F113" i="119" a="1"/>
  <c r="F113" i="119" s="1"/>
  <c r="M113" i="119" s="1"/>
  <c r="E113" i="119" a="1"/>
  <c r="E113" i="119" s="1"/>
  <c r="L113" i="119" s="1"/>
  <c r="D113" i="119" a="1"/>
  <c r="D113" i="119" s="1"/>
  <c r="I112" i="119" a="1"/>
  <c r="I112" i="119" s="1"/>
  <c r="H112" i="119" a="1"/>
  <c r="H112" i="119" s="1"/>
  <c r="G112" i="119" a="1"/>
  <c r="G112" i="119" s="1"/>
  <c r="F112" i="119" a="1"/>
  <c r="F112" i="119" s="1"/>
  <c r="M112" i="119" s="1"/>
  <c r="E112" i="119" a="1"/>
  <c r="E112" i="119" s="1"/>
  <c r="L112" i="119" s="1"/>
  <c r="D112" i="119" a="1"/>
  <c r="D112" i="119" s="1"/>
  <c r="I111" i="119" a="1"/>
  <c r="I111" i="119" s="1"/>
  <c r="H111" i="119" a="1"/>
  <c r="H111" i="119" s="1"/>
  <c r="G111" i="119" a="1"/>
  <c r="G111" i="119" s="1"/>
  <c r="F111" i="119" a="1"/>
  <c r="F111" i="119" s="1"/>
  <c r="M111" i="119" s="1"/>
  <c r="E111" i="119" a="1"/>
  <c r="E111" i="119" s="1"/>
  <c r="L111" i="119" s="1"/>
  <c r="D111" i="119" a="1"/>
  <c r="D111" i="119" s="1"/>
  <c r="I110" i="119" a="1"/>
  <c r="I110" i="119" s="1"/>
  <c r="H110" i="119" a="1"/>
  <c r="H110" i="119" s="1"/>
  <c r="G110" i="119" a="1"/>
  <c r="G110" i="119" s="1"/>
  <c r="F110" i="119" a="1"/>
  <c r="F110" i="119" s="1"/>
  <c r="M110" i="119" s="1"/>
  <c r="E110" i="119" a="1"/>
  <c r="E110" i="119" s="1"/>
  <c r="L110" i="119" s="1"/>
  <c r="N109" i="119" s="1"/>
  <c r="D110" i="119" a="1"/>
  <c r="D110" i="119" s="1"/>
  <c r="I109" i="119" a="1"/>
  <c r="I109" i="119" s="1"/>
  <c r="H109" i="119" a="1"/>
  <c r="H109" i="119" s="1"/>
  <c r="G109" i="119" a="1"/>
  <c r="G109" i="119" s="1"/>
  <c r="F109" i="119" a="1"/>
  <c r="F109" i="119" s="1"/>
  <c r="P109" i="119" s="1"/>
  <c r="E109" i="119" a="1"/>
  <c r="E109" i="119" s="1"/>
  <c r="O109" i="119" s="1"/>
  <c r="D109" i="119"/>
  <c r="D109" i="119" a="1"/>
  <c r="I108" i="119" a="1"/>
  <c r="I108" i="119" s="1"/>
  <c r="H108" i="119" a="1"/>
  <c r="H108" i="119" s="1"/>
  <c r="G108" i="119" a="1"/>
  <c r="G108" i="119" s="1"/>
  <c r="F108" i="119" a="1"/>
  <c r="F108" i="119" s="1"/>
  <c r="P108" i="119" s="1"/>
  <c r="E108" i="119" a="1"/>
  <c r="E108" i="119" s="1"/>
  <c r="O108" i="119" s="1"/>
  <c r="D108" i="119" a="1"/>
  <c r="D108" i="119" s="1"/>
  <c r="I107" i="119" a="1"/>
  <c r="I107" i="119" s="1"/>
  <c r="H107" i="119" a="1"/>
  <c r="H107" i="119" s="1"/>
  <c r="G107" i="119" a="1"/>
  <c r="G107" i="119" s="1"/>
  <c r="F107" i="119" a="1"/>
  <c r="F107" i="119" s="1"/>
  <c r="P107" i="119" s="1"/>
  <c r="E107" i="119" a="1"/>
  <c r="E107" i="119" s="1"/>
  <c r="O107" i="119" s="1"/>
  <c r="D107" i="119" a="1"/>
  <c r="D107" i="119" s="1"/>
  <c r="I106" i="119" a="1"/>
  <c r="I106" i="119" s="1"/>
  <c r="H106" i="119" a="1"/>
  <c r="H106" i="119" s="1"/>
  <c r="G106" i="119" a="1"/>
  <c r="G106" i="119" s="1"/>
  <c r="F106" i="119" a="1"/>
  <c r="F106" i="119" s="1"/>
  <c r="P106" i="119" s="1"/>
  <c r="E106" i="119" a="1"/>
  <c r="E106" i="119" s="1"/>
  <c r="O106" i="119" s="1"/>
  <c r="D106" i="119" a="1"/>
  <c r="D106" i="119" s="1"/>
  <c r="I105" i="119" a="1"/>
  <c r="I105" i="119" s="1"/>
  <c r="H105" i="119" a="1"/>
  <c r="H105" i="119" s="1"/>
  <c r="G105" i="119" a="1"/>
  <c r="G105" i="119" s="1"/>
  <c r="F105" i="119" a="1"/>
  <c r="F105" i="119" s="1"/>
  <c r="P105" i="119" s="1"/>
  <c r="E105" i="119" a="1"/>
  <c r="E105" i="119" s="1"/>
  <c r="O105" i="119" s="1"/>
  <c r="Q104" i="119" s="1"/>
  <c r="D105" i="119" a="1"/>
  <c r="D105" i="119" s="1"/>
  <c r="I104" i="119" a="1"/>
  <c r="I104" i="119" s="1"/>
  <c r="H104" i="119" a="1"/>
  <c r="H104" i="119" s="1"/>
  <c r="G104" i="119" a="1"/>
  <c r="G104" i="119" s="1"/>
  <c r="F104" i="119" a="1"/>
  <c r="F104" i="119" s="1"/>
  <c r="M104" i="119" s="1"/>
  <c r="E104" i="119" a="1"/>
  <c r="E104" i="119" s="1"/>
  <c r="L104" i="119" s="1"/>
  <c r="D104" i="119" a="1"/>
  <c r="D104" i="119" s="1"/>
  <c r="I103" i="119" a="1"/>
  <c r="I103" i="119" s="1"/>
  <c r="H103" i="119" a="1"/>
  <c r="H103" i="119" s="1"/>
  <c r="G103" i="119" a="1"/>
  <c r="G103" i="119" s="1"/>
  <c r="F103" i="119" a="1"/>
  <c r="F103" i="119" s="1"/>
  <c r="M103" i="119" s="1"/>
  <c r="E103" i="119" a="1"/>
  <c r="E103" i="119" s="1"/>
  <c r="L103" i="119" s="1"/>
  <c r="D103" i="119" a="1"/>
  <c r="D103" i="119" s="1"/>
  <c r="I102" i="119" a="1"/>
  <c r="I102" i="119" s="1"/>
  <c r="H102" i="119" a="1"/>
  <c r="H102" i="119" s="1"/>
  <c r="G102" i="119" a="1"/>
  <c r="G102" i="119" s="1"/>
  <c r="F102" i="119" a="1"/>
  <c r="F102" i="119" s="1"/>
  <c r="M102" i="119" s="1"/>
  <c r="E102" i="119" a="1"/>
  <c r="E102" i="119" s="1"/>
  <c r="L102" i="119" s="1"/>
  <c r="D102" i="119" a="1"/>
  <c r="D102" i="119" s="1"/>
  <c r="I101" i="119" a="1"/>
  <c r="I101" i="119" s="1"/>
  <c r="H101" i="119" a="1"/>
  <c r="H101" i="119" s="1"/>
  <c r="G101" i="119" a="1"/>
  <c r="G101" i="119" s="1"/>
  <c r="F101" i="119" a="1"/>
  <c r="F101" i="119" s="1"/>
  <c r="M101" i="119" s="1"/>
  <c r="E101" i="119" a="1"/>
  <c r="E101" i="119" s="1"/>
  <c r="L101" i="119" s="1"/>
  <c r="D101" i="119" a="1"/>
  <c r="D101" i="119" s="1"/>
  <c r="I100" i="119" a="1"/>
  <c r="I100" i="119" s="1"/>
  <c r="H100" i="119" a="1"/>
  <c r="H100" i="119" s="1"/>
  <c r="G100" i="119" a="1"/>
  <c r="G100" i="119" s="1"/>
  <c r="F100" i="119" a="1"/>
  <c r="F100" i="119" s="1"/>
  <c r="M100" i="119" s="1"/>
  <c r="E100" i="119" a="1"/>
  <c r="E100" i="119" s="1"/>
  <c r="L100" i="119" s="1"/>
  <c r="D100" i="119" a="1"/>
  <c r="D100" i="119" s="1"/>
  <c r="I99" i="119" a="1"/>
  <c r="I99" i="119" s="1"/>
  <c r="H99" i="119" a="1"/>
  <c r="H99" i="119" s="1"/>
  <c r="G99" i="119" a="1"/>
  <c r="G99" i="119" s="1"/>
  <c r="F99" i="119" a="1"/>
  <c r="F99" i="119" s="1"/>
  <c r="M99" i="119" s="1"/>
  <c r="E99" i="119" a="1"/>
  <c r="E99" i="119" s="1"/>
  <c r="L99" i="119" s="1"/>
  <c r="D99" i="119" a="1"/>
  <c r="D99" i="119" s="1"/>
  <c r="I98" i="119" a="1"/>
  <c r="I98" i="119" s="1"/>
  <c r="H98" i="119" a="1"/>
  <c r="H98" i="119" s="1"/>
  <c r="G98" i="119" a="1"/>
  <c r="G98" i="119" s="1"/>
  <c r="F98" i="119" a="1"/>
  <c r="F98" i="119" s="1"/>
  <c r="M98" i="119" s="1"/>
  <c r="E98" i="119" a="1"/>
  <c r="E98" i="119" s="1"/>
  <c r="L98" i="119" s="1"/>
  <c r="N97" i="119" s="1"/>
  <c r="D98" i="119" a="1"/>
  <c r="D98" i="119" s="1"/>
  <c r="I97" i="119" a="1"/>
  <c r="I97" i="119" s="1"/>
  <c r="H97" i="119" a="1"/>
  <c r="H97" i="119" s="1"/>
  <c r="G97" i="119" a="1"/>
  <c r="G97" i="119" s="1"/>
  <c r="F97" i="119" a="1"/>
  <c r="F97" i="119" s="1"/>
  <c r="P97" i="119" s="1"/>
  <c r="E97" i="119" a="1"/>
  <c r="E97" i="119" s="1"/>
  <c r="O97" i="119" s="1"/>
  <c r="D97" i="119" a="1"/>
  <c r="D97" i="119" s="1"/>
  <c r="I96" i="119" a="1"/>
  <c r="I96" i="119" s="1"/>
  <c r="H96" i="119" a="1"/>
  <c r="H96" i="119" s="1"/>
  <c r="G96" i="119" a="1"/>
  <c r="G96" i="119" s="1"/>
  <c r="F96" i="119" a="1"/>
  <c r="F96" i="119" s="1"/>
  <c r="P96" i="119" s="1"/>
  <c r="E96" i="119"/>
  <c r="O96" i="119" s="1"/>
  <c r="E96" i="119" a="1"/>
  <c r="D96" i="119" a="1"/>
  <c r="D96" i="119" s="1"/>
  <c r="I95" i="119" a="1"/>
  <c r="I95" i="119" s="1"/>
  <c r="H95" i="119" a="1"/>
  <c r="H95" i="119" s="1"/>
  <c r="G95" i="119" a="1"/>
  <c r="G95" i="119" s="1"/>
  <c r="F95" i="119" a="1"/>
  <c r="F95" i="119" s="1"/>
  <c r="P95" i="119" s="1"/>
  <c r="E95" i="119" a="1"/>
  <c r="E95" i="119" s="1"/>
  <c r="O95" i="119" s="1"/>
  <c r="D95" i="119" a="1"/>
  <c r="D95" i="119" s="1"/>
  <c r="I94" i="119" a="1"/>
  <c r="I94" i="119" s="1"/>
  <c r="H94" i="119" a="1"/>
  <c r="H94" i="119" s="1"/>
  <c r="G94" i="119" a="1"/>
  <c r="G94" i="119" s="1"/>
  <c r="F94" i="119" a="1"/>
  <c r="F94" i="119" s="1"/>
  <c r="P94" i="119" s="1"/>
  <c r="E94" i="119" a="1"/>
  <c r="E94" i="119" s="1"/>
  <c r="O94" i="119" s="1"/>
  <c r="D94" i="119" a="1"/>
  <c r="D94" i="119" s="1"/>
  <c r="I93" i="119" a="1"/>
  <c r="I93" i="119" s="1"/>
  <c r="H93" i="119" a="1"/>
  <c r="H93" i="119" s="1"/>
  <c r="G93" i="119" a="1"/>
  <c r="G93" i="119" s="1"/>
  <c r="F93" i="119" a="1"/>
  <c r="F93" i="119" s="1"/>
  <c r="P93" i="119" s="1"/>
  <c r="E93" i="119" a="1"/>
  <c r="E93" i="119" s="1"/>
  <c r="O93" i="119" s="1"/>
  <c r="D93" i="119" a="1"/>
  <c r="D93" i="119" s="1"/>
  <c r="I92" i="119" a="1"/>
  <c r="I92" i="119" s="1"/>
  <c r="H92" i="119" a="1"/>
  <c r="H92" i="119" s="1"/>
  <c r="G92" i="119" a="1"/>
  <c r="G92" i="119" s="1"/>
  <c r="F92" i="119" a="1"/>
  <c r="F92" i="119" s="1"/>
  <c r="P92" i="119" s="1"/>
  <c r="E92" i="119" a="1"/>
  <c r="E92" i="119" s="1"/>
  <c r="O92" i="119" s="1"/>
  <c r="D92" i="119" a="1"/>
  <c r="D92" i="119" s="1"/>
  <c r="I91" i="119" a="1"/>
  <c r="I91" i="119" s="1"/>
  <c r="H91" i="119" a="1"/>
  <c r="H91" i="119" s="1"/>
  <c r="G91" i="119" a="1"/>
  <c r="G91" i="119" s="1"/>
  <c r="F91" i="119" a="1"/>
  <c r="F91" i="119" s="1"/>
  <c r="P91" i="119" s="1"/>
  <c r="E91" i="119" a="1"/>
  <c r="E91" i="119" s="1"/>
  <c r="O91" i="119" s="1"/>
  <c r="D91" i="119" a="1"/>
  <c r="D91" i="119" s="1"/>
  <c r="I90" i="119" a="1"/>
  <c r="I90" i="119" s="1"/>
  <c r="H90" i="119" a="1"/>
  <c r="H90" i="119" s="1"/>
  <c r="G90" i="119" a="1"/>
  <c r="G90" i="119" s="1"/>
  <c r="F90" i="119" a="1"/>
  <c r="F90" i="119" s="1"/>
  <c r="P90" i="119" s="1"/>
  <c r="E90" i="119" a="1"/>
  <c r="E90" i="119" s="1"/>
  <c r="D90" i="119" a="1"/>
  <c r="D90" i="119" s="1"/>
  <c r="I86" i="119" a="1"/>
  <c r="I86" i="119" s="1"/>
  <c r="H86" i="119" a="1"/>
  <c r="H86" i="119" s="1"/>
  <c r="G86" i="119" a="1"/>
  <c r="G86" i="119" s="1"/>
  <c r="F86" i="119" a="1"/>
  <c r="F86" i="119" s="1"/>
  <c r="E86" i="119" a="1"/>
  <c r="E86" i="119" s="1"/>
  <c r="D86" i="119" a="1"/>
  <c r="D86" i="119" s="1"/>
  <c r="I85" i="119" a="1"/>
  <c r="I85" i="119" s="1"/>
  <c r="H85" i="119" a="1"/>
  <c r="H85" i="119" s="1"/>
  <c r="G85" i="119" a="1"/>
  <c r="G85" i="119" s="1"/>
  <c r="F85" i="119" a="1"/>
  <c r="F85" i="119" s="1"/>
  <c r="E85" i="119"/>
  <c r="E85" i="119" a="1"/>
  <c r="D85" i="119" a="1"/>
  <c r="D85" i="119" s="1"/>
  <c r="I84" i="119" a="1"/>
  <c r="I84" i="119" s="1"/>
  <c r="H84" i="119" a="1"/>
  <c r="H84" i="119" s="1"/>
  <c r="G84" i="119" a="1"/>
  <c r="G84" i="119" s="1"/>
  <c r="F84" i="119" a="1"/>
  <c r="F84" i="119" s="1"/>
  <c r="E84" i="119" a="1"/>
  <c r="E84" i="119" s="1"/>
  <c r="D84" i="119" a="1"/>
  <c r="D84" i="119" s="1"/>
  <c r="I83" i="119" a="1"/>
  <c r="I83" i="119" s="1"/>
  <c r="H83" i="119" a="1"/>
  <c r="H83" i="119" s="1"/>
  <c r="G83" i="119" a="1"/>
  <c r="G83" i="119" s="1"/>
  <c r="F83" i="119" a="1"/>
  <c r="F83" i="119" s="1"/>
  <c r="E83" i="119" a="1"/>
  <c r="E83" i="119" s="1"/>
  <c r="D83" i="119" a="1"/>
  <c r="D83" i="119" s="1"/>
  <c r="I80" i="119" a="1"/>
  <c r="I80" i="119" s="1"/>
  <c r="H80" i="119" a="1"/>
  <c r="H80" i="119" s="1"/>
  <c r="G80" i="119" a="1"/>
  <c r="G80" i="119" s="1"/>
  <c r="F80" i="119" a="1"/>
  <c r="F80" i="119" s="1"/>
  <c r="E80" i="119" a="1"/>
  <c r="E80" i="119" s="1"/>
  <c r="D80" i="119" a="1"/>
  <c r="D80" i="119" s="1"/>
  <c r="I79" i="119" a="1"/>
  <c r="I79" i="119" s="1"/>
  <c r="H79" i="119" a="1"/>
  <c r="H79" i="119" s="1"/>
  <c r="G79" i="119" a="1"/>
  <c r="G79" i="119" s="1"/>
  <c r="F79" i="119" a="1"/>
  <c r="F79" i="119" s="1"/>
  <c r="E79" i="119" a="1"/>
  <c r="E79" i="119" s="1"/>
  <c r="D79" i="119" a="1"/>
  <c r="D79" i="119" s="1"/>
  <c r="I78" i="119" a="1"/>
  <c r="I78" i="119" s="1"/>
  <c r="H78" i="119" a="1"/>
  <c r="H78" i="119" s="1"/>
  <c r="G78" i="119" a="1"/>
  <c r="G78" i="119" s="1"/>
  <c r="F78" i="119" a="1"/>
  <c r="F78" i="119" s="1"/>
  <c r="E78" i="119" a="1"/>
  <c r="E78" i="119" s="1"/>
  <c r="D78" i="119" a="1"/>
  <c r="D78" i="119" s="1"/>
  <c r="I74" i="119" a="1"/>
  <c r="I74" i="119" s="1"/>
  <c r="H74" i="119" a="1"/>
  <c r="H74" i="119" s="1"/>
  <c r="G74" i="119" a="1"/>
  <c r="G74" i="119" s="1"/>
  <c r="F74" i="119" a="1"/>
  <c r="F74" i="119" s="1"/>
  <c r="E74" i="119" a="1"/>
  <c r="E74" i="119" s="1"/>
  <c r="D74" i="119" a="1"/>
  <c r="D74" i="119" s="1"/>
  <c r="I73" i="119" a="1"/>
  <c r="I73" i="119" s="1"/>
  <c r="H73" i="119" a="1"/>
  <c r="H73" i="119" s="1"/>
  <c r="G73" i="119" a="1"/>
  <c r="G73" i="119" s="1"/>
  <c r="F73" i="119" a="1"/>
  <c r="F73" i="119" s="1"/>
  <c r="E73" i="119" a="1"/>
  <c r="E73" i="119" s="1"/>
  <c r="D73" i="119" a="1"/>
  <c r="D73" i="119" s="1"/>
  <c r="I72" i="119" a="1"/>
  <c r="I72" i="119" s="1"/>
  <c r="H72" i="119" a="1"/>
  <c r="H72" i="119" s="1"/>
  <c r="G72" i="119" a="1"/>
  <c r="G72" i="119" s="1"/>
  <c r="F72" i="119" a="1"/>
  <c r="F72" i="119" s="1"/>
  <c r="E72" i="119" a="1"/>
  <c r="E72" i="119" s="1"/>
  <c r="D72" i="119" a="1"/>
  <c r="D72" i="119" s="1"/>
  <c r="I71" i="119" a="1"/>
  <c r="I71" i="119" s="1"/>
  <c r="H71" i="119" a="1"/>
  <c r="H71" i="119" s="1"/>
  <c r="G71" i="119" a="1"/>
  <c r="G71" i="119" s="1"/>
  <c r="F71" i="119" a="1"/>
  <c r="F71" i="119" s="1"/>
  <c r="E71" i="119" a="1"/>
  <c r="E71" i="119" s="1"/>
  <c r="D71" i="119" a="1"/>
  <c r="D71" i="119" s="1"/>
  <c r="I70" i="119" a="1"/>
  <c r="I70" i="119" s="1"/>
  <c r="H70" i="119" a="1"/>
  <c r="H70" i="119" s="1"/>
  <c r="G70" i="119" a="1"/>
  <c r="G70" i="119" s="1"/>
  <c r="F70" i="119" a="1"/>
  <c r="F70" i="119" s="1"/>
  <c r="E70" i="119" a="1"/>
  <c r="E70" i="119" s="1"/>
  <c r="D70" i="119" a="1"/>
  <c r="D70" i="119" s="1"/>
  <c r="I69" i="119" a="1"/>
  <c r="I69" i="119" s="1"/>
  <c r="H69" i="119" a="1"/>
  <c r="H69" i="119" s="1"/>
  <c r="G69" i="119" a="1"/>
  <c r="G69" i="119" s="1"/>
  <c r="F69" i="119" a="1"/>
  <c r="F69" i="119" s="1"/>
  <c r="E69" i="119" a="1"/>
  <c r="E69" i="119" s="1"/>
  <c r="D69" i="119" a="1"/>
  <c r="D69" i="119" s="1"/>
  <c r="I68" i="119" a="1"/>
  <c r="I68" i="119" s="1"/>
  <c r="H68" i="119" a="1"/>
  <c r="H68" i="119" s="1"/>
  <c r="G68" i="119" a="1"/>
  <c r="G68" i="119" s="1"/>
  <c r="F68" i="119" a="1"/>
  <c r="F68" i="119" s="1"/>
  <c r="E68" i="119" a="1"/>
  <c r="E68" i="119" s="1"/>
  <c r="D68" i="119" a="1"/>
  <c r="D68" i="119" s="1"/>
  <c r="I67" i="119" a="1"/>
  <c r="I67" i="119" s="1"/>
  <c r="H67" i="119" a="1"/>
  <c r="H67" i="119" s="1"/>
  <c r="G67" i="119" a="1"/>
  <c r="G67" i="119" s="1"/>
  <c r="F67" i="119" a="1"/>
  <c r="F67" i="119" s="1"/>
  <c r="E67" i="119" a="1"/>
  <c r="E67" i="119" s="1"/>
  <c r="D67" i="119" a="1"/>
  <c r="D67" i="119" s="1"/>
  <c r="I66" i="119" a="1"/>
  <c r="I66" i="119" s="1"/>
  <c r="H66" i="119" a="1"/>
  <c r="H66" i="119" s="1"/>
  <c r="G66" i="119" a="1"/>
  <c r="G66" i="119" s="1"/>
  <c r="F66" i="119" a="1"/>
  <c r="F66" i="119" s="1"/>
  <c r="E66" i="119" a="1"/>
  <c r="E66" i="119" s="1"/>
  <c r="D66" i="119" a="1"/>
  <c r="D66" i="119" s="1"/>
  <c r="I65" i="119" a="1"/>
  <c r="I65" i="119" s="1"/>
  <c r="H65" i="119" a="1"/>
  <c r="H65" i="119" s="1"/>
  <c r="G65" i="119" a="1"/>
  <c r="G65" i="119" s="1"/>
  <c r="F65" i="119" a="1"/>
  <c r="F65" i="119" s="1"/>
  <c r="E65" i="119" a="1"/>
  <c r="E65" i="119" s="1"/>
  <c r="D65" i="119" a="1"/>
  <c r="D65" i="119" s="1"/>
  <c r="I64" i="119" a="1"/>
  <c r="I64" i="119" s="1"/>
  <c r="H64" i="119" a="1"/>
  <c r="H64" i="119" s="1"/>
  <c r="G64" i="119" a="1"/>
  <c r="G64" i="119" s="1"/>
  <c r="F64" i="119" a="1"/>
  <c r="F64" i="119" s="1"/>
  <c r="E64" i="119" a="1"/>
  <c r="E64" i="119" s="1"/>
  <c r="D64" i="119" a="1"/>
  <c r="D64" i="119" s="1"/>
  <c r="I63" i="119" a="1"/>
  <c r="I63" i="119" s="1"/>
  <c r="H63" i="119" a="1"/>
  <c r="H63" i="119" s="1"/>
  <c r="G63" i="119" a="1"/>
  <c r="G63" i="119" s="1"/>
  <c r="F63" i="119" a="1"/>
  <c r="F63" i="119" s="1"/>
  <c r="E63" i="119" a="1"/>
  <c r="E63" i="119" s="1"/>
  <c r="D63" i="119" a="1"/>
  <c r="D63" i="119" s="1"/>
  <c r="I62" i="119" a="1"/>
  <c r="I62" i="119" s="1"/>
  <c r="H62" i="119" a="1"/>
  <c r="H62" i="119" s="1"/>
  <c r="G62" i="119" a="1"/>
  <c r="G62" i="119" s="1"/>
  <c r="F62" i="119" a="1"/>
  <c r="F62" i="119" s="1"/>
  <c r="E62" i="119" a="1"/>
  <c r="E62" i="119" s="1"/>
  <c r="D62" i="119" a="1"/>
  <c r="D62" i="119" s="1"/>
  <c r="I61" i="119" a="1"/>
  <c r="I61" i="119" s="1"/>
  <c r="H61" i="119" a="1"/>
  <c r="H61" i="119" s="1"/>
  <c r="G61" i="119" a="1"/>
  <c r="G61" i="119" s="1"/>
  <c r="F61" i="119" a="1"/>
  <c r="F61" i="119" s="1"/>
  <c r="E61" i="119" a="1"/>
  <c r="E61" i="119" s="1"/>
  <c r="D61" i="119" a="1"/>
  <c r="D61" i="119" s="1"/>
  <c r="I60" i="119" a="1"/>
  <c r="I60" i="119" s="1"/>
  <c r="H60" i="119" a="1"/>
  <c r="H60" i="119" s="1"/>
  <c r="G60" i="119" a="1"/>
  <c r="G60" i="119" s="1"/>
  <c r="F60" i="119" a="1"/>
  <c r="F60" i="119" s="1"/>
  <c r="E60" i="119" a="1"/>
  <c r="E60" i="119" s="1"/>
  <c r="D60" i="119" a="1"/>
  <c r="D60" i="119" s="1"/>
  <c r="I59" i="119" a="1"/>
  <c r="I59" i="119" s="1"/>
  <c r="H59" i="119" a="1"/>
  <c r="H59" i="119" s="1"/>
  <c r="G59" i="119" a="1"/>
  <c r="G59" i="119" s="1"/>
  <c r="F59" i="119" a="1"/>
  <c r="F59" i="119" s="1"/>
  <c r="E59" i="119" a="1"/>
  <c r="E59" i="119" s="1"/>
  <c r="D59" i="119" a="1"/>
  <c r="D59" i="119" s="1"/>
  <c r="I58" i="119" a="1"/>
  <c r="I58" i="119" s="1"/>
  <c r="H58" i="119" a="1"/>
  <c r="H58" i="119" s="1"/>
  <c r="G58" i="119" a="1"/>
  <c r="G58" i="119" s="1"/>
  <c r="F58" i="119" a="1"/>
  <c r="F58" i="119" s="1"/>
  <c r="E58" i="119" a="1"/>
  <c r="E58" i="119" s="1"/>
  <c r="D58" i="119" a="1"/>
  <c r="D58" i="119" s="1"/>
  <c r="I57" i="119" a="1"/>
  <c r="I57" i="119" s="1"/>
  <c r="H57" i="119" a="1"/>
  <c r="H57" i="119" s="1"/>
  <c r="G57" i="119" a="1"/>
  <c r="G57" i="119" s="1"/>
  <c r="F57" i="119" a="1"/>
  <c r="F57" i="119" s="1"/>
  <c r="E57" i="119" a="1"/>
  <c r="E57" i="119" s="1"/>
  <c r="D57" i="119"/>
  <c r="D57" i="119" a="1"/>
  <c r="I56" i="119" a="1"/>
  <c r="I56" i="119" s="1"/>
  <c r="H56" i="119" a="1"/>
  <c r="H56" i="119" s="1"/>
  <c r="G56" i="119" a="1"/>
  <c r="G56" i="119" s="1"/>
  <c r="F56" i="119" a="1"/>
  <c r="F56" i="119" s="1"/>
  <c r="E56" i="119" a="1"/>
  <c r="E56" i="119" s="1"/>
  <c r="D56" i="119" a="1"/>
  <c r="D56" i="119" s="1"/>
  <c r="I55" i="119" a="1"/>
  <c r="I55" i="119" s="1"/>
  <c r="H55" i="119" a="1"/>
  <c r="H55" i="119" s="1"/>
  <c r="G55" i="119" a="1"/>
  <c r="G55" i="119" s="1"/>
  <c r="F55" i="119" a="1"/>
  <c r="F55" i="119" s="1"/>
  <c r="E55" i="119" a="1"/>
  <c r="E55" i="119" s="1"/>
  <c r="D55" i="119" a="1"/>
  <c r="D55" i="119" s="1"/>
  <c r="I54" i="119" a="1"/>
  <c r="I54" i="119" s="1"/>
  <c r="H54" i="119" a="1"/>
  <c r="H54" i="119" s="1"/>
  <c r="G54" i="119" a="1"/>
  <c r="G54" i="119" s="1"/>
  <c r="F54" i="119" a="1"/>
  <c r="F54" i="119" s="1"/>
  <c r="E54" i="119" a="1"/>
  <c r="E54" i="119" s="1"/>
  <c r="D54" i="119" a="1"/>
  <c r="D54" i="119" s="1"/>
  <c r="I53" i="119" a="1"/>
  <c r="I53" i="119" s="1"/>
  <c r="H53" i="119" a="1"/>
  <c r="H53" i="119" s="1"/>
  <c r="G53" i="119" a="1"/>
  <c r="G53" i="119" s="1"/>
  <c r="F53" i="119" a="1"/>
  <c r="F53" i="119" s="1"/>
  <c r="E53" i="119" a="1"/>
  <c r="E53" i="119" s="1"/>
  <c r="D53" i="119" a="1"/>
  <c r="D53" i="119" s="1"/>
  <c r="I52" i="119" a="1"/>
  <c r="I52" i="119" s="1"/>
  <c r="H52" i="119" a="1"/>
  <c r="H52" i="119" s="1"/>
  <c r="G52" i="119" a="1"/>
  <c r="G52" i="119" s="1"/>
  <c r="F52" i="119" a="1"/>
  <c r="F52" i="119" s="1"/>
  <c r="E52" i="119" a="1"/>
  <c r="E52" i="119" s="1"/>
  <c r="D52" i="119" a="1"/>
  <c r="D52" i="119" s="1"/>
  <c r="I51" i="119" a="1"/>
  <c r="I51" i="119" s="1"/>
  <c r="H51" i="119" a="1"/>
  <c r="H51" i="119" s="1"/>
  <c r="G51" i="119" a="1"/>
  <c r="G51" i="119" s="1"/>
  <c r="F51" i="119" a="1"/>
  <c r="F51" i="119" s="1"/>
  <c r="E51" i="119" a="1"/>
  <c r="E51" i="119" s="1"/>
  <c r="D51" i="119" a="1"/>
  <c r="D51" i="119" s="1"/>
  <c r="I50" i="119" a="1"/>
  <c r="I50" i="119" s="1"/>
  <c r="H50" i="119" a="1"/>
  <c r="H50" i="119" s="1"/>
  <c r="G50" i="119" a="1"/>
  <c r="G50" i="119" s="1"/>
  <c r="F50" i="119" a="1"/>
  <c r="F50" i="119" s="1"/>
  <c r="E50" i="119" a="1"/>
  <c r="E50" i="119" s="1"/>
  <c r="D50" i="119" a="1"/>
  <c r="D50" i="119" s="1"/>
  <c r="I49" i="119" a="1"/>
  <c r="I49" i="119" s="1"/>
  <c r="H49" i="119" a="1"/>
  <c r="H49" i="119" s="1"/>
  <c r="G49" i="119" a="1"/>
  <c r="G49" i="119" s="1"/>
  <c r="F49" i="119" a="1"/>
  <c r="F49" i="119" s="1"/>
  <c r="E49" i="119" a="1"/>
  <c r="E49" i="119" s="1"/>
  <c r="D49" i="119" a="1"/>
  <c r="D49" i="119" s="1"/>
  <c r="I48" i="119" a="1"/>
  <c r="I48" i="119" s="1"/>
  <c r="H48" i="119" a="1"/>
  <c r="H48" i="119" s="1"/>
  <c r="G48" i="119" a="1"/>
  <c r="G48" i="119" s="1"/>
  <c r="F48" i="119" a="1"/>
  <c r="F48" i="119" s="1"/>
  <c r="E48" i="119" a="1"/>
  <c r="E48" i="119" s="1"/>
  <c r="D48" i="119" a="1"/>
  <c r="D48" i="119" s="1"/>
  <c r="I47" i="119" a="1"/>
  <c r="I47" i="119" s="1"/>
  <c r="H47" i="119" a="1"/>
  <c r="H47" i="119" s="1"/>
  <c r="G47" i="119" a="1"/>
  <c r="G47" i="119" s="1"/>
  <c r="F47" i="119" a="1"/>
  <c r="F47" i="119" s="1"/>
  <c r="E47" i="119" a="1"/>
  <c r="E47" i="119" s="1"/>
  <c r="D47" i="119" a="1"/>
  <c r="D47" i="119" s="1"/>
  <c r="I46" i="119" a="1"/>
  <c r="I46" i="119" s="1"/>
  <c r="H46" i="119" a="1"/>
  <c r="H46" i="119" s="1"/>
  <c r="G46" i="119" a="1"/>
  <c r="G46" i="119" s="1"/>
  <c r="F46" i="119" a="1"/>
  <c r="F46" i="119" s="1"/>
  <c r="E46" i="119" a="1"/>
  <c r="E46" i="119" s="1"/>
  <c r="D46" i="119" a="1"/>
  <c r="D46" i="119" s="1"/>
  <c r="I45" i="119" a="1"/>
  <c r="I45" i="119" s="1"/>
  <c r="H45" i="119" a="1"/>
  <c r="H45" i="119" s="1"/>
  <c r="G45" i="119" a="1"/>
  <c r="G45" i="119" s="1"/>
  <c r="F45" i="119" a="1"/>
  <c r="F45" i="119" s="1"/>
  <c r="E45" i="119" a="1"/>
  <c r="E45" i="119" s="1"/>
  <c r="D45" i="119" a="1"/>
  <c r="D45" i="119" s="1"/>
  <c r="I44" i="119" a="1"/>
  <c r="I44" i="119" s="1"/>
  <c r="H44" i="119" a="1"/>
  <c r="H44" i="119" s="1"/>
  <c r="G44" i="119" a="1"/>
  <c r="G44" i="119" s="1"/>
  <c r="F44" i="119" a="1"/>
  <c r="F44" i="119" s="1"/>
  <c r="E44" i="119" a="1"/>
  <c r="E44" i="119" s="1"/>
  <c r="D44" i="119" a="1"/>
  <c r="D44" i="119" s="1"/>
  <c r="I43" i="119" a="1"/>
  <c r="I43" i="119" s="1"/>
  <c r="H43" i="119" a="1"/>
  <c r="H43" i="119" s="1"/>
  <c r="G43" i="119" a="1"/>
  <c r="G43" i="119" s="1"/>
  <c r="F43" i="119" a="1"/>
  <c r="F43" i="119" s="1"/>
  <c r="E43" i="119" a="1"/>
  <c r="E43" i="119" s="1"/>
  <c r="D43" i="119" a="1"/>
  <c r="D43" i="119" s="1"/>
  <c r="I42" i="119" a="1"/>
  <c r="I42" i="119" s="1"/>
  <c r="H42" i="119" a="1"/>
  <c r="H42" i="119" s="1"/>
  <c r="G42" i="119" a="1"/>
  <c r="G42" i="119" s="1"/>
  <c r="F42" i="119" a="1"/>
  <c r="F42" i="119" s="1"/>
  <c r="E42" i="119" a="1"/>
  <c r="E42" i="119" s="1"/>
  <c r="D42" i="119" a="1"/>
  <c r="D42" i="119" s="1"/>
  <c r="I41" i="119" a="1"/>
  <c r="I41" i="119" s="1"/>
  <c r="H41" i="119" a="1"/>
  <c r="H41" i="119" s="1"/>
  <c r="G41" i="119" a="1"/>
  <c r="G41" i="119" s="1"/>
  <c r="F41" i="119" a="1"/>
  <c r="F41" i="119" s="1"/>
  <c r="E41" i="119" a="1"/>
  <c r="E41" i="119" s="1"/>
  <c r="D41" i="119" a="1"/>
  <c r="D41" i="119" s="1"/>
  <c r="I40" i="119" a="1"/>
  <c r="I40" i="119" s="1"/>
  <c r="H40" i="119" a="1"/>
  <c r="H40" i="119" s="1"/>
  <c r="G40" i="119" a="1"/>
  <c r="G40" i="119" s="1"/>
  <c r="F40" i="119" a="1"/>
  <c r="F40" i="119" s="1"/>
  <c r="E40" i="119" a="1"/>
  <c r="E40" i="119" s="1"/>
  <c r="D40" i="119" a="1"/>
  <c r="D40" i="119" s="1"/>
  <c r="I39" i="119" a="1"/>
  <c r="I39" i="119" s="1"/>
  <c r="H39" i="119" a="1"/>
  <c r="H39" i="119" s="1"/>
  <c r="G39" i="119" a="1"/>
  <c r="G39" i="119" s="1"/>
  <c r="F39" i="119" a="1"/>
  <c r="F39" i="119" s="1"/>
  <c r="E39" i="119" a="1"/>
  <c r="E39" i="119" s="1"/>
  <c r="D39" i="119" a="1"/>
  <c r="D39" i="119" s="1"/>
  <c r="I38" i="119" a="1"/>
  <c r="I38" i="119" s="1"/>
  <c r="H38" i="119" a="1"/>
  <c r="H38" i="119" s="1"/>
  <c r="G38" i="119" a="1"/>
  <c r="G38" i="119" s="1"/>
  <c r="F38" i="119" a="1"/>
  <c r="F38" i="119" s="1"/>
  <c r="E38" i="119" a="1"/>
  <c r="E38" i="119" s="1"/>
  <c r="D38" i="119" a="1"/>
  <c r="D38" i="119" s="1"/>
  <c r="I37" i="119" a="1"/>
  <c r="I37" i="119" s="1"/>
  <c r="H37" i="119" a="1"/>
  <c r="H37" i="119" s="1"/>
  <c r="G37" i="119" a="1"/>
  <c r="G37" i="119" s="1"/>
  <c r="F37" i="119" a="1"/>
  <c r="F37" i="119" s="1"/>
  <c r="E37" i="119" a="1"/>
  <c r="E37" i="119" s="1"/>
  <c r="D37" i="119" a="1"/>
  <c r="D37" i="119" s="1"/>
  <c r="I36" i="119" a="1"/>
  <c r="I36" i="119" s="1"/>
  <c r="H36" i="119" a="1"/>
  <c r="H36" i="119" s="1"/>
  <c r="G36" i="119" a="1"/>
  <c r="G36" i="119" s="1"/>
  <c r="F36" i="119" a="1"/>
  <c r="F36" i="119" s="1"/>
  <c r="E36" i="119" a="1"/>
  <c r="E36" i="119" s="1"/>
  <c r="D36" i="119" a="1"/>
  <c r="D36" i="119" s="1"/>
  <c r="I35" i="119" a="1"/>
  <c r="I35" i="119" s="1"/>
  <c r="H35" i="119" a="1"/>
  <c r="H35" i="119" s="1"/>
  <c r="G35" i="119" a="1"/>
  <c r="G35" i="119" s="1"/>
  <c r="F35" i="119" a="1"/>
  <c r="F35" i="119" s="1"/>
  <c r="E35" i="119" a="1"/>
  <c r="E35" i="119" s="1"/>
  <c r="D35" i="119" a="1"/>
  <c r="D35" i="119" s="1"/>
  <c r="I34" i="119" a="1"/>
  <c r="I34" i="119" s="1"/>
  <c r="H34" i="119" a="1"/>
  <c r="H34" i="119" s="1"/>
  <c r="G34" i="119" a="1"/>
  <c r="G34" i="119" s="1"/>
  <c r="F34" i="119" a="1"/>
  <c r="F34" i="119" s="1"/>
  <c r="E34" i="119" a="1"/>
  <c r="E34" i="119" s="1"/>
  <c r="D34" i="119" a="1"/>
  <c r="D34" i="119" s="1"/>
  <c r="R85" i="118" a="1"/>
  <c r="R85" i="118" s="1"/>
  <c r="N85" i="118" a="1"/>
  <c r="N85" i="118" s="1"/>
  <c r="H85" i="118" a="1"/>
  <c r="H85" i="118" s="1"/>
  <c r="D85" i="118" a="1"/>
  <c r="D85" i="118" s="1"/>
  <c r="O83" i="118" a="1"/>
  <c r="O83" i="118" s="1"/>
  <c r="E83" i="118" a="1"/>
  <c r="E83" i="118" s="1"/>
  <c r="O82" i="118" a="1"/>
  <c r="O82" i="118" s="1"/>
  <c r="E82" i="118" a="1"/>
  <c r="E82" i="118" s="1"/>
  <c r="N78" i="118" a="1"/>
  <c r="N78" i="118" s="1"/>
  <c r="D78" i="118" a="1"/>
  <c r="D78" i="118" s="1"/>
  <c r="N77" i="118" a="1"/>
  <c r="N77" i="118" s="1"/>
  <c r="D77" i="118" a="1"/>
  <c r="D77" i="118" s="1"/>
  <c r="I72" i="118"/>
  <c r="I71" i="118"/>
  <c r="I70" i="118"/>
  <c r="S67" i="118"/>
  <c r="Q67" i="118" a="1"/>
  <c r="Q67" i="118" s="1"/>
  <c r="N67" i="118" a="1"/>
  <c r="N67" i="118" s="1"/>
  <c r="I67" i="118"/>
  <c r="G67" i="118" a="1"/>
  <c r="G67" i="118" s="1"/>
  <c r="D67" i="118" a="1"/>
  <c r="D67" i="118" s="1"/>
  <c r="O65" i="118"/>
  <c r="O65" i="118" a="1"/>
  <c r="E65" i="118" a="1"/>
  <c r="E65" i="118" s="1"/>
  <c r="O64" i="118" a="1"/>
  <c r="O64" i="118" s="1"/>
  <c r="E64" i="118" a="1"/>
  <c r="E64" i="118" s="1"/>
  <c r="N60" i="118"/>
  <c r="N60" i="118" a="1"/>
  <c r="D60" i="118" a="1"/>
  <c r="D60" i="118" s="1"/>
  <c r="N59" i="118" a="1"/>
  <c r="N59" i="118" s="1"/>
  <c r="D59" i="118" a="1"/>
  <c r="D59" i="118" s="1"/>
  <c r="I52" i="118"/>
  <c r="I51" i="118"/>
  <c r="Q48" i="118" a="1"/>
  <c r="Q48" i="118" s="1"/>
  <c r="N48" i="118" a="1"/>
  <c r="N48" i="118" s="1"/>
  <c r="G48" i="118" a="1"/>
  <c r="G48" i="118" s="1"/>
  <c r="D48" i="118" a="1"/>
  <c r="D48" i="118" s="1"/>
  <c r="O46" i="118" a="1"/>
  <c r="O46" i="118" s="1"/>
  <c r="E46" i="118" a="1"/>
  <c r="E46" i="118" s="1"/>
  <c r="O45" i="118" a="1"/>
  <c r="O45" i="118" s="1"/>
  <c r="E45" i="118" a="1"/>
  <c r="E45" i="118" s="1"/>
  <c r="N41" i="118" a="1"/>
  <c r="N41" i="118" s="1"/>
  <c r="D41" i="118" a="1"/>
  <c r="D41" i="118" s="1"/>
  <c r="N40" i="118" a="1"/>
  <c r="N40" i="118" s="1"/>
  <c r="D40" i="118" a="1"/>
  <c r="D40" i="118" s="1"/>
  <c r="S32" i="118"/>
  <c r="Q32" i="118" a="1"/>
  <c r="Q32" i="118" s="1"/>
  <c r="N32" i="118" a="1"/>
  <c r="N32" i="118" s="1"/>
  <c r="I32" i="118"/>
  <c r="G32" i="118" a="1"/>
  <c r="G32" i="118" s="1"/>
  <c r="D32" i="118" a="1"/>
  <c r="D32" i="118" s="1"/>
  <c r="O30" i="118" a="1"/>
  <c r="O30" i="118" s="1"/>
  <c r="P35" i="118" s="1"/>
  <c r="E30" i="118" a="1"/>
  <c r="E30" i="118" s="1"/>
  <c r="F35" i="118" s="1"/>
  <c r="O29" i="118" a="1"/>
  <c r="O29" i="118" s="1"/>
  <c r="E29" i="118" a="1"/>
  <c r="E29" i="118" s="1"/>
  <c r="N25" i="118" a="1"/>
  <c r="N25" i="118" s="1"/>
  <c r="D25" i="118" a="1"/>
  <c r="D25" i="118" s="1"/>
  <c r="N24" i="118" a="1"/>
  <c r="N24" i="118" s="1"/>
  <c r="D24" i="118" a="1"/>
  <c r="D24" i="118" s="1"/>
  <c r="J16" i="118"/>
  <c r="T13" i="118"/>
  <c r="R13" i="118" a="1"/>
  <c r="R13" i="118" s="1"/>
  <c r="N13" i="118" a="1"/>
  <c r="N13" i="118" s="1"/>
  <c r="J13" i="118"/>
  <c r="H13" i="118" a="1"/>
  <c r="H13" i="118" s="1"/>
  <c r="D13" i="118" a="1"/>
  <c r="D13" i="118" s="1"/>
  <c r="O11" i="118" a="1"/>
  <c r="O11" i="118" s="1"/>
  <c r="E11" i="118" a="1"/>
  <c r="E11" i="118" s="1"/>
  <c r="F19" i="118" s="1"/>
  <c r="O10" i="118" a="1"/>
  <c r="O10" i="118" s="1"/>
  <c r="E10" i="118" a="1"/>
  <c r="E10" i="118" s="1"/>
  <c r="N6" i="118" a="1"/>
  <c r="N6" i="118" s="1"/>
  <c r="D6" i="118" a="1"/>
  <c r="D6" i="118" s="1"/>
  <c r="N5" i="118" a="1"/>
  <c r="N5" i="118" s="1"/>
  <c r="D5" i="118" a="1"/>
  <c r="D5" i="118" s="1"/>
  <c r="G616" i="117" a="1"/>
  <c r="G616" i="117" s="1"/>
  <c r="D616" i="117" a="1"/>
  <c r="D616" i="117" s="1"/>
  <c r="E614" i="117" a="1"/>
  <c r="E614" i="117" s="1"/>
  <c r="E613" i="117" a="1"/>
  <c r="E613" i="117" s="1"/>
  <c r="D608" i="117" a="1"/>
  <c r="D608" i="117" s="1"/>
  <c r="D607" i="117" a="1"/>
  <c r="D607" i="117" s="1"/>
  <c r="E601" i="117" a="1"/>
  <c r="E601" i="117" s="1"/>
  <c r="F603" i="117" s="1"/>
  <c r="E600" i="117" a="1"/>
  <c r="E600" i="117" s="1"/>
  <c r="D598" i="117" a="1"/>
  <c r="D598" i="117" s="1"/>
  <c r="D597" i="117" a="1"/>
  <c r="D597" i="117" s="1"/>
  <c r="N593" i="117" a="1"/>
  <c r="N593" i="117" s="1"/>
  <c r="F593" i="117" a="1"/>
  <c r="F593" i="117" s="1"/>
  <c r="L590" i="117" a="1"/>
  <c r="L590" i="117" s="1"/>
  <c r="D590" i="117" a="1"/>
  <c r="D590" i="117" s="1"/>
  <c r="P584" i="117" a="1"/>
  <c r="P584" i="117" s="1"/>
  <c r="L584" i="117" a="1"/>
  <c r="L584" i="117" s="1"/>
  <c r="H584" i="117" a="1"/>
  <c r="H584" i="117" s="1"/>
  <c r="D584" i="117" a="1"/>
  <c r="D584" i="117" s="1"/>
  <c r="E580" i="117" a="1"/>
  <c r="E580" i="117" s="1"/>
  <c r="N588" i="117" s="1"/>
  <c r="E579" i="117" a="1"/>
  <c r="E579" i="117" s="1"/>
  <c r="D575" i="117" a="1"/>
  <c r="D575" i="117" s="1"/>
  <c r="D574" i="117" a="1"/>
  <c r="D574" i="117" s="1"/>
  <c r="I568" i="117"/>
  <c r="I564" i="117"/>
  <c r="I563" i="117"/>
  <c r="I562" i="117"/>
  <c r="G562" i="117" a="1"/>
  <c r="G562" i="117" s="1"/>
  <c r="D562" i="117" a="1"/>
  <c r="D562" i="117" s="1"/>
  <c r="E560" i="117" a="1"/>
  <c r="E560" i="117" s="1"/>
  <c r="E559" i="117" a="1"/>
  <c r="E559" i="117" s="1"/>
  <c r="D554" i="117" a="1"/>
  <c r="D554" i="117" s="1"/>
  <c r="D553" i="117" a="1"/>
  <c r="D553" i="117" s="1"/>
  <c r="D552" i="117" a="1"/>
  <c r="D552" i="117" s="1"/>
  <c r="I546" i="117"/>
  <c r="I544" i="117"/>
  <c r="G544" i="117" a="1"/>
  <c r="G544" i="117" s="1"/>
  <c r="D544" i="117" a="1"/>
  <c r="D544" i="117" s="1"/>
  <c r="E542" i="117" a="1"/>
  <c r="E542" i="117" s="1"/>
  <c r="E541" i="117" a="1"/>
  <c r="E541" i="117" s="1"/>
  <c r="D537" i="117" a="1"/>
  <c r="D537" i="117" s="1"/>
  <c r="D536" i="117" a="1"/>
  <c r="D536" i="117" s="1"/>
  <c r="G530" i="117" a="1"/>
  <c r="G530" i="117" s="1"/>
  <c r="D530" i="117" a="1"/>
  <c r="D530" i="117" s="1"/>
  <c r="E528" i="117" a="1"/>
  <c r="E528" i="117" s="1"/>
  <c r="E527" i="117" a="1"/>
  <c r="E527" i="117" s="1"/>
  <c r="D522" i="117" a="1"/>
  <c r="D522" i="117" s="1"/>
  <c r="D521" i="117" a="1"/>
  <c r="D521" i="117" s="1"/>
  <c r="K513" i="117" a="1"/>
  <c r="K513" i="117" s="1"/>
  <c r="K511" i="117" a="1"/>
  <c r="K511" i="117" s="1"/>
  <c r="E496" i="117"/>
  <c r="I496" i="117" s="1" a="1"/>
  <c r="I496" i="117" s="1"/>
  <c r="E495" i="117"/>
  <c r="E494" i="117"/>
  <c r="I494" i="117" s="1" a="1"/>
  <c r="I494" i="117" s="1"/>
  <c r="E485" i="117"/>
  <c r="I485" i="117" s="1" a="1"/>
  <c r="I485" i="117" s="1"/>
  <c r="E484" i="117"/>
  <c r="E483" i="117"/>
  <c r="I483" i="117" s="1" a="1"/>
  <c r="I483" i="117" s="1"/>
  <c r="E482" i="117"/>
  <c r="E481" i="117"/>
  <c r="I481" i="117" s="1" a="1"/>
  <c r="I481" i="117" s="1"/>
  <c r="G439" i="117" a="1"/>
  <c r="G439" i="117" s="1"/>
  <c r="D439" i="117" a="1"/>
  <c r="D439" i="117" s="1"/>
  <c r="E437" i="117" a="1"/>
  <c r="E437" i="117" s="1"/>
  <c r="E436" i="117" a="1"/>
  <c r="E436" i="117" s="1"/>
  <c r="D431" i="117" a="1"/>
  <c r="D431" i="117" s="1"/>
  <c r="D430" i="117" a="1"/>
  <c r="D430" i="117" s="1"/>
  <c r="K423" i="117"/>
  <c r="K418" i="117"/>
  <c r="J418" i="117" a="1"/>
  <c r="J418" i="117" s="1"/>
  <c r="K417" i="117"/>
  <c r="J417" i="117" a="1"/>
  <c r="J417" i="117" s="1"/>
  <c r="K416" i="117"/>
  <c r="K419" i="117"/>
  <c r="J419" i="117" a="1"/>
  <c r="J419" i="117" s="1"/>
  <c r="F407" i="117" a="1"/>
  <c r="F407" i="117" s="1"/>
  <c r="D407" i="117" a="1"/>
  <c r="D407" i="117" s="1"/>
  <c r="E405" i="117" a="1"/>
  <c r="E405" i="117" s="1"/>
  <c r="E404" i="117" a="1"/>
  <c r="E404" i="117" s="1"/>
  <c r="D399" i="117" a="1"/>
  <c r="D399" i="117" s="1"/>
  <c r="D398" i="117" a="1"/>
  <c r="D398" i="117" s="1"/>
  <c r="F377" i="117" a="1"/>
  <c r="F377" i="117" s="1"/>
  <c r="D377" i="117" a="1"/>
  <c r="D377" i="117" s="1"/>
  <c r="E375" i="117" a="1"/>
  <c r="E375" i="117" s="1"/>
  <c r="E374" i="117" a="1"/>
  <c r="E374" i="117" s="1"/>
  <c r="D369" i="117" a="1"/>
  <c r="D369" i="117" s="1"/>
  <c r="D368" i="117" a="1"/>
  <c r="D368" i="117" s="1"/>
  <c r="D367" i="117" a="1"/>
  <c r="D367" i="117" s="1"/>
  <c r="G344" i="117" a="1"/>
  <c r="G344" i="117" s="1"/>
  <c r="D344" i="117" a="1"/>
  <c r="D344" i="117" s="1"/>
  <c r="E342" i="117" a="1"/>
  <c r="E342" i="117" s="1"/>
  <c r="E341" i="117" a="1"/>
  <c r="E341" i="117" s="1"/>
  <c r="D337" i="117" a="1"/>
  <c r="D337" i="117" s="1"/>
  <c r="D336" i="117" a="1"/>
  <c r="D336" i="117" s="1"/>
  <c r="E320" i="117" a="1"/>
  <c r="E320" i="117" s="1"/>
  <c r="F320" i="117" s="1" a="1"/>
  <c r="D320" i="117" a="1"/>
  <c r="D320" i="117" s="1"/>
  <c r="F311" i="117" a="1"/>
  <c r="G315" i="117" s="1"/>
  <c r="D311" i="117" a="1"/>
  <c r="D311" i="117" s="1"/>
  <c r="E309" i="117" a="1"/>
  <c r="E309" i="117" s="1"/>
  <c r="E308" i="117" a="1"/>
  <c r="E308" i="117" s="1"/>
  <c r="D304" i="117" a="1"/>
  <c r="D304" i="117" s="1"/>
  <c r="D303" i="117" a="1"/>
  <c r="D303" i="117" s="1"/>
  <c r="G280" i="117" a="1"/>
  <c r="G280" i="117" s="1"/>
  <c r="D280" i="117" a="1"/>
  <c r="D280" i="117" s="1"/>
  <c r="E278" i="117" a="1"/>
  <c r="E278" i="117" s="1"/>
  <c r="E277" i="117" a="1"/>
  <c r="E277" i="117" s="1"/>
  <c r="D272" i="117" a="1"/>
  <c r="D272" i="117" s="1"/>
  <c r="D271" i="117" a="1"/>
  <c r="D271" i="117" s="1"/>
  <c r="G224" i="117" a="1"/>
  <c r="G224" i="117" s="1"/>
  <c r="D224" i="117" a="1"/>
  <c r="D224" i="117" s="1"/>
  <c r="E222" i="117" a="1"/>
  <c r="E222" i="117" s="1"/>
  <c r="E221" i="117" a="1"/>
  <c r="E221" i="117" s="1"/>
  <c r="D217" i="117" a="1"/>
  <c r="D217" i="117" s="1"/>
  <c r="D216" i="117" a="1"/>
  <c r="D216" i="117" s="1"/>
  <c r="D215" i="117" a="1"/>
  <c r="D215" i="117" s="1"/>
  <c r="G209" i="117" a="1"/>
  <c r="G209" i="117" s="1"/>
  <c r="D209" i="117" a="1"/>
  <c r="D209" i="117" s="1"/>
  <c r="E207" i="117" a="1"/>
  <c r="E207" i="117" s="1"/>
  <c r="E206" i="117" a="1"/>
  <c r="E206" i="117" s="1"/>
  <c r="D202" i="117" a="1"/>
  <c r="D202" i="117" s="1"/>
  <c r="D201" i="117" a="1"/>
  <c r="D201" i="117" s="1"/>
  <c r="G195" i="117" a="1"/>
  <c r="G195" i="117" s="1"/>
  <c r="D195" i="117" a="1"/>
  <c r="D195" i="117" s="1"/>
  <c r="E193" i="117" a="1"/>
  <c r="E193" i="117" s="1"/>
  <c r="E192" i="117" a="1"/>
  <c r="E192" i="117" s="1"/>
  <c r="D188" i="117" a="1"/>
  <c r="D188" i="117" s="1"/>
  <c r="D187" i="117" a="1"/>
  <c r="D187" i="117" s="1"/>
  <c r="D186" i="117" a="1"/>
  <c r="D186" i="117" s="1"/>
  <c r="E179" i="117"/>
  <c r="E178" i="117"/>
  <c r="I178" i="117" s="1" a="1"/>
  <c r="I178" i="117" s="1"/>
  <c r="E177" i="117"/>
  <c r="I177" i="117" s="1" a="1"/>
  <c r="I177" i="117" s="1"/>
  <c r="G172" i="117" a="1"/>
  <c r="G172" i="117" s="1"/>
  <c r="D172" i="117" a="1"/>
  <c r="D172" i="117" s="1"/>
  <c r="E170" i="117" a="1"/>
  <c r="E170" i="117" s="1"/>
  <c r="E169" i="117" a="1"/>
  <c r="E169" i="117" s="1"/>
  <c r="F168" i="117" a="1"/>
  <c r="F168" i="117" s="1"/>
  <c r="D165" i="117" a="1"/>
  <c r="D165" i="117" s="1"/>
  <c r="D164" i="117" a="1"/>
  <c r="D164" i="117" s="1"/>
  <c r="E153" i="117"/>
  <c r="E152" i="117"/>
  <c r="E151" i="117"/>
  <c r="E150" i="117"/>
  <c r="E149" i="117"/>
  <c r="E148" i="117"/>
  <c r="E140" i="117"/>
  <c r="E139" i="117"/>
  <c r="E138" i="117"/>
  <c r="I138" i="117" s="1" a="1"/>
  <c r="I138" i="117" s="1"/>
  <c r="E137" i="117"/>
  <c r="I137" i="117" s="1" a="1"/>
  <c r="I137" i="117" s="1"/>
  <c r="G107" i="117" a="1"/>
  <c r="G107" i="117" s="1"/>
  <c r="D107" i="117" a="1"/>
  <c r="D107" i="117" s="1"/>
  <c r="E105" i="117" a="1"/>
  <c r="E105" i="117" s="1"/>
  <c r="F142" i="117" s="1"/>
  <c r="E104" i="117" a="1"/>
  <c r="E104" i="117" s="1"/>
  <c r="D100" i="117" a="1"/>
  <c r="D100" i="117" s="1"/>
  <c r="D99" i="117" a="1"/>
  <c r="D99" i="117" s="1"/>
  <c r="D98" i="117" a="1"/>
  <c r="D98" i="117" s="1"/>
  <c r="J62" i="117" a="1"/>
  <c r="J62" i="117" s="1"/>
  <c r="J45" i="117" a="1"/>
  <c r="J45" i="117" s="1"/>
  <c r="G13" i="117" a="1"/>
  <c r="G13" i="117" s="1"/>
  <c r="D13" i="117" a="1"/>
  <c r="D13" i="117" s="1"/>
  <c r="E11" i="117" a="1"/>
  <c r="E11" i="117" s="1"/>
  <c r="F34" i="117" s="1"/>
  <c r="E10" i="117"/>
  <c r="E10" i="117" a="1"/>
  <c r="D6" i="117" a="1"/>
  <c r="D6" i="117" s="1"/>
  <c r="D5" i="117" a="1"/>
  <c r="D5" i="117" s="1"/>
  <c r="H19" i="113"/>
  <c r="O19" i="113" s="1"/>
  <c r="H18" i="113"/>
  <c r="R18" i="113" s="1"/>
  <c r="H17" i="113"/>
  <c r="R17" i="113" s="1"/>
  <c r="H16" i="113"/>
  <c r="R16" i="113" s="1"/>
  <c r="H15" i="113"/>
  <c r="R15" i="113" s="1"/>
  <c r="H14" i="113"/>
  <c r="R14" i="113" s="1"/>
  <c r="H13" i="113"/>
  <c r="R13" i="113" s="1"/>
  <c r="H12" i="113"/>
  <c r="R12" i="113" s="1"/>
  <c r="H11" i="113"/>
  <c r="R11" i="113" s="1"/>
  <c r="H10" i="113"/>
  <c r="R10" i="113" s="1"/>
  <c r="Q8" i="113" a="1"/>
  <c r="Q8" i="113" s="1"/>
  <c r="N8" i="113" a="1"/>
  <c r="N8" i="113" s="1"/>
  <c r="K8" i="113" a="1"/>
  <c r="K8"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D60" i="110" a="1"/>
  <c r="D60" i="110" s="1"/>
  <c r="D59" i="110" a="1"/>
  <c r="D59" i="110"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E19" i="107" s="1"/>
  <c r="D49" i="110" a="1"/>
  <c r="D49" i="110" s="1"/>
  <c r="D48" i="110" a="1"/>
  <c r="D48" i="110" s="1"/>
  <c r="E45" i="110" a="1"/>
  <c r="E45" i="110" s="1"/>
  <c r="D45" i="110" a="1"/>
  <c r="D45" i="110" s="1"/>
  <c r="E44" i="110" a="1"/>
  <c r="E44" i="110" s="1"/>
  <c r="D44" i="110" a="1"/>
  <c r="D44" i="110" s="1"/>
  <c r="D41" i="110" a="1"/>
  <c r="D41" i="110" s="1"/>
  <c r="D40" i="110" a="1"/>
  <c r="D4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D5" i="110" a="1"/>
  <c r="D5" i="110" s="1"/>
  <c r="P53" i="109" a="1"/>
  <c r="P53" i="109" s="1"/>
  <c r="F53" i="109" a="1"/>
  <c r="F53" i="109" s="1"/>
  <c r="N50" i="109" a="1"/>
  <c r="N50" i="109" s="1"/>
  <c r="D50" i="109" a="1"/>
  <c r="D50" i="109" s="1"/>
  <c r="N45" i="109"/>
  <c r="D45" i="109"/>
  <c r="J40" i="109"/>
  <c r="J36" i="109" a="1"/>
  <c r="J36" i="109" s="1"/>
  <c r="H36" i="109" a="1"/>
  <c r="H36" i="109" s="1"/>
  <c r="D36" i="109" a="1"/>
  <c r="D36" i="109" s="1"/>
  <c r="E34" i="109" a="1"/>
  <c r="E34" i="109" s="1"/>
  <c r="E33" i="109" a="1"/>
  <c r="E33" i="109" s="1"/>
  <c r="D29" i="109" a="1"/>
  <c r="D29" i="109" s="1"/>
  <c r="D28" i="109" a="1"/>
  <c r="D28" i="109" s="1"/>
  <c r="G25" i="109"/>
  <c r="F25" i="109"/>
  <c r="J19" i="109" a="1"/>
  <c r="J19" i="109" s="1"/>
  <c r="J18" i="109"/>
  <c r="J16" i="109" a="1"/>
  <c r="J16" i="109" s="1"/>
  <c r="J14" i="109" a="1"/>
  <c r="J14" i="109" s="1"/>
  <c r="J13" i="109" a="1"/>
  <c r="J13" i="109" s="1"/>
  <c r="H13" i="109" a="1"/>
  <c r="H13" i="109" s="1"/>
  <c r="D13" i="109" a="1"/>
  <c r="D13" i="109" s="1"/>
  <c r="E11" i="109" a="1"/>
  <c r="E11" i="109" s="1"/>
  <c r="E10" i="109" a="1"/>
  <c r="E10" i="109" s="1"/>
  <c r="D6" i="109" a="1"/>
  <c r="D6" i="109" s="1"/>
  <c r="D5" i="109" a="1"/>
  <c r="D5" i="109" s="1"/>
  <c r="P45" i="108" a="1"/>
  <c r="P45" i="108" s="1"/>
  <c r="F45" i="108" a="1"/>
  <c r="F45" i="108" s="1"/>
  <c r="N42" i="108" a="1"/>
  <c r="N42" i="108" s="1"/>
  <c r="D42" i="108" a="1"/>
  <c r="D42" i="108" s="1"/>
  <c r="P40" i="108" a="1"/>
  <c r="P40" i="108" s="1"/>
  <c r="F40" i="108" a="1"/>
  <c r="F40" i="108" s="1"/>
  <c r="J36" i="108"/>
  <c r="R33" i="108" a="1"/>
  <c r="R33" i="108" s="1"/>
  <c r="N33" i="108" a="1"/>
  <c r="N33" i="108" s="1"/>
  <c r="H33" i="108" a="1"/>
  <c r="H33" i="108" s="1"/>
  <c r="D33" i="108" a="1"/>
  <c r="D33" i="108" s="1"/>
  <c r="O31" i="108" a="1"/>
  <c r="O31" i="108" s="1"/>
  <c r="E31" i="108" a="1"/>
  <c r="E31" i="108" s="1"/>
  <c r="O30" i="108" a="1"/>
  <c r="O30" i="108" s="1"/>
  <c r="E30" i="108" a="1"/>
  <c r="E30" i="108" s="1"/>
  <c r="N26" i="108" a="1"/>
  <c r="N26" i="108" s="1"/>
  <c r="D26" i="108" a="1"/>
  <c r="D26" i="108" s="1"/>
  <c r="N25" i="108" a="1"/>
  <c r="N25" i="108" s="1"/>
  <c r="D25" i="108" a="1"/>
  <c r="D25" i="108" s="1"/>
  <c r="P21" i="108" a="1"/>
  <c r="P21" i="108" s="1"/>
  <c r="F21" i="108" a="1"/>
  <c r="F21" i="108" s="1"/>
  <c r="J19" i="108"/>
  <c r="R13" i="108" a="1"/>
  <c r="R13" i="108" s="1"/>
  <c r="N13" i="108" a="1"/>
  <c r="N13" i="108" s="1"/>
  <c r="J13" i="108"/>
  <c r="H13" i="108" a="1"/>
  <c r="H13" i="108" s="1"/>
  <c r="D13" i="108" a="1"/>
  <c r="D13" i="108" s="1"/>
  <c r="E11" i="108" a="1"/>
  <c r="E11" i="108" s="1"/>
  <c r="E10" i="108" a="1"/>
  <c r="E10" i="108" s="1"/>
  <c r="D6" i="108" a="1"/>
  <c r="D6" i="108" s="1"/>
  <c r="D5" i="108" a="1"/>
  <c r="D5" i="108"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E63" i="106" a="1"/>
  <c r="E63" i="106" s="1"/>
  <c r="D63" i="106" a="1"/>
  <c r="D63" i="106" s="1"/>
  <c r="E62" i="106" a="1"/>
  <c r="E62" i="106" s="1"/>
  <c r="D62" i="106" a="1"/>
  <c r="D62" i="106" s="1"/>
  <c r="E61" i="106" a="1"/>
  <c r="E61" i="106" s="1"/>
  <c r="D61" i="106" a="1"/>
  <c r="D61" i="106" s="1"/>
  <c r="E60" i="106" a="1"/>
  <c r="E60" i="106" s="1"/>
  <c r="D60" i="106" a="1"/>
  <c r="D60" i="106" s="1"/>
  <c r="E59" i="106" a="1"/>
  <c r="E59" i="106" s="1"/>
  <c r="D59" i="106" a="1"/>
  <c r="D59" i="106" s="1"/>
  <c r="E58" i="106" a="1"/>
  <c r="E58" i="106" s="1"/>
  <c r="D58" i="106" a="1"/>
  <c r="D58" i="106" s="1"/>
  <c r="D56" i="106" a="1"/>
  <c r="D56" i="106" s="1"/>
  <c r="D55" i="106" a="1"/>
  <c r="D55" i="106" s="1"/>
  <c r="D54" i="106" a="1"/>
  <c r="D54" i="106" s="1"/>
  <c r="D53" i="106" a="1"/>
  <c r="D53" i="106" s="1"/>
  <c r="D52" i="106" a="1"/>
  <c r="D52" i="106" s="1"/>
  <c r="G50" i="106" a="1"/>
  <c r="G50" i="106" s="1"/>
  <c r="F50" i="106" a="1"/>
  <c r="F50" i="106" s="1"/>
  <c r="E50" i="106" a="1"/>
  <c r="E50" i="106" s="1"/>
  <c r="O21" i="106" s="1"/>
  <c r="D50" i="106" a="1"/>
  <c r="D50" i="106" s="1"/>
  <c r="G49" i="106" a="1"/>
  <c r="G49" i="106" s="1"/>
  <c r="F49" i="106" a="1"/>
  <c r="F49" i="106" s="1"/>
  <c r="E49" i="106" a="1"/>
  <c r="E49" i="106" s="1"/>
  <c r="O20" i="106" s="1"/>
  <c r="D49" i="106" a="1"/>
  <c r="D49" i="106" s="1"/>
  <c r="G48" i="106" a="1"/>
  <c r="G48" i="106" s="1"/>
  <c r="F48" i="106" a="1"/>
  <c r="F48" i="106" s="1"/>
  <c r="E48" i="106" a="1"/>
  <c r="E48" i="106" s="1"/>
  <c r="O19" i="106" s="1"/>
  <c r="D48" i="106" a="1"/>
  <c r="D48" i="106" s="1"/>
  <c r="G47" i="106" a="1"/>
  <c r="G47" i="106" s="1"/>
  <c r="F47" i="106" a="1"/>
  <c r="F47" i="106" s="1"/>
  <c r="E47" i="106" a="1"/>
  <c r="E47" i="106" s="1"/>
  <c r="O18" i="106" s="1"/>
  <c r="D47" i="106" a="1"/>
  <c r="D47" i="106" s="1"/>
  <c r="G46" i="106" a="1"/>
  <c r="G46" i="106" s="1"/>
  <c r="F46" i="106" a="1"/>
  <c r="F46" i="106" s="1"/>
  <c r="E46" i="106" a="1"/>
  <c r="E46" i="106" s="1"/>
  <c r="O17" i="106" s="1"/>
  <c r="D46" i="106" a="1"/>
  <c r="D46" i="106" s="1"/>
  <c r="G45" i="106" a="1"/>
  <c r="G45" i="106" s="1"/>
  <c r="F45" i="106" a="1"/>
  <c r="F45" i="106" s="1"/>
  <c r="E45" i="106" a="1"/>
  <c r="E45" i="106" s="1"/>
  <c r="D45" i="106" a="1"/>
  <c r="D45" i="106" s="1"/>
  <c r="G44" i="106" a="1"/>
  <c r="G44" i="106" s="1"/>
  <c r="F44" i="106" a="1"/>
  <c r="F44" i="106" s="1"/>
  <c r="E44" i="106" a="1"/>
  <c r="E44" i="106" s="1"/>
  <c r="M21" i="106" s="1"/>
  <c r="D44" i="106" a="1"/>
  <c r="D44" i="106" s="1"/>
  <c r="G43" i="106" a="1"/>
  <c r="G43" i="106" s="1"/>
  <c r="F43" i="106" a="1"/>
  <c r="F43" i="106" s="1"/>
  <c r="E43" i="106" a="1"/>
  <c r="E43" i="106" s="1"/>
  <c r="M20" i="106" s="1"/>
  <c r="D43" i="106" a="1"/>
  <c r="D43" i="106" s="1"/>
  <c r="G42" i="106" a="1"/>
  <c r="G42" i="106" s="1"/>
  <c r="F42" i="106" a="1"/>
  <c r="F42" i="106" s="1"/>
  <c r="E42" i="106" a="1"/>
  <c r="E42" i="106" s="1"/>
  <c r="M19" i="106" s="1"/>
  <c r="D42" i="106" a="1"/>
  <c r="D42" i="106" s="1"/>
  <c r="G41" i="106" a="1"/>
  <c r="G41" i="106" s="1"/>
  <c r="F41" i="106" a="1"/>
  <c r="F41" i="106" s="1"/>
  <c r="E41" i="106" a="1"/>
  <c r="E41" i="106" s="1"/>
  <c r="M18" i="106" s="1"/>
  <c r="D41" i="106" a="1"/>
  <c r="D41" i="106" s="1"/>
  <c r="G40" i="106" a="1"/>
  <c r="G40" i="106" s="1"/>
  <c r="F40" i="106" a="1"/>
  <c r="F40" i="106" s="1"/>
  <c r="E40" i="106" a="1"/>
  <c r="E40" i="106" s="1"/>
  <c r="M17" i="106" s="1"/>
  <c r="D40" i="106" a="1"/>
  <c r="D40" i="106" s="1"/>
  <c r="G39" i="106" a="1"/>
  <c r="G39" i="106" s="1"/>
  <c r="F39" i="106" a="1"/>
  <c r="F39" i="106" s="1"/>
  <c r="E39" i="106" a="1"/>
  <c r="E39" i="106" s="1"/>
  <c r="D39" i="106" a="1"/>
  <c r="D39" i="106" s="1"/>
  <c r="G38" i="106" a="1"/>
  <c r="G38" i="106" s="1"/>
  <c r="F38" i="106" a="1"/>
  <c r="F38" i="106" s="1"/>
  <c r="E38" i="106" a="1"/>
  <c r="E38" i="106" s="1"/>
  <c r="K26" i="106" s="1"/>
  <c r="D38" i="106" a="1"/>
  <c r="D38" i="106" s="1"/>
  <c r="G37" i="106" a="1"/>
  <c r="G37" i="106" s="1"/>
  <c r="F37" i="106" a="1"/>
  <c r="F37" i="106" s="1"/>
  <c r="E37" i="106" a="1"/>
  <c r="E37" i="106" s="1"/>
  <c r="K25" i="106" s="1"/>
  <c r="D37" i="106" a="1"/>
  <c r="D37" i="106" s="1"/>
  <c r="G36" i="106" a="1"/>
  <c r="G36" i="106" s="1"/>
  <c r="F36" i="106" a="1"/>
  <c r="F36" i="106" s="1"/>
  <c r="E36" i="106" a="1"/>
  <c r="E36" i="106" s="1"/>
  <c r="K24" i="106" s="1"/>
  <c r="D36" i="106" a="1"/>
  <c r="D36" i="106" s="1"/>
  <c r="G35" i="106" a="1"/>
  <c r="G35" i="106" s="1"/>
  <c r="F35" i="106" a="1"/>
  <c r="F35" i="106" s="1"/>
  <c r="E35" i="106" a="1"/>
  <c r="E35" i="106" s="1"/>
  <c r="K23" i="106" s="1"/>
  <c r="D35" i="106" a="1"/>
  <c r="D35" i="106" s="1"/>
  <c r="G34" i="106" a="1"/>
  <c r="G34" i="106" s="1"/>
  <c r="F34" i="106" a="1"/>
  <c r="F34" i="106" s="1"/>
  <c r="E34" i="106" a="1"/>
  <c r="E34" i="106" s="1"/>
  <c r="K22" i="106" s="1"/>
  <c r="D34" i="106" a="1"/>
  <c r="D34" i="106" s="1"/>
  <c r="G33" i="106" a="1"/>
  <c r="G33" i="106" s="1"/>
  <c r="F33" i="106" a="1"/>
  <c r="F33" i="106" s="1"/>
  <c r="E33" i="106" a="1"/>
  <c r="E33" i="106" s="1"/>
  <c r="K21" i="106" s="1"/>
  <c r="D33" i="106" a="1"/>
  <c r="D33" i="106" s="1"/>
  <c r="G32" i="106" a="1"/>
  <c r="G32" i="106" s="1"/>
  <c r="F32" i="106" a="1"/>
  <c r="F32" i="106" s="1"/>
  <c r="E32" i="106" a="1"/>
  <c r="E32" i="106" s="1"/>
  <c r="K20" i="106" s="1"/>
  <c r="D32" i="106" a="1"/>
  <c r="D32" i="106" s="1"/>
  <c r="G31" i="106" a="1"/>
  <c r="G31" i="106" s="1"/>
  <c r="F31" i="106" a="1"/>
  <c r="F31" i="106" s="1"/>
  <c r="E31" i="106" a="1"/>
  <c r="E31" i="106" s="1"/>
  <c r="K19" i="106" s="1"/>
  <c r="D31" i="106" a="1"/>
  <c r="D31" i="106" s="1"/>
  <c r="G30" i="106" a="1"/>
  <c r="G30" i="106" s="1"/>
  <c r="F30" i="106" a="1"/>
  <c r="F30" i="106" s="1"/>
  <c r="E30" i="106" a="1"/>
  <c r="E30" i="106" s="1"/>
  <c r="K18" i="106" s="1"/>
  <c r="D30" i="106" a="1"/>
  <c r="D30" i="106" s="1"/>
  <c r="G29" i="106" a="1"/>
  <c r="G29" i="106" s="1"/>
  <c r="F29" i="106" a="1"/>
  <c r="F29" i="106" s="1"/>
  <c r="E29" i="106" a="1"/>
  <c r="E29" i="106" s="1"/>
  <c r="K17" i="106" s="1"/>
  <c r="D29" i="106" a="1"/>
  <c r="D29" i="106" s="1"/>
  <c r="G28" i="106" a="1"/>
  <c r="G28" i="106" s="1"/>
  <c r="F28" i="106" a="1"/>
  <c r="F28" i="106" s="1"/>
  <c r="E28" i="106" a="1"/>
  <c r="E28" i="106" s="1"/>
  <c r="D28" i="106" a="1"/>
  <c r="D28" i="106" s="1"/>
  <c r="G27" i="106" a="1"/>
  <c r="G27" i="106" s="1"/>
  <c r="F27" i="106" a="1"/>
  <c r="F27" i="106" s="1"/>
  <c r="E27" i="106" a="1"/>
  <c r="E27" i="106" s="1"/>
  <c r="I27" i="106" s="1"/>
  <c r="D27" i="106" a="1"/>
  <c r="D27" i="106" s="1"/>
  <c r="G26" i="106" a="1"/>
  <c r="G26" i="106" s="1"/>
  <c r="F26" i="106" a="1"/>
  <c r="F26" i="106" s="1"/>
  <c r="E26" i="106" a="1"/>
  <c r="E26" i="106" s="1"/>
  <c r="I26" i="106" s="1"/>
  <c r="D26" i="106" a="1"/>
  <c r="D26" i="106" s="1"/>
  <c r="G25" i="106" a="1"/>
  <c r="G25" i="106" s="1"/>
  <c r="F25" i="106" a="1"/>
  <c r="F25" i="106" s="1"/>
  <c r="E25" i="106" a="1"/>
  <c r="E25" i="106" s="1"/>
  <c r="I25" i="106" s="1"/>
  <c r="D25" i="106" a="1"/>
  <c r="D25" i="106" s="1"/>
  <c r="G24" i="106" a="1"/>
  <c r="G24" i="106" s="1"/>
  <c r="F24" i="106" a="1"/>
  <c r="F24" i="106" s="1"/>
  <c r="E24" i="106" a="1"/>
  <c r="E24" i="106" s="1"/>
  <c r="I24" i="106" s="1"/>
  <c r="D24" i="106" a="1"/>
  <c r="D24" i="106" s="1"/>
  <c r="G23" i="106" a="1"/>
  <c r="G23" i="106" s="1"/>
  <c r="F23" i="106" a="1"/>
  <c r="F23" i="106" s="1"/>
  <c r="E23" i="106" a="1"/>
  <c r="E23" i="106" s="1"/>
  <c r="I23" i="106" s="1"/>
  <c r="D23" i="106" a="1"/>
  <c r="D23" i="106" s="1"/>
  <c r="G22" i="106" a="1"/>
  <c r="G22" i="106" s="1"/>
  <c r="F22" i="106" a="1"/>
  <c r="F22" i="106" s="1"/>
  <c r="E22" i="106" a="1"/>
  <c r="E22" i="106" s="1"/>
  <c r="I22" i="106" s="1"/>
  <c r="D22" i="106" a="1"/>
  <c r="D22" i="106" s="1"/>
  <c r="G21" i="106" a="1"/>
  <c r="G21" i="106" s="1"/>
  <c r="F21" i="106" a="1"/>
  <c r="F21" i="106" s="1"/>
  <c r="E21" i="106" a="1"/>
  <c r="E21" i="106" s="1"/>
  <c r="I21" i="106" s="1"/>
  <c r="D21" i="106" a="1"/>
  <c r="D21" i="106" s="1"/>
  <c r="G20" i="106" a="1"/>
  <c r="G20" i="106" s="1"/>
  <c r="F20" i="106" a="1"/>
  <c r="F20" i="106" s="1"/>
  <c r="E20" i="106" a="1"/>
  <c r="E20" i="106" s="1"/>
  <c r="I20" i="106" s="1"/>
  <c r="D20" i="106" a="1"/>
  <c r="D20" i="106" s="1"/>
  <c r="G19" i="106" a="1"/>
  <c r="G19" i="106" s="1"/>
  <c r="F19" i="106" a="1"/>
  <c r="F19" i="106" s="1"/>
  <c r="E19" i="106" a="1"/>
  <c r="E19" i="106" s="1"/>
  <c r="I19" i="106" s="1"/>
  <c r="D19" i="106" a="1"/>
  <c r="D19" i="106" s="1"/>
  <c r="G18" i="106" a="1"/>
  <c r="G18" i="106" s="1"/>
  <c r="F18" i="106" a="1"/>
  <c r="F18" i="106" s="1"/>
  <c r="E18" i="106" a="1"/>
  <c r="E18" i="106" s="1"/>
  <c r="I18" i="106" s="1"/>
  <c r="D18" i="106" a="1"/>
  <c r="D18" i="106" s="1"/>
  <c r="G17" i="106" a="1"/>
  <c r="G17" i="106" s="1"/>
  <c r="F17" i="106" a="1"/>
  <c r="F17" i="106" s="1"/>
  <c r="E17" i="106" a="1"/>
  <c r="E17" i="106" s="1"/>
  <c r="D17" i="106" a="1"/>
  <c r="D17" i="106" s="1"/>
  <c r="D15" i="106" a="1"/>
  <c r="D15" i="106" s="1"/>
  <c r="D14" i="106" a="1"/>
  <c r="D14" i="106" s="1"/>
  <c r="D7" i="106" a="1"/>
  <c r="D7" i="106" s="1"/>
  <c r="D6" i="106" a="1"/>
  <c r="D6" i="106" s="1"/>
  <c r="D5" i="106" a="1"/>
  <c r="D5" i="106" s="1"/>
  <c r="H185" i="105"/>
  <c r="H179" i="105"/>
  <c r="H168" i="105"/>
  <c r="H144" i="105"/>
  <c r="H138" i="105"/>
  <c r="H127" i="105"/>
  <c r="H105" i="105" a="1"/>
  <c r="H105" i="105" s="1"/>
  <c r="D105" i="105" a="1"/>
  <c r="D105" i="105" s="1"/>
  <c r="E103" i="105" a="1"/>
  <c r="E103" i="105" s="1"/>
  <c r="E102" i="105" a="1"/>
  <c r="E102" i="105" s="1"/>
  <c r="D98" i="105" a="1"/>
  <c r="D98" i="105" s="1"/>
  <c r="D97" i="105" a="1"/>
  <c r="D97" i="105" s="1"/>
  <c r="D96" i="105" a="1"/>
  <c r="D96" i="105" s="1"/>
  <c r="J16" i="105" a="1"/>
  <c r="J16" i="105" s="1"/>
  <c r="I16" i="105" a="1"/>
  <c r="I16" i="105" s="1"/>
  <c r="J15" i="105" a="1"/>
  <c r="J15" i="105" s="1"/>
  <c r="I15" i="105" a="1"/>
  <c r="I15" i="105" s="1"/>
  <c r="J14" i="105" a="1"/>
  <c r="J14" i="105" s="1"/>
  <c r="I14" i="105" a="1"/>
  <c r="I14" i="105" s="1"/>
  <c r="J13" i="105" a="1"/>
  <c r="J13" i="105" s="1"/>
  <c r="I13" i="105" a="1"/>
  <c r="I13" i="105" s="1"/>
  <c r="G13" i="105" a="1"/>
  <c r="G13" i="105" s="1"/>
  <c r="D13" i="105" a="1"/>
  <c r="D13" i="105" s="1"/>
  <c r="E11" i="105" a="1"/>
  <c r="E11" i="105" s="1"/>
  <c r="E10" i="105" a="1"/>
  <c r="E10" i="105" s="1"/>
  <c r="D6" i="105" a="1"/>
  <c r="D6" i="105" s="1"/>
  <c r="D5" i="105" a="1"/>
  <c r="D5" i="105" s="1"/>
  <c r="E139" i="103"/>
  <c r="F40" i="102" s="1"/>
  <c r="G138" i="103"/>
  <c r="F32" i="101" s="1"/>
  <c r="E138" i="103"/>
  <c r="F39" i="102" s="1"/>
  <c r="G137" i="103"/>
  <c r="F31" i="101" s="1"/>
  <c r="E137" i="103"/>
  <c r="F38" i="102" s="1"/>
  <c r="D137" i="103"/>
  <c r="F31" i="102" s="1"/>
  <c r="G136" i="103"/>
  <c r="F30" i="101" s="1"/>
  <c r="E136" i="103"/>
  <c r="F37" i="102" s="1"/>
  <c r="D136" i="103"/>
  <c r="F30" i="102" s="1"/>
  <c r="G135" i="103"/>
  <c r="F29" i="101" s="1"/>
  <c r="E135" i="103"/>
  <c r="F36" i="102" s="1"/>
  <c r="D135" i="103"/>
  <c r="F29" i="102" s="1"/>
  <c r="G134" i="103"/>
  <c r="F28" i="101" s="1"/>
  <c r="E134" i="103"/>
  <c r="F35" i="102" s="1"/>
  <c r="D134" i="103"/>
  <c r="F28" i="102" s="1"/>
  <c r="G133" i="103"/>
  <c r="F27" i="101" s="1"/>
  <c r="F133" i="103"/>
  <c r="F36" i="101" s="1"/>
  <c r="E133" i="103"/>
  <c r="F34" i="102" s="1"/>
  <c r="D133" i="103"/>
  <c r="F27" i="102" s="1"/>
  <c r="I132" i="103"/>
  <c r="F38" i="101" s="1"/>
  <c r="G132" i="103"/>
  <c r="F26" i="101" s="1"/>
  <c r="F132" i="103"/>
  <c r="F35" i="101" s="1"/>
  <c r="E132" i="103"/>
  <c r="F33" i="102" s="1"/>
  <c r="D132" i="103"/>
  <c r="F26" i="102" s="1"/>
  <c r="I131" i="103"/>
  <c r="F37" i="101" s="1"/>
  <c r="H131" i="103"/>
  <c r="F33" i="101" s="1"/>
  <c r="G131" i="103"/>
  <c r="F25" i="101" s="1"/>
  <c r="F131" i="103"/>
  <c r="F34" i="101" s="1"/>
  <c r="E131" i="103"/>
  <c r="F32" i="102" s="1"/>
  <c r="D131" i="103"/>
  <c r="F25" i="102" s="1"/>
  <c r="F120" i="103" a="1"/>
  <c r="F120" i="103" s="1"/>
  <c r="E120" i="103" a="1"/>
  <c r="E120" i="103" s="1"/>
  <c r="D120" i="103" a="1"/>
  <c r="D120" i="103" s="1"/>
  <c r="F119" i="103" a="1"/>
  <c r="F119" i="103" s="1"/>
  <c r="E119" i="103" a="1"/>
  <c r="E119" i="103" s="1"/>
  <c r="D119" i="103" a="1"/>
  <c r="D119" i="103" s="1"/>
  <c r="F118" i="103" a="1"/>
  <c r="F118" i="103" s="1"/>
  <c r="E118" i="103" a="1"/>
  <c r="E118" i="103" s="1"/>
  <c r="D118" i="103" a="1"/>
  <c r="D118" i="103" s="1"/>
  <c r="F117" i="103" a="1"/>
  <c r="F117" i="103" s="1"/>
  <c r="E117" i="103" a="1"/>
  <c r="E117" i="103" s="1"/>
  <c r="D117" i="103" a="1"/>
  <c r="D117" i="103" s="1"/>
  <c r="F116" i="103" a="1"/>
  <c r="F116" i="103" s="1"/>
  <c r="E116" i="103" a="1"/>
  <c r="E116" i="103" s="1"/>
  <c r="D116" i="103" a="1"/>
  <c r="D116" i="103" s="1"/>
  <c r="F115" i="103" a="1"/>
  <c r="F115" i="103" s="1"/>
  <c r="E115" i="103" a="1"/>
  <c r="E115" i="103" s="1"/>
  <c r="D115" i="103" a="1"/>
  <c r="D115" i="103" s="1"/>
  <c r="F114" i="103" a="1"/>
  <c r="F114" i="103" s="1"/>
  <c r="E114" i="103" a="1"/>
  <c r="E114" i="103" s="1"/>
  <c r="D114" i="103" a="1"/>
  <c r="D114" i="103" s="1"/>
  <c r="G113" i="103" a="1"/>
  <c r="G113" i="103" s="1"/>
  <c r="F113" i="103" a="1"/>
  <c r="F113" i="103" s="1"/>
  <c r="E113" i="103" a="1"/>
  <c r="E113" i="103" s="1"/>
  <c r="D113" i="103" a="1"/>
  <c r="D113" i="103" s="1"/>
  <c r="D110" i="103" a="1"/>
  <c r="D110" i="103" s="1"/>
  <c r="D109" i="103" a="1"/>
  <c r="D109" i="103" s="1"/>
  <c r="D108" i="103" a="1"/>
  <c r="D108" i="103" s="1"/>
  <c r="D107" i="103" a="1"/>
  <c r="D107" i="103" s="1"/>
  <c r="J104" i="103" a="1"/>
  <c r="J104" i="103" s="1"/>
  <c r="I104" i="103" a="1"/>
  <c r="I104" i="103" s="1"/>
  <c r="H104" i="103" a="1"/>
  <c r="H104" i="103" s="1"/>
  <c r="G104" i="103" a="1"/>
  <c r="G104" i="103" s="1"/>
  <c r="F104" i="103" a="1"/>
  <c r="F104" i="103" s="1"/>
  <c r="E104" i="103" a="1"/>
  <c r="E104" i="103" s="1"/>
  <c r="D104" i="103" a="1"/>
  <c r="D104" i="103" s="1"/>
  <c r="E40" i="102" s="1"/>
  <c r="J103" i="103" a="1"/>
  <c r="J103" i="103" s="1"/>
  <c r="I103" i="103" a="1"/>
  <c r="I103" i="103" s="1"/>
  <c r="H103" i="103" a="1"/>
  <c r="H103" i="103" s="1"/>
  <c r="G103" i="103" a="1"/>
  <c r="G103" i="103" s="1"/>
  <c r="F103" i="103" a="1"/>
  <c r="F103" i="103" s="1"/>
  <c r="E103" i="103" a="1"/>
  <c r="E103" i="103" s="1"/>
  <c r="D103" i="103" a="1"/>
  <c r="D103" i="103" s="1"/>
  <c r="E39" i="102" s="1"/>
  <c r="J102" i="103" a="1"/>
  <c r="J102" i="103" s="1"/>
  <c r="I102" i="103" a="1"/>
  <c r="I102" i="103" s="1"/>
  <c r="H102" i="103" a="1"/>
  <c r="H102" i="103" s="1"/>
  <c r="G102" i="103" a="1"/>
  <c r="G102" i="103" s="1"/>
  <c r="F102" i="103" a="1"/>
  <c r="F102" i="103" s="1"/>
  <c r="E102" i="103" a="1"/>
  <c r="E102" i="103" s="1"/>
  <c r="D102" i="103" a="1"/>
  <c r="D102" i="103" s="1"/>
  <c r="J101" i="103" a="1"/>
  <c r="J101" i="103" s="1"/>
  <c r="I101" i="103" a="1"/>
  <c r="I101" i="103" s="1"/>
  <c r="H101" i="103" a="1"/>
  <c r="H101" i="103" s="1"/>
  <c r="G101" i="103" a="1"/>
  <c r="G101" i="103" s="1"/>
  <c r="F101" i="103" a="1"/>
  <c r="F101" i="103" s="1"/>
  <c r="E101" i="103" a="1"/>
  <c r="E101" i="103" s="1"/>
  <c r="D101" i="103" a="1"/>
  <c r="D101" i="103" s="1"/>
  <c r="J100" i="103" a="1"/>
  <c r="J100" i="103" s="1"/>
  <c r="I100" i="103" a="1"/>
  <c r="I100" i="103" s="1"/>
  <c r="H100" i="103" a="1"/>
  <c r="H100" i="103" s="1"/>
  <c r="G100" i="103" a="1"/>
  <c r="G100" i="103" s="1"/>
  <c r="F100" i="103" a="1"/>
  <c r="F100" i="103" s="1"/>
  <c r="E100" i="103" a="1"/>
  <c r="E100" i="103" s="1"/>
  <c r="D100" i="103" a="1"/>
  <c r="D100" i="103" s="1"/>
  <c r="J99" i="103" a="1"/>
  <c r="J99" i="103" s="1"/>
  <c r="I99" i="103" a="1"/>
  <c r="I99" i="103" s="1"/>
  <c r="H99" i="103" a="1"/>
  <c r="H99" i="103" s="1"/>
  <c r="G99" i="103" a="1"/>
  <c r="G99" i="103" s="1"/>
  <c r="F99" i="103" a="1"/>
  <c r="F99" i="103" s="1"/>
  <c r="E99" i="103" a="1"/>
  <c r="E99" i="103" s="1"/>
  <c r="D99" i="103" a="1"/>
  <c r="D99" i="103" s="1"/>
  <c r="J98" i="103" a="1"/>
  <c r="J98" i="103" s="1"/>
  <c r="I98" i="103" a="1"/>
  <c r="I98" i="103" s="1"/>
  <c r="H98" i="103" a="1"/>
  <c r="H98" i="103" s="1"/>
  <c r="G98" i="103" a="1"/>
  <c r="G98" i="103" s="1"/>
  <c r="F98" i="103" a="1"/>
  <c r="F98" i="103" s="1"/>
  <c r="E98" i="103" a="1"/>
  <c r="E98" i="103" s="1"/>
  <c r="D98" i="103" a="1"/>
  <c r="D98" i="103" s="1"/>
  <c r="J97" i="103" a="1"/>
  <c r="J97" i="103" s="1"/>
  <c r="I97" i="103" a="1"/>
  <c r="I97" i="103" s="1"/>
  <c r="H97" i="103" a="1"/>
  <c r="H97" i="103" s="1"/>
  <c r="G97" i="103" a="1"/>
  <c r="G97" i="103" s="1"/>
  <c r="F97" i="103" a="1"/>
  <c r="F97" i="103" s="1"/>
  <c r="E97" i="103" a="1"/>
  <c r="E97" i="103" s="1"/>
  <c r="D97" i="103" a="1"/>
  <c r="D97" i="103" s="1"/>
  <c r="J96" i="103" a="1"/>
  <c r="J96" i="103" s="1"/>
  <c r="I96" i="103" a="1"/>
  <c r="I96" i="103" s="1"/>
  <c r="H96" i="103" a="1"/>
  <c r="H96" i="103" s="1"/>
  <c r="G96" i="103" a="1"/>
  <c r="G96" i="103" s="1"/>
  <c r="F96" i="103" a="1"/>
  <c r="F96" i="103" s="1"/>
  <c r="E96" i="103" a="1"/>
  <c r="E96" i="103" s="1"/>
  <c r="D96" i="103" a="1"/>
  <c r="D96" i="103" s="1"/>
  <c r="J95" i="103" a="1"/>
  <c r="J95" i="103" s="1"/>
  <c r="I95" i="103" a="1"/>
  <c r="I95" i="103" s="1"/>
  <c r="H95" i="103" a="1"/>
  <c r="H95" i="103" s="1"/>
  <c r="G95" i="103" a="1"/>
  <c r="G95" i="103" s="1"/>
  <c r="F95" i="103" a="1"/>
  <c r="F95" i="103" s="1"/>
  <c r="E95" i="103" a="1"/>
  <c r="E95" i="103" s="1"/>
  <c r="D95" i="103" a="1"/>
  <c r="D95" i="103" s="1"/>
  <c r="J94" i="103" a="1"/>
  <c r="J94" i="103" s="1"/>
  <c r="I94" i="103" a="1"/>
  <c r="I94" i="103" s="1"/>
  <c r="H94" i="103" a="1"/>
  <c r="H94" i="103" s="1"/>
  <c r="G94" i="103" a="1"/>
  <c r="G94" i="103" s="1"/>
  <c r="F94" i="103" a="1"/>
  <c r="F94" i="103" s="1"/>
  <c r="E94" i="103" a="1"/>
  <c r="E94" i="103" s="1"/>
  <c r="D94" i="103" a="1"/>
  <c r="D94" i="103" s="1"/>
  <c r="J93" i="103" a="1"/>
  <c r="J93" i="103" s="1"/>
  <c r="I93" i="103" a="1"/>
  <c r="I93" i="103" s="1"/>
  <c r="H93" i="103" a="1"/>
  <c r="H93" i="103" s="1"/>
  <c r="G93" i="103" a="1"/>
  <c r="G93" i="103" s="1"/>
  <c r="F93" i="103" a="1"/>
  <c r="F93" i="103" s="1"/>
  <c r="E93" i="103" a="1"/>
  <c r="E93" i="103" s="1"/>
  <c r="D93" i="103" a="1"/>
  <c r="D93" i="103" s="1"/>
  <c r="J92" i="103" a="1"/>
  <c r="J92" i="103" s="1"/>
  <c r="I92" i="103" a="1"/>
  <c r="I92" i="103" s="1"/>
  <c r="H92" i="103" a="1"/>
  <c r="H92" i="103" s="1"/>
  <c r="G92" i="103" a="1"/>
  <c r="G92" i="103" s="1"/>
  <c r="F92" i="103" a="1"/>
  <c r="F92" i="103" s="1"/>
  <c r="E92" i="103" a="1"/>
  <c r="E92" i="103" s="1"/>
  <c r="D92" i="103" a="1"/>
  <c r="D92" i="103" s="1"/>
  <c r="J91" i="103" a="1"/>
  <c r="J91" i="103" s="1"/>
  <c r="I91" i="103" a="1"/>
  <c r="I91" i="103" s="1"/>
  <c r="H91" i="103" a="1"/>
  <c r="H91" i="103" s="1"/>
  <c r="G91" i="103" a="1"/>
  <c r="G91" i="103" s="1"/>
  <c r="F91" i="103" a="1"/>
  <c r="F91" i="103" s="1"/>
  <c r="E91" i="103" a="1"/>
  <c r="E91" i="103" s="1"/>
  <c r="D91" i="103" a="1"/>
  <c r="D91" i="103" s="1"/>
  <c r="J90" i="103" a="1"/>
  <c r="J90" i="103" s="1"/>
  <c r="I90" i="103" a="1"/>
  <c r="I90" i="103" s="1"/>
  <c r="H90" i="103" a="1"/>
  <c r="H90" i="103" s="1"/>
  <c r="G90" i="103" a="1"/>
  <c r="G90" i="103" s="1"/>
  <c r="F90" i="103" a="1"/>
  <c r="F90" i="103" s="1"/>
  <c r="E90" i="103" a="1"/>
  <c r="E90" i="103" s="1"/>
  <c r="D90" i="103" a="1"/>
  <c r="D90" i="103" s="1"/>
  <c r="J89" i="103" a="1"/>
  <c r="J89" i="103" s="1"/>
  <c r="I89" i="103" a="1"/>
  <c r="I89" i="103" s="1"/>
  <c r="H89" i="103" a="1"/>
  <c r="H89" i="103" s="1"/>
  <c r="G89" i="103" a="1"/>
  <c r="G89" i="103" s="1"/>
  <c r="F89" i="103" a="1"/>
  <c r="F89" i="103" s="1"/>
  <c r="E89" i="103" a="1"/>
  <c r="E89" i="103" s="1"/>
  <c r="D89" i="103" a="1"/>
  <c r="D89" i="103" s="1"/>
  <c r="J88" i="103" a="1"/>
  <c r="J88" i="103" s="1"/>
  <c r="I88" i="103" a="1"/>
  <c r="I88" i="103" s="1"/>
  <c r="H88" i="103" a="1"/>
  <c r="H88" i="103" s="1"/>
  <c r="G88" i="103" a="1"/>
  <c r="G88" i="103" s="1"/>
  <c r="F88" i="103" a="1"/>
  <c r="F88" i="103" s="1"/>
  <c r="E88" i="103" a="1"/>
  <c r="E88" i="103" s="1"/>
  <c r="D88" i="103" a="1"/>
  <c r="D88" i="103" s="1"/>
  <c r="J87" i="103" a="1"/>
  <c r="J87" i="103" s="1"/>
  <c r="I87" i="103" a="1"/>
  <c r="I87" i="103" s="1"/>
  <c r="H87" i="103" a="1"/>
  <c r="H87" i="103" s="1"/>
  <c r="G87" i="103" a="1"/>
  <c r="G87" i="103" s="1"/>
  <c r="F87" i="103" a="1"/>
  <c r="F87" i="103" s="1"/>
  <c r="E87" i="103" a="1"/>
  <c r="E87" i="103" s="1"/>
  <c r="D87" i="103" a="1"/>
  <c r="D87" i="103" s="1"/>
  <c r="D84" i="103" a="1"/>
  <c r="D84" i="103" s="1"/>
  <c r="D83" i="103" a="1"/>
  <c r="D83" i="103" s="1"/>
  <c r="D82" i="103" a="1"/>
  <c r="D82" i="103" s="1"/>
  <c r="D81" i="103" a="1"/>
  <c r="D81" i="103" s="1"/>
  <c r="K77" i="103" a="1"/>
  <c r="K77" i="103" s="1"/>
  <c r="J77" i="103" a="1"/>
  <c r="J77" i="103" s="1"/>
  <c r="I77" i="103" a="1"/>
  <c r="I77" i="103" s="1"/>
  <c r="H77" i="103" a="1"/>
  <c r="H77" i="103" s="1"/>
  <c r="G77" i="103" a="1"/>
  <c r="G77" i="103" s="1"/>
  <c r="F77" i="103" a="1"/>
  <c r="F77" i="103" s="1"/>
  <c r="E77" i="103" a="1"/>
  <c r="E77" i="103" s="1"/>
  <c r="D77" i="103" a="1"/>
  <c r="D77" i="103" s="1"/>
  <c r="K76" i="103" a="1"/>
  <c r="K76" i="103" s="1"/>
  <c r="J76" i="103" a="1"/>
  <c r="J76" i="103" s="1"/>
  <c r="I76" i="103" a="1"/>
  <c r="I76" i="103" s="1"/>
  <c r="H76" i="103" a="1"/>
  <c r="H76" i="103" s="1"/>
  <c r="G76" i="103" a="1"/>
  <c r="G76" i="103" s="1"/>
  <c r="F76" i="103" a="1"/>
  <c r="F76" i="103" s="1"/>
  <c r="E76" i="103" a="1"/>
  <c r="E76" i="103" s="1"/>
  <c r="D76" i="103" a="1"/>
  <c r="D76" i="103" s="1"/>
  <c r="K75" i="103" a="1"/>
  <c r="K75" i="103" s="1"/>
  <c r="J75" i="103" a="1"/>
  <c r="J75" i="103" s="1"/>
  <c r="I75" i="103" a="1"/>
  <c r="I75" i="103" s="1"/>
  <c r="H75" i="103" a="1"/>
  <c r="H75" i="103" s="1"/>
  <c r="G75" i="103" a="1"/>
  <c r="G75" i="103" s="1"/>
  <c r="F75" i="103" a="1"/>
  <c r="F75" i="103" s="1"/>
  <c r="E75" i="103" a="1"/>
  <c r="E75" i="103" s="1"/>
  <c r="D75" i="103" a="1"/>
  <c r="D75" i="103" s="1"/>
  <c r="K74" i="103" a="1"/>
  <c r="K74" i="103" s="1"/>
  <c r="J74" i="103" a="1"/>
  <c r="J74" i="103" s="1"/>
  <c r="I74" i="103" a="1"/>
  <c r="I74" i="103" s="1"/>
  <c r="H74" i="103" a="1"/>
  <c r="H74" i="103" s="1"/>
  <c r="G74" i="103" a="1"/>
  <c r="G74" i="103" s="1"/>
  <c r="F74" i="103" a="1"/>
  <c r="F74" i="103" s="1"/>
  <c r="E74" i="103" a="1"/>
  <c r="E74" i="103" s="1"/>
  <c r="D74" i="103" a="1"/>
  <c r="D74" i="103" s="1"/>
  <c r="K73" i="103" a="1"/>
  <c r="K73" i="103" s="1"/>
  <c r="J73" i="103" a="1"/>
  <c r="J73" i="103" s="1"/>
  <c r="I73" i="103" a="1"/>
  <c r="I73" i="103" s="1"/>
  <c r="H73" i="103" a="1"/>
  <c r="H73" i="103" s="1"/>
  <c r="G73" i="103" a="1"/>
  <c r="G73" i="103" s="1"/>
  <c r="F73" i="103" a="1"/>
  <c r="F73" i="103" s="1"/>
  <c r="E73" i="103" a="1"/>
  <c r="E73" i="103" s="1"/>
  <c r="D73" i="103" a="1"/>
  <c r="D73" i="103" s="1"/>
  <c r="K72" i="103" a="1"/>
  <c r="K72" i="103" s="1"/>
  <c r="J72" i="103" a="1"/>
  <c r="J72" i="103" s="1"/>
  <c r="I72" i="103" a="1"/>
  <c r="I72" i="103" s="1"/>
  <c r="H72" i="103" a="1"/>
  <c r="H72" i="103" s="1"/>
  <c r="G72" i="103" a="1"/>
  <c r="G72" i="103" s="1"/>
  <c r="F72" i="103" a="1"/>
  <c r="F72" i="103" s="1"/>
  <c r="E72" i="103" a="1"/>
  <c r="E72" i="103" s="1"/>
  <c r="D72" i="103" a="1"/>
  <c r="D72" i="103" s="1"/>
  <c r="K71" i="103" a="1"/>
  <c r="K71" i="103" s="1"/>
  <c r="J71" i="103" a="1"/>
  <c r="J71" i="103" s="1"/>
  <c r="I71" i="103" a="1"/>
  <c r="I71" i="103" s="1"/>
  <c r="H71" i="103" a="1"/>
  <c r="H71" i="103" s="1"/>
  <c r="G71" i="103" a="1"/>
  <c r="G71" i="103" s="1"/>
  <c r="F71" i="103" a="1"/>
  <c r="F71" i="103" s="1"/>
  <c r="E71" i="103" a="1"/>
  <c r="E71" i="103" s="1"/>
  <c r="D71" i="103" a="1"/>
  <c r="D71" i="103" s="1"/>
  <c r="K70" i="103" a="1"/>
  <c r="K70" i="103" s="1"/>
  <c r="J70" i="103" a="1"/>
  <c r="J70" i="103" s="1"/>
  <c r="I70" i="103" a="1"/>
  <c r="I70" i="103" s="1"/>
  <c r="H70" i="103" a="1"/>
  <c r="H70" i="103" s="1"/>
  <c r="G70" i="103" a="1"/>
  <c r="G70" i="103" s="1"/>
  <c r="F70" i="103" a="1"/>
  <c r="F70" i="103" s="1"/>
  <c r="E70" i="103" a="1"/>
  <c r="E70" i="103" s="1"/>
  <c r="D70" i="103" a="1"/>
  <c r="D70" i="103" s="1"/>
  <c r="K69" i="103" a="1"/>
  <c r="K69" i="103" s="1"/>
  <c r="J69" i="103" a="1"/>
  <c r="J69" i="103" s="1"/>
  <c r="I69" i="103" a="1"/>
  <c r="I69" i="103" s="1"/>
  <c r="H69" i="103" a="1"/>
  <c r="H69" i="103" s="1"/>
  <c r="G69" i="103" a="1"/>
  <c r="G69" i="103" s="1"/>
  <c r="F69" i="103" a="1"/>
  <c r="F69" i="103" s="1"/>
  <c r="E69" i="103" a="1"/>
  <c r="E69" i="103" s="1"/>
  <c r="D69" i="103" a="1"/>
  <c r="D69" i="103" s="1"/>
  <c r="K68" i="103" a="1"/>
  <c r="K68" i="103" s="1"/>
  <c r="J68" i="103" a="1"/>
  <c r="J68" i="103" s="1"/>
  <c r="I68" i="103" a="1"/>
  <c r="I68" i="103" s="1"/>
  <c r="H68" i="103" a="1"/>
  <c r="H68" i="103" s="1"/>
  <c r="G68" i="103" a="1"/>
  <c r="G68" i="103" s="1"/>
  <c r="F68" i="103" a="1"/>
  <c r="F68" i="103" s="1"/>
  <c r="E68" i="103" a="1"/>
  <c r="E68" i="103" s="1"/>
  <c r="D68" i="103" a="1"/>
  <c r="D68" i="103" s="1"/>
  <c r="K67" i="103" a="1"/>
  <c r="K67" i="103" s="1"/>
  <c r="J67" i="103" a="1"/>
  <c r="J67" i="103" s="1"/>
  <c r="I67" i="103" a="1"/>
  <c r="I67" i="103" s="1"/>
  <c r="H67" i="103" a="1"/>
  <c r="H67" i="103" s="1"/>
  <c r="G67" i="103" a="1"/>
  <c r="G67" i="103" s="1"/>
  <c r="F67" i="103" a="1"/>
  <c r="F67" i="103" s="1"/>
  <c r="E67" i="103" a="1"/>
  <c r="E67" i="103" s="1"/>
  <c r="D67" i="103" a="1"/>
  <c r="D67" i="103" s="1"/>
  <c r="K66" i="103" a="1"/>
  <c r="K66" i="103" s="1"/>
  <c r="J66" i="103" a="1"/>
  <c r="J66" i="103" s="1"/>
  <c r="I66" i="103" a="1"/>
  <c r="I66" i="103" s="1"/>
  <c r="H66" i="103" a="1"/>
  <c r="H66" i="103" s="1"/>
  <c r="G66" i="103" a="1"/>
  <c r="G66" i="103" s="1"/>
  <c r="F66" i="103" a="1"/>
  <c r="F66" i="103" s="1"/>
  <c r="E66" i="103" a="1"/>
  <c r="E66" i="103" s="1"/>
  <c r="D66" i="103" a="1"/>
  <c r="D66" i="103" s="1"/>
  <c r="K65" i="103" a="1"/>
  <c r="K65" i="103" s="1"/>
  <c r="J65" i="103" a="1"/>
  <c r="J65" i="103" s="1"/>
  <c r="I65" i="103" a="1"/>
  <c r="I65" i="103" s="1"/>
  <c r="H65" i="103" a="1"/>
  <c r="H65" i="103" s="1"/>
  <c r="G65" i="103" a="1"/>
  <c r="G65" i="103" s="1"/>
  <c r="F65" i="103" a="1"/>
  <c r="F65" i="103" s="1"/>
  <c r="E65" i="103" a="1"/>
  <c r="E65" i="103" s="1"/>
  <c r="D65" i="103" a="1"/>
  <c r="D65" i="103" s="1"/>
  <c r="K64" i="103" a="1"/>
  <c r="K64" i="103" s="1"/>
  <c r="J64" i="103" a="1"/>
  <c r="J64" i="103" s="1"/>
  <c r="I64" i="103" a="1"/>
  <c r="I64" i="103" s="1"/>
  <c r="H64" i="103" a="1"/>
  <c r="H64" i="103" s="1"/>
  <c r="G64" i="103" a="1"/>
  <c r="G64" i="103" s="1"/>
  <c r="F64" i="103" a="1"/>
  <c r="F64" i="103" s="1"/>
  <c r="E64" i="103" a="1"/>
  <c r="E64" i="103" s="1"/>
  <c r="D64" i="103" a="1"/>
  <c r="D64" i="103" s="1"/>
  <c r="K63" i="103" a="1"/>
  <c r="K63" i="103" s="1"/>
  <c r="J63" i="103" a="1"/>
  <c r="J63" i="103" s="1"/>
  <c r="I63" i="103" a="1"/>
  <c r="I63" i="103" s="1"/>
  <c r="H63" i="103" a="1"/>
  <c r="H63" i="103" s="1"/>
  <c r="G63" i="103" a="1"/>
  <c r="G63" i="103" s="1"/>
  <c r="F63" i="103" a="1"/>
  <c r="F63" i="103" s="1"/>
  <c r="E63" i="103" a="1"/>
  <c r="E63" i="103" s="1"/>
  <c r="D63" i="103" a="1"/>
  <c r="D63" i="103" s="1"/>
  <c r="K62" i="103" a="1"/>
  <c r="K62" i="103" s="1"/>
  <c r="J62" i="103" a="1"/>
  <c r="J62" i="103" s="1"/>
  <c r="I62" i="103" a="1"/>
  <c r="I62" i="103" s="1"/>
  <c r="H62" i="103" a="1"/>
  <c r="H62" i="103" s="1"/>
  <c r="G62" i="103" a="1"/>
  <c r="G62" i="103" s="1"/>
  <c r="F62" i="103" a="1"/>
  <c r="F62" i="103" s="1"/>
  <c r="E62" i="103" a="1"/>
  <c r="E62" i="103" s="1"/>
  <c r="D62" i="103" a="1"/>
  <c r="D62" i="103" s="1"/>
  <c r="K61" i="103" a="1"/>
  <c r="K61" i="103" s="1"/>
  <c r="J61" i="103" a="1"/>
  <c r="J61" i="103" s="1"/>
  <c r="I61" i="103" a="1"/>
  <c r="I61" i="103" s="1"/>
  <c r="H61" i="103" a="1"/>
  <c r="H61" i="103" s="1"/>
  <c r="G61" i="103" a="1"/>
  <c r="G61" i="103" s="1"/>
  <c r="F61" i="103" a="1"/>
  <c r="F61" i="103" s="1"/>
  <c r="E61" i="103" a="1"/>
  <c r="E61" i="103" s="1"/>
  <c r="D61" i="103" a="1"/>
  <c r="D61" i="103" s="1"/>
  <c r="K60" i="103" a="1"/>
  <c r="K60" i="103" s="1"/>
  <c r="J60" i="103" a="1"/>
  <c r="J60" i="103" s="1"/>
  <c r="I60" i="103" a="1"/>
  <c r="I60" i="103" s="1"/>
  <c r="H60" i="103" a="1"/>
  <c r="H60" i="103" s="1"/>
  <c r="G60" i="103" a="1"/>
  <c r="G60" i="103" s="1"/>
  <c r="F60" i="103" a="1"/>
  <c r="F60" i="103" s="1"/>
  <c r="E60" i="103" a="1"/>
  <c r="E60" i="103" s="1"/>
  <c r="D60" i="103" a="1"/>
  <c r="D60" i="103" s="1"/>
  <c r="K59" i="103" a="1"/>
  <c r="K59" i="103" s="1"/>
  <c r="J59" i="103" a="1"/>
  <c r="J59" i="103" s="1"/>
  <c r="I59" i="103" a="1"/>
  <c r="I59" i="103" s="1"/>
  <c r="H59" i="103" a="1"/>
  <c r="H59" i="103" s="1"/>
  <c r="G59" i="103" a="1"/>
  <c r="G59" i="103" s="1"/>
  <c r="F59" i="103" a="1"/>
  <c r="F59" i="103" s="1"/>
  <c r="E59" i="103" a="1"/>
  <c r="E59" i="103" s="1"/>
  <c r="D59" i="103" a="1"/>
  <c r="D59" i="103" s="1"/>
  <c r="K58" i="103" a="1"/>
  <c r="K58" i="103" s="1"/>
  <c r="J58" i="103" a="1"/>
  <c r="J58" i="103" s="1"/>
  <c r="I58" i="103" a="1"/>
  <c r="I58" i="103" s="1"/>
  <c r="H58" i="103" a="1"/>
  <c r="H58" i="103" s="1"/>
  <c r="G58" i="103" a="1"/>
  <c r="G58" i="103" s="1"/>
  <c r="F58" i="103" a="1"/>
  <c r="F58" i="103" s="1"/>
  <c r="E58" i="103" a="1"/>
  <c r="E58" i="103" s="1"/>
  <c r="D58" i="103" a="1"/>
  <c r="D58" i="103" s="1"/>
  <c r="K57" i="103" a="1"/>
  <c r="K57" i="103" s="1"/>
  <c r="J57" i="103" a="1"/>
  <c r="J57" i="103" s="1"/>
  <c r="I57" i="103" a="1"/>
  <c r="I57" i="103" s="1"/>
  <c r="H57" i="103" a="1"/>
  <c r="H57" i="103" s="1"/>
  <c r="G57" i="103" a="1"/>
  <c r="G57" i="103" s="1"/>
  <c r="F57" i="103" a="1"/>
  <c r="F57" i="103" s="1"/>
  <c r="E57" i="103" a="1"/>
  <c r="E57" i="103" s="1"/>
  <c r="D57" i="103" a="1"/>
  <c r="D57" i="103" s="1"/>
  <c r="K56" i="103" a="1"/>
  <c r="K56" i="103" s="1"/>
  <c r="J56" i="103" a="1"/>
  <c r="J56" i="103" s="1"/>
  <c r="I56" i="103" a="1"/>
  <c r="I56" i="103" s="1"/>
  <c r="H56" i="103" a="1"/>
  <c r="H56" i="103" s="1"/>
  <c r="G56" i="103" a="1"/>
  <c r="G56" i="103" s="1"/>
  <c r="F56" i="103" a="1"/>
  <c r="F56" i="103" s="1"/>
  <c r="E56" i="103" a="1"/>
  <c r="E56" i="103" s="1"/>
  <c r="D56" i="103" a="1"/>
  <c r="D56" i="103" s="1"/>
  <c r="K55" i="103" a="1"/>
  <c r="K55" i="103" s="1"/>
  <c r="J55" i="103" a="1"/>
  <c r="J55" i="103" s="1"/>
  <c r="I55" i="103" a="1"/>
  <c r="I55" i="103" s="1"/>
  <c r="H55" i="103" a="1"/>
  <c r="H55" i="103" s="1"/>
  <c r="G55" i="103" a="1"/>
  <c r="G55" i="103" s="1"/>
  <c r="F55" i="103" a="1"/>
  <c r="F55" i="103" s="1"/>
  <c r="E55" i="103" a="1"/>
  <c r="E55" i="103" s="1"/>
  <c r="D55" i="103" a="1"/>
  <c r="D55" i="103" s="1"/>
  <c r="K54" i="103" a="1"/>
  <c r="K54" i="103" s="1"/>
  <c r="J54" i="103" a="1"/>
  <c r="J54" i="103" s="1"/>
  <c r="I54" i="103" a="1"/>
  <c r="I54" i="103" s="1"/>
  <c r="H54" i="103" a="1"/>
  <c r="H54" i="103" s="1"/>
  <c r="G54" i="103" a="1"/>
  <c r="G54" i="103" s="1"/>
  <c r="F54" i="103" a="1"/>
  <c r="F54" i="103" s="1"/>
  <c r="E54" i="103" a="1"/>
  <c r="E54" i="103" s="1"/>
  <c r="D54" i="103" a="1"/>
  <c r="D54" i="103" s="1"/>
  <c r="D52" i="103" a="1"/>
  <c r="D52" i="103" s="1"/>
  <c r="D51" i="103" a="1"/>
  <c r="D51" i="103" s="1"/>
  <c r="D50" i="103" a="1"/>
  <c r="D50" i="103" s="1"/>
  <c r="D49" i="103" a="1"/>
  <c r="D49" i="103" s="1"/>
  <c r="J43" i="103" a="1"/>
  <c r="J43" i="103" s="1"/>
  <c r="I43" i="103" a="1"/>
  <c r="I43" i="103" s="1"/>
  <c r="H43" i="103" a="1"/>
  <c r="H43" i="103" s="1"/>
  <c r="G43" i="103" a="1"/>
  <c r="G43" i="103" s="1"/>
  <c r="F43" i="103" a="1"/>
  <c r="F43" i="103" s="1"/>
  <c r="E43" i="103" a="1"/>
  <c r="E43" i="103" s="1"/>
  <c r="D43" i="103" a="1"/>
  <c r="D43" i="103" s="1"/>
  <c r="J42" i="103" a="1"/>
  <c r="J42" i="103" s="1"/>
  <c r="I42" i="103" a="1"/>
  <c r="I42" i="103" s="1"/>
  <c r="H42" i="103" a="1"/>
  <c r="H42" i="103" s="1"/>
  <c r="G42" i="103" a="1"/>
  <c r="G42" i="103" s="1"/>
  <c r="F42" i="103" a="1"/>
  <c r="F42" i="103" s="1"/>
  <c r="E42" i="103" a="1"/>
  <c r="E42" i="103" s="1"/>
  <c r="D42" i="103" a="1"/>
  <c r="D42" i="103" s="1"/>
  <c r="J41" i="103" a="1"/>
  <c r="J41" i="103" s="1"/>
  <c r="I41" i="103" a="1"/>
  <c r="I41" i="103" s="1"/>
  <c r="H41" i="103" a="1"/>
  <c r="H41" i="103" s="1"/>
  <c r="G41" i="103" a="1"/>
  <c r="G41" i="103" s="1"/>
  <c r="F41" i="103" a="1"/>
  <c r="F41" i="103" s="1"/>
  <c r="E41" i="103" a="1"/>
  <c r="E41" i="103" s="1"/>
  <c r="D41" i="103" a="1"/>
  <c r="D41" i="103" s="1"/>
  <c r="J40" i="103" a="1"/>
  <c r="J40" i="103" s="1"/>
  <c r="I40" i="103" a="1"/>
  <c r="I40" i="103" s="1"/>
  <c r="H40" i="103" a="1"/>
  <c r="H40" i="103" s="1"/>
  <c r="G40" i="103" a="1"/>
  <c r="G40" i="103" s="1"/>
  <c r="F40" i="103" a="1"/>
  <c r="F40" i="103" s="1"/>
  <c r="E40" i="103" a="1"/>
  <c r="E40" i="103" s="1"/>
  <c r="D40" i="103" a="1"/>
  <c r="D40" i="103" s="1"/>
  <c r="D38" i="103" a="1"/>
  <c r="D38" i="103" s="1"/>
  <c r="D37" i="103" a="1"/>
  <c r="D37" i="103" s="1"/>
  <c r="L34" i="103" a="1"/>
  <c r="L34" i="103" s="1"/>
  <c r="K34" i="103" a="1"/>
  <c r="K34" i="103" s="1"/>
  <c r="J34" i="103" a="1"/>
  <c r="J34" i="103" s="1"/>
  <c r="I34" i="103" a="1"/>
  <c r="I34" i="103" s="1"/>
  <c r="H34" i="103" a="1"/>
  <c r="H34" i="103" s="1"/>
  <c r="G34" i="103" a="1"/>
  <c r="G34" i="103" s="1"/>
  <c r="F34" i="103" a="1"/>
  <c r="F34" i="103" s="1"/>
  <c r="E34" i="103" a="1"/>
  <c r="E34" i="103" s="1"/>
  <c r="D34" i="103" a="1"/>
  <c r="D34" i="103" s="1"/>
  <c r="L33" i="103" a="1"/>
  <c r="L33" i="103" s="1"/>
  <c r="K33" i="103" a="1"/>
  <c r="K33" i="103" s="1"/>
  <c r="J33" i="103" a="1"/>
  <c r="J33" i="103" s="1"/>
  <c r="I33" i="103" a="1"/>
  <c r="I33" i="103" s="1"/>
  <c r="H33" i="103" a="1"/>
  <c r="H33" i="103" s="1"/>
  <c r="G33" i="103" a="1"/>
  <c r="G33" i="103" s="1"/>
  <c r="F33" i="103" a="1"/>
  <c r="F33" i="103" s="1"/>
  <c r="E33" i="103" a="1"/>
  <c r="E33" i="103" s="1"/>
  <c r="E39" i="101" s="1"/>
  <c r="D33" i="103" a="1"/>
  <c r="D33" i="103" s="1"/>
  <c r="L32" i="103" a="1"/>
  <c r="L32" i="103" s="1"/>
  <c r="K32" i="103" a="1"/>
  <c r="K32" i="103" s="1"/>
  <c r="J32" i="103" a="1"/>
  <c r="J32" i="103" s="1"/>
  <c r="I32" i="103" a="1"/>
  <c r="I32" i="103" s="1"/>
  <c r="H32" i="103" a="1"/>
  <c r="H32" i="103" s="1"/>
  <c r="G32" i="103" a="1"/>
  <c r="G32" i="103" s="1"/>
  <c r="F32" i="103" a="1"/>
  <c r="F32" i="103" s="1"/>
  <c r="E32" i="103" a="1"/>
  <c r="E32" i="103" s="1"/>
  <c r="D32" i="103" a="1"/>
  <c r="D32" i="103" s="1"/>
  <c r="L31" i="103" a="1"/>
  <c r="L31" i="103" s="1"/>
  <c r="K31" i="103" a="1"/>
  <c r="K31" i="103" s="1"/>
  <c r="J31" i="103" a="1"/>
  <c r="J31" i="103" s="1"/>
  <c r="I31" i="103" a="1"/>
  <c r="I31" i="103" s="1"/>
  <c r="H31" i="103" a="1"/>
  <c r="H31" i="103" s="1"/>
  <c r="G31" i="103" a="1"/>
  <c r="G31" i="103" s="1"/>
  <c r="F31" i="103" a="1"/>
  <c r="F31" i="103" s="1"/>
  <c r="E31" i="103" a="1"/>
  <c r="E31" i="103" s="1"/>
  <c r="D31" i="103" a="1"/>
  <c r="D31" i="103" s="1"/>
  <c r="L30" i="103" a="1"/>
  <c r="L30" i="103" s="1"/>
  <c r="K30" i="103" a="1"/>
  <c r="K30" i="103" s="1"/>
  <c r="J30" i="103" a="1"/>
  <c r="J30" i="103" s="1"/>
  <c r="I30" i="103" a="1"/>
  <c r="I30" i="103" s="1"/>
  <c r="H30" i="103" a="1"/>
  <c r="H30" i="103" s="1"/>
  <c r="G30" i="103" a="1"/>
  <c r="G30" i="103" s="1"/>
  <c r="F30" i="103" a="1"/>
  <c r="F30" i="103" s="1"/>
  <c r="E30" i="103" a="1"/>
  <c r="E30" i="103" s="1"/>
  <c r="E36" i="101" s="1"/>
  <c r="D30" i="103" a="1"/>
  <c r="D30" i="103" s="1"/>
  <c r="L29" i="103" a="1"/>
  <c r="L29" i="103" s="1"/>
  <c r="K29" i="103" a="1"/>
  <c r="K29" i="103" s="1"/>
  <c r="J29" i="103" a="1"/>
  <c r="J29" i="103" s="1"/>
  <c r="I29" i="103" a="1"/>
  <c r="I29" i="103" s="1"/>
  <c r="H29" i="103" a="1"/>
  <c r="H29" i="103" s="1"/>
  <c r="G29" i="103" a="1"/>
  <c r="G29" i="103" s="1"/>
  <c r="F29" i="103" a="1"/>
  <c r="F29" i="103" s="1"/>
  <c r="E29" i="103" a="1"/>
  <c r="E29" i="103" s="1"/>
  <c r="E35" i="101" s="1"/>
  <c r="D29" i="103" a="1"/>
  <c r="D29" i="103" s="1"/>
  <c r="L28" i="103" a="1"/>
  <c r="L28" i="103" s="1"/>
  <c r="K28" i="103" a="1"/>
  <c r="K28" i="103" s="1"/>
  <c r="J28" i="103" a="1"/>
  <c r="J28" i="103" s="1"/>
  <c r="I28" i="103" a="1"/>
  <c r="I28" i="103" s="1"/>
  <c r="H28" i="103" a="1"/>
  <c r="H28" i="103" s="1"/>
  <c r="G28" i="103" a="1"/>
  <c r="G28" i="103" s="1"/>
  <c r="F28" i="103" a="1"/>
  <c r="F28" i="103" s="1"/>
  <c r="E28" i="103" a="1"/>
  <c r="E28" i="103" s="1"/>
  <c r="E34" i="101" s="1"/>
  <c r="D28" i="103" a="1"/>
  <c r="D28" i="103" s="1"/>
  <c r="L27" i="103" a="1"/>
  <c r="L27" i="103" s="1"/>
  <c r="K27" i="103" a="1"/>
  <c r="K27" i="103" s="1"/>
  <c r="J27" i="103" a="1"/>
  <c r="J27" i="103" s="1"/>
  <c r="I27" i="103" a="1"/>
  <c r="I27" i="103" s="1"/>
  <c r="H27" i="103" a="1"/>
  <c r="H27" i="103" s="1"/>
  <c r="G27" i="103" a="1"/>
  <c r="G27" i="103" s="1"/>
  <c r="F27" i="103" a="1"/>
  <c r="F27" i="103" s="1"/>
  <c r="E27" i="103" a="1"/>
  <c r="E27" i="103" s="1"/>
  <c r="D27" i="103" a="1"/>
  <c r="D27" i="103" s="1"/>
  <c r="L26" i="103" a="1"/>
  <c r="L26" i="103" s="1"/>
  <c r="K26" i="103" a="1"/>
  <c r="K26" i="103" s="1"/>
  <c r="J26" i="103" a="1"/>
  <c r="J26" i="103" s="1"/>
  <c r="I26" i="103" a="1"/>
  <c r="I26" i="103" s="1"/>
  <c r="H26" i="103" a="1"/>
  <c r="H26" i="103" s="1"/>
  <c r="G26" i="103" a="1"/>
  <c r="G26" i="103" s="1"/>
  <c r="F26" i="103" a="1"/>
  <c r="F26" i="103" s="1"/>
  <c r="E26" i="103" a="1"/>
  <c r="E26" i="103" s="1"/>
  <c r="D26" i="103" a="1"/>
  <c r="D26" i="103" s="1"/>
  <c r="L25" i="103" a="1"/>
  <c r="L25" i="103" s="1"/>
  <c r="K25" i="103" a="1"/>
  <c r="K25" i="103" s="1"/>
  <c r="J25" i="103" a="1"/>
  <c r="J25" i="103" s="1"/>
  <c r="I25" i="103" a="1"/>
  <c r="I25" i="103" s="1"/>
  <c r="H25" i="103" a="1"/>
  <c r="H25" i="103" s="1"/>
  <c r="G25" i="103" a="1"/>
  <c r="G25" i="103" s="1"/>
  <c r="F25" i="103" a="1"/>
  <c r="F25" i="103" s="1"/>
  <c r="E25" i="103" a="1"/>
  <c r="E25" i="103" s="1"/>
  <c r="D25" i="103" a="1"/>
  <c r="D25" i="103" s="1"/>
  <c r="L24" i="103" a="1"/>
  <c r="L24" i="103" s="1"/>
  <c r="K24" i="103" a="1"/>
  <c r="K24" i="103" s="1"/>
  <c r="J24" i="103" a="1"/>
  <c r="J24" i="103" s="1"/>
  <c r="I24" i="103" a="1"/>
  <c r="I24" i="103" s="1"/>
  <c r="H24" i="103" a="1"/>
  <c r="H24" i="103" s="1"/>
  <c r="G24" i="103" a="1"/>
  <c r="G24" i="103" s="1"/>
  <c r="F24" i="103" a="1"/>
  <c r="F24" i="103" s="1"/>
  <c r="E24" i="103" a="1"/>
  <c r="E24" i="103" s="1"/>
  <c r="D24" i="103" a="1"/>
  <c r="D24" i="103" s="1"/>
  <c r="L23" i="103" a="1"/>
  <c r="L23" i="103" s="1"/>
  <c r="K23" i="103" a="1"/>
  <c r="K23" i="103" s="1"/>
  <c r="J23" i="103" a="1"/>
  <c r="J23" i="103" s="1"/>
  <c r="I23" i="103" a="1"/>
  <c r="I23" i="103" s="1"/>
  <c r="H23" i="103" a="1"/>
  <c r="H23" i="103" s="1"/>
  <c r="G23" i="103" a="1"/>
  <c r="G23" i="103" s="1"/>
  <c r="F23" i="103" a="1"/>
  <c r="F23" i="103" s="1"/>
  <c r="E23" i="103" a="1"/>
  <c r="E23" i="103" s="1"/>
  <c r="D23" i="103" a="1"/>
  <c r="D23" i="103" s="1"/>
  <c r="L22" i="103" a="1"/>
  <c r="L22" i="103" s="1"/>
  <c r="K22" i="103" a="1"/>
  <c r="K22" i="103" s="1"/>
  <c r="J22" i="103" a="1"/>
  <c r="J22" i="103" s="1"/>
  <c r="I22" i="103" a="1"/>
  <c r="I22" i="103" s="1"/>
  <c r="H22" i="103" a="1"/>
  <c r="H22" i="103" s="1"/>
  <c r="G22" i="103" a="1"/>
  <c r="G22" i="103" s="1"/>
  <c r="F22" i="103" a="1"/>
  <c r="F22" i="103" s="1"/>
  <c r="E22" i="103" a="1"/>
  <c r="E22" i="103" s="1"/>
  <c r="D22" i="103" a="1"/>
  <c r="D22" i="103" s="1"/>
  <c r="L21" i="103" a="1"/>
  <c r="L21" i="103" s="1"/>
  <c r="K21" i="103" a="1"/>
  <c r="K21" i="103" s="1"/>
  <c r="J21" i="103" a="1"/>
  <c r="J21" i="103" s="1"/>
  <c r="I21" i="103" a="1"/>
  <c r="I21" i="103" s="1"/>
  <c r="H21" i="103" a="1"/>
  <c r="H21" i="103" s="1"/>
  <c r="G21" i="103" a="1"/>
  <c r="G21" i="103" s="1"/>
  <c r="F21" i="103" a="1"/>
  <c r="F21" i="103" s="1"/>
  <c r="E21" i="103" a="1"/>
  <c r="E21" i="103" s="1"/>
  <c r="D21" i="103" a="1"/>
  <c r="D21" i="103" s="1"/>
  <c r="L20" i="103" a="1"/>
  <c r="L20" i="103" s="1"/>
  <c r="K20" i="103" a="1"/>
  <c r="K20" i="103" s="1"/>
  <c r="J20" i="103" a="1"/>
  <c r="J20" i="103" s="1"/>
  <c r="I20" i="103" a="1"/>
  <c r="I20" i="103" s="1"/>
  <c r="H20" i="103" a="1"/>
  <c r="H20" i="103" s="1"/>
  <c r="G20" i="103" a="1"/>
  <c r="G20" i="103" s="1"/>
  <c r="F20" i="103" a="1"/>
  <c r="F20" i="103" s="1"/>
  <c r="E20" i="103" a="1"/>
  <c r="E20" i="103" s="1"/>
  <c r="D20" i="103" a="1"/>
  <c r="D20" i="103" s="1"/>
  <c r="L19" i="103" a="1"/>
  <c r="L19" i="103" s="1"/>
  <c r="K19" i="103" a="1"/>
  <c r="K19" i="103" s="1"/>
  <c r="J19" i="103" a="1"/>
  <c r="J19" i="103" s="1"/>
  <c r="I19" i="103" a="1"/>
  <c r="I19" i="103" s="1"/>
  <c r="H19" i="103" a="1"/>
  <c r="H19" i="103" s="1"/>
  <c r="G19" i="103" a="1"/>
  <c r="G19" i="103" s="1"/>
  <c r="F19" i="103" a="1"/>
  <c r="F19" i="103" s="1"/>
  <c r="E19" i="103" a="1"/>
  <c r="E19" i="103" s="1"/>
  <c r="D19" i="103" a="1"/>
  <c r="D19" i="103" s="1"/>
  <c r="L18" i="103" a="1"/>
  <c r="L18" i="103" s="1"/>
  <c r="K18" i="103" a="1"/>
  <c r="K18" i="103" s="1"/>
  <c r="J18" i="103" a="1"/>
  <c r="J18" i="103" s="1"/>
  <c r="I18" i="103" a="1"/>
  <c r="I18" i="103" s="1"/>
  <c r="H18" i="103" a="1"/>
  <c r="H18" i="103" s="1"/>
  <c r="G18" i="103" a="1"/>
  <c r="G18" i="103" s="1"/>
  <c r="F18" i="103" a="1"/>
  <c r="F18" i="103" s="1"/>
  <c r="E18" i="103" a="1"/>
  <c r="E18" i="103" s="1"/>
  <c r="D18" i="103" a="1"/>
  <c r="D18" i="103" s="1"/>
  <c r="L17" i="103" a="1"/>
  <c r="L17" i="103" s="1"/>
  <c r="K17" i="103" a="1"/>
  <c r="K17" i="103" s="1"/>
  <c r="J17" i="103" a="1"/>
  <c r="J17" i="103" s="1"/>
  <c r="I17" i="103" a="1"/>
  <c r="I17" i="103" s="1"/>
  <c r="H17" i="103" a="1"/>
  <c r="H17" i="103" s="1"/>
  <c r="G17" i="103" a="1"/>
  <c r="G17" i="103" s="1"/>
  <c r="F17" i="103" a="1"/>
  <c r="F17" i="103" s="1"/>
  <c r="E17" i="103" a="1"/>
  <c r="E17" i="103" s="1"/>
  <c r="E32" i="101" s="1"/>
  <c r="D17" i="103" a="1"/>
  <c r="D17" i="103" s="1"/>
  <c r="L16" i="103" a="1"/>
  <c r="L16" i="103" s="1"/>
  <c r="K16" i="103" a="1"/>
  <c r="K16" i="103" s="1"/>
  <c r="J16" i="103" a="1"/>
  <c r="J16" i="103" s="1"/>
  <c r="I16" i="103" a="1"/>
  <c r="I16" i="103" s="1"/>
  <c r="H16" i="103" a="1"/>
  <c r="H16" i="103" s="1"/>
  <c r="G16" i="103" a="1"/>
  <c r="G16" i="103" s="1"/>
  <c r="F16" i="103" a="1"/>
  <c r="F16" i="103" s="1"/>
  <c r="E16" i="103" a="1"/>
  <c r="E16" i="103" s="1"/>
  <c r="E31" i="101" s="1"/>
  <c r="D16" i="103" a="1"/>
  <c r="D16" i="103" s="1"/>
  <c r="L15" i="103" a="1"/>
  <c r="L15" i="103" s="1"/>
  <c r="K15" i="103" a="1"/>
  <c r="K15" i="103" s="1"/>
  <c r="J15" i="103" a="1"/>
  <c r="J15" i="103" s="1"/>
  <c r="I15" i="103" a="1"/>
  <c r="I15" i="103" s="1"/>
  <c r="H15" i="103" a="1"/>
  <c r="H15" i="103" s="1"/>
  <c r="G15" i="103" a="1"/>
  <c r="G15" i="103" s="1"/>
  <c r="F15" i="103" a="1"/>
  <c r="F15" i="103" s="1"/>
  <c r="E15" i="103" a="1"/>
  <c r="E15" i="103" s="1"/>
  <c r="E30" i="101" s="1"/>
  <c r="D15" i="103" a="1"/>
  <c r="D15" i="103" s="1"/>
  <c r="L14" i="103" a="1"/>
  <c r="L14" i="103" s="1"/>
  <c r="K14" i="103" a="1"/>
  <c r="K14" i="103" s="1"/>
  <c r="J14" i="103" a="1"/>
  <c r="J14" i="103" s="1"/>
  <c r="I14" i="103" a="1"/>
  <c r="I14" i="103" s="1"/>
  <c r="H14" i="103" a="1"/>
  <c r="H14" i="103" s="1"/>
  <c r="G14" i="103" a="1"/>
  <c r="G14" i="103" s="1"/>
  <c r="F14" i="103" a="1"/>
  <c r="F14" i="103" s="1"/>
  <c r="E14" i="103" a="1"/>
  <c r="E14" i="103" s="1"/>
  <c r="E29" i="101" s="1"/>
  <c r="D14" i="103" a="1"/>
  <c r="D14" i="103" s="1"/>
  <c r="L13" i="103" a="1"/>
  <c r="L13" i="103" s="1"/>
  <c r="K13" i="103" a="1"/>
  <c r="K13" i="103" s="1"/>
  <c r="J13" i="103" a="1"/>
  <c r="J13" i="103" s="1"/>
  <c r="I13" i="103" a="1"/>
  <c r="I13" i="103" s="1"/>
  <c r="H13" i="103" a="1"/>
  <c r="H13" i="103" s="1"/>
  <c r="G13" i="103" a="1"/>
  <c r="G13" i="103" s="1"/>
  <c r="F13" i="103" a="1"/>
  <c r="F13" i="103" s="1"/>
  <c r="E13" i="103" a="1"/>
  <c r="E13" i="103" s="1"/>
  <c r="E28" i="101" s="1"/>
  <c r="D13" i="103" a="1"/>
  <c r="D13" i="103" s="1"/>
  <c r="L12" i="103" a="1"/>
  <c r="L12" i="103" s="1"/>
  <c r="K12" i="103" a="1"/>
  <c r="K12" i="103" s="1"/>
  <c r="J12" i="103" a="1"/>
  <c r="J12" i="103" s="1"/>
  <c r="I12" i="103" a="1"/>
  <c r="I12" i="103" s="1"/>
  <c r="H12" i="103" a="1"/>
  <c r="H12" i="103" s="1"/>
  <c r="G12" i="103" a="1"/>
  <c r="G12" i="103" s="1"/>
  <c r="F12" i="103" a="1"/>
  <c r="F12" i="103" s="1"/>
  <c r="E12" i="103" a="1"/>
  <c r="E12" i="103" s="1"/>
  <c r="E27" i="101" s="1"/>
  <c r="D12" i="103" a="1"/>
  <c r="D12" i="103" s="1"/>
  <c r="L11" i="103" a="1"/>
  <c r="L11" i="103" s="1"/>
  <c r="K11" i="103" a="1"/>
  <c r="K11" i="103" s="1"/>
  <c r="J11" i="103" a="1"/>
  <c r="J11" i="103" s="1"/>
  <c r="I11" i="103" a="1"/>
  <c r="I11" i="103" s="1"/>
  <c r="H11" i="103" a="1"/>
  <c r="H11" i="103" s="1"/>
  <c r="G11" i="103" a="1"/>
  <c r="G11" i="103" s="1"/>
  <c r="F11" i="103" a="1"/>
  <c r="F11" i="103" s="1"/>
  <c r="E11" i="103" a="1"/>
  <c r="E11" i="103" s="1"/>
  <c r="D11" i="103" a="1"/>
  <c r="D11" i="103" s="1"/>
  <c r="L10" i="103" a="1"/>
  <c r="L10" i="103" s="1"/>
  <c r="K10" i="103" a="1"/>
  <c r="K10" i="103" s="1"/>
  <c r="J10" i="103" a="1"/>
  <c r="J10" i="103" s="1"/>
  <c r="I10" i="103" a="1"/>
  <c r="I10" i="103" s="1"/>
  <c r="H10" i="103" a="1"/>
  <c r="H10" i="103" s="1"/>
  <c r="G10" i="103" a="1"/>
  <c r="G10" i="103" s="1"/>
  <c r="F10" i="103" a="1"/>
  <c r="F10" i="103" s="1"/>
  <c r="E10" i="103" a="1"/>
  <c r="E10" i="103" s="1"/>
  <c r="D10" i="103" a="1"/>
  <c r="D10" i="103" s="1"/>
  <c r="D8" i="103" a="1"/>
  <c r="D8" i="103" s="1"/>
  <c r="D7" i="103" a="1"/>
  <c r="D7" i="103" s="1"/>
  <c r="D6" i="103" a="1"/>
  <c r="D6" i="103" s="1"/>
  <c r="D5" i="103" a="1"/>
  <c r="D5" i="103" s="1"/>
  <c r="D37" i="102"/>
  <c r="D34" i="102"/>
  <c r="D33" i="102"/>
  <c r="D36" i="102"/>
  <c r="D30" i="102"/>
  <c r="D27" i="102"/>
  <c r="D26" i="102"/>
  <c r="D29" i="102"/>
  <c r="P18" i="102"/>
  <c r="P17" i="102"/>
  <c r="P16" i="102" a="1"/>
  <c r="P16" i="102" s="1"/>
  <c r="I16" i="102" a="1"/>
  <c r="I16" i="102" s="1"/>
  <c r="P15" i="102" a="1"/>
  <c r="P15" i="102" s="1"/>
  <c r="I15" i="102" a="1"/>
  <c r="I15" i="102" s="1"/>
  <c r="P14" i="102" a="1"/>
  <c r="P14" i="102" s="1"/>
  <c r="N14" i="102" a="1"/>
  <c r="N14" i="102" s="1"/>
  <c r="K14" i="102" a="1"/>
  <c r="K14" i="102" s="1"/>
  <c r="I14" i="102" a="1"/>
  <c r="I14" i="102" s="1"/>
  <c r="G14" i="102" a="1"/>
  <c r="G14" i="102" s="1"/>
  <c r="D14" i="102" a="1"/>
  <c r="D14" i="102" s="1"/>
  <c r="L12" i="102" a="1"/>
  <c r="L12" i="102" s="1"/>
  <c r="E12" i="102" a="1"/>
  <c r="E12" i="102" s="1"/>
  <c r="L11" i="102" a="1"/>
  <c r="L11" i="102" s="1"/>
  <c r="E11" i="102" a="1"/>
  <c r="E11" i="102" s="1"/>
  <c r="K7" i="102" a="1"/>
  <c r="K7" i="102" s="1"/>
  <c r="K6" i="102" a="1"/>
  <c r="K6" i="102" s="1"/>
  <c r="D6" i="102" a="1"/>
  <c r="D6" i="102" s="1"/>
  <c r="K5" i="102" a="1"/>
  <c r="K5" i="102" s="1"/>
  <c r="D5" i="102" a="1"/>
  <c r="D5" i="102" s="1"/>
  <c r="D39" i="101"/>
  <c r="D38" i="101"/>
  <c r="D36" i="101"/>
  <c r="D35" i="101"/>
  <c r="D48" i="101"/>
  <c r="D29" i="101"/>
  <c r="D42" i="101"/>
  <c r="P16" i="101" a="1"/>
  <c r="P16" i="101" s="1"/>
  <c r="I16" i="101" a="1"/>
  <c r="I16" i="101" s="1"/>
  <c r="P15" i="101" a="1"/>
  <c r="P15" i="101" s="1"/>
  <c r="I15" i="101" a="1"/>
  <c r="I15" i="101" s="1"/>
  <c r="P14" i="101" a="1"/>
  <c r="P14" i="101" s="1"/>
  <c r="N14" i="101" a="1"/>
  <c r="N14" i="101" s="1"/>
  <c r="K14" i="101" a="1"/>
  <c r="K14" i="101" s="1"/>
  <c r="I14" i="101" a="1"/>
  <c r="I14" i="101" s="1"/>
  <c r="G14" i="101" a="1"/>
  <c r="G14" i="101" s="1"/>
  <c r="D14" i="101" a="1"/>
  <c r="D14" i="101" s="1"/>
  <c r="L12" i="101" a="1"/>
  <c r="L12" i="101" s="1"/>
  <c r="E12" i="101" a="1"/>
  <c r="E12" i="101" s="1"/>
  <c r="L11" i="101" a="1"/>
  <c r="L11" i="101" s="1"/>
  <c r="E11" i="101" a="1"/>
  <c r="E11" i="101" s="1"/>
  <c r="K6" i="101" a="1"/>
  <c r="K6" i="101" s="1"/>
  <c r="D6" i="101" a="1"/>
  <c r="D6" i="101" s="1"/>
  <c r="K5" i="101" a="1"/>
  <c r="K5" i="101" s="1"/>
  <c r="D5" i="101" a="1"/>
  <c r="D5" i="101" s="1"/>
  <c r="H21" i="100"/>
  <c r="H20" i="100"/>
  <c r="H19" i="100"/>
  <c r="H18" i="100"/>
  <c r="H17" i="100"/>
  <c r="H25" i="99" a="1"/>
  <c r="H25" i="99" s="1"/>
  <c r="G25" i="99" a="1"/>
  <c r="G25" i="99" s="1"/>
  <c r="I567" i="117" s="1" a="1"/>
  <c r="I567" i="117" s="1"/>
  <c r="F25" i="99" a="1"/>
  <c r="F25" i="99" s="1"/>
  <c r="E25" i="99" a="1"/>
  <c r="E25" i="99" s="1"/>
  <c r="J36" i="98" s="1" a="1"/>
  <c r="J36" i="98" s="1"/>
  <c r="D25" i="99" a="1"/>
  <c r="D25" i="99" s="1"/>
  <c r="D22" i="99" a="1"/>
  <c r="D22" i="99" s="1"/>
  <c r="D21" i="99" a="1"/>
  <c r="D21" i="99" s="1"/>
  <c r="F19" i="99" a="1"/>
  <c r="F19" i="99" s="1"/>
  <c r="E19" i="99" a="1"/>
  <c r="E19" i="99" s="1"/>
  <c r="D19" i="99" a="1"/>
  <c r="D19" i="99" s="1"/>
  <c r="F18" i="99" a="1"/>
  <c r="F18" i="99" s="1"/>
  <c r="E18" i="99" a="1"/>
  <c r="E18" i="99" s="1"/>
  <c r="D18" i="99" a="1"/>
  <c r="D18" i="99" s="1"/>
  <c r="F17" i="99" a="1"/>
  <c r="F17" i="99" s="1"/>
  <c r="E17" i="99" a="1"/>
  <c r="E17" i="99" s="1"/>
  <c r="D17" i="99" a="1"/>
  <c r="D17" i="99" s="1"/>
  <c r="F16" i="99" a="1"/>
  <c r="F16" i="99" s="1"/>
  <c r="E16" i="99" a="1"/>
  <c r="E16" i="99" s="1"/>
  <c r="D16" i="99" a="1"/>
  <c r="D16" i="99" s="1"/>
  <c r="F15" i="99" a="1"/>
  <c r="F15" i="99" s="1"/>
  <c r="E15" i="99" a="1"/>
  <c r="E15" i="99" s="1"/>
  <c r="D15" i="99" a="1"/>
  <c r="D15" i="99" s="1"/>
  <c r="F14" i="99" a="1"/>
  <c r="F14" i="99" s="1"/>
  <c r="E14" i="99" a="1"/>
  <c r="E14" i="99" s="1"/>
  <c r="D14" i="99" a="1"/>
  <c r="D14" i="99" s="1"/>
  <c r="F13" i="99" a="1"/>
  <c r="F13" i="99" s="1"/>
  <c r="E13" i="99" a="1"/>
  <c r="E13" i="99" s="1"/>
  <c r="D13" i="99" a="1"/>
  <c r="D13" i="99" s="1"/>
  <c r="F12" i="99" a="1"/>
  <c r="F12" i="99" s="1"/>
  <c r="E12" i="99" a="1"/>
  <c r="E12" i="99" s="1"/>
  <c r="D12" i="99" a="1"/>
  <c r="D12" i="99" s="1"/>
  <c r="F11" i="99" a="1"/>
  <c r="F11" i="99" s="1"/>
  <c r="E11" i="99" a="1"/>
  <c r="E11" i="99" s="1"/>
  <c r="D11" i="99" a="1"/>
  <c r="D11" i="99" s="1"/>
  <c r="F10" i="99" a="1"/>
  <c r="F10" i="99" s="1"/>
  <c r="E10" i="99" a="1"/>
  <c r="E10" i="99" s="1"/>
  <c r="D10" i="99" a="1"/>
  <c r="D10" i="99" s="1"/>
  <c r="D7" i="99" a="1"/>
  <c r="D7" i="99" s="1"/>
  <c r="D6" i="99" a="1"/>
  <c r="D6" i="99" s="1"/>
  <c r="D5" i="99" a="1"/>
  <c r="D5" i="99" s="1"/>
  <c r="J37" i="98"/>
  <c r="J33" i="98" s="1"/>
  <c r="J32" i="98"/>
  <c r="J31" i="98"/>
  <c r="H31" i="98" a="1"/>
  <c r="H31" i="98" s="1"/>
  <c r="D31" i="98" a="1"/>
  <c r="D31" i="98" s="1"/>
  <c r="E29" i="98" a="1"/>
  <c r="E29" i="98" s="1"/>
  <c r="F39" i="98" s="1"/>
  <c r="E28" i="98" a="1"/>
  <c r="E28" i="98" s="1"/>
  <c r="D24" i="98" a="1"/>
  <c r="D24" i="98" s="1"/>
  <c r="D23" i="98" a="1"/>
  <c r="D23" i="98" s="1"/>
  <c r="D22" i="98" a="1"/>
  <c r="D22" i="98" s="1"/>
  <c r="I16" i="98"/>
  <c r="I14" i="98"/>
  <c r="G14" i="98" a="1"/>
  <c r="G14" i="98" s="1"/>
  <c r="D14" i="98" a="1"/>
  <c r="D14" i="98" s="1"/>
  <c r="E12" i="98" a="1"/>
  <c r="E12" i="98" s="1"/>
  <c r="F18" i="98" s="1"/>
  <c r="E11" i="98" a="1"/>
  <c r="E11" i="98" s="1"/>
  <c r="D7" i="98" a="1"/>
  <c r="D7" i="98" s="1"/>
  <c r="D6" i="98" a="1"/>
  <c r="D6" i="98" s="1"/>
  <c r="D5" i="98" a="1"/>
  <c r="D5" i="98" s="1"/>
  <c r="H48" i="97"/>
  <c r="E48" i="97"/>
  <c r="H47" i="97"/>
  <c r="E47" i="97"/>
  <c r="H46" i="97"/>
  <c r="E46" i="97"/>
  <c r="H39" i="97"/>
  <c r="H38" i="97"/>
  <c r="H37" i="97"/>
  <c r="E29" i="97"/>
  <c r="E16" i="97"/>
  <c r="E22" i="97" s="1"/>
  <c r="E6" i="97"/>
  <c r="AH223" i="96" a="1"/>
  <c r="AH223" i="96" s="1"/>
  <c r="AG223" i="96" a="1"/>
  <c r="AG223" i="96" s="1"/>
  <c r="AF223" i="96" a="1"/>
  <c r="AF223" i="96" s="1"/>
  <c r="AE223" i="96" a="1"/>
  <c r="AE223" i="96" s="1"/>
  <c r="AD223" i="96" a="1"/>
  <c r="AD223" i="96" s="1"/>
  <c r="AC223" i="96" a="1"/>
  <c r="AC223" i="96" s="1"/>
  <c r="AB223" i="96" a="1"/>
  <c r="AB223" i="96" s="1"/>
  <c r="AA223" i="96" a="1"/>
  <c r="AA223" i="96" s="1"/>
  <c r="Z223" i="96" a="1"/>
  <c r="Z223" i="96" s="1"/>
  <c r="Y223" i="96" a="1"/>
  <c r="Y223" i="96" s="1"/>
  <c r="X223" i="96" a="1"/>
  <c r="X223" i="96" s="1"/>
  <c r="W223" i="96" a="1"/>
  <c r="W223" i="96" s="1"/>
  <c r="V223" i="96" a="1"/>
  <c r="V223" i="96" s="1"/>
  <c r="U223" i="96" a="1"/>
  <c r="U223" i="96" s="1"/>
  <c r="T223" i="96" a="1"/>
  <c r="T223" i="96" s="1"/>
  <c r="S223" i="96" a="1"/>
  <c r="S223" i="96" s="1"/>
  <c r="R223" i="96" a="1"/>
  <c r="R223" i="96" s="1"/>
  <c r="Q223" i="96" a="1"/>
  <c r="Q223" i="96" s="1"/>
  <c r="P223" i="96" a="1"/>
  <c r="P223" i="96" s="1"/>
  <c r="O223" i="96" a="1"/>
  <c r="O223" i="96" s="1"/>
  <c r="N223" i="96" a="1"/>
  <c r="N223" i="96" s="1"/>
  <c r="M223" i="96" a="1"/>
  <c r="M223" i="96" s="1"/>
  <c r="L223" i="96" a="1"/>
  <c r="L223" i="96" s="1"/>
  <c r="K223" i="96" a="1"/>
  <c r="K223" i="96" s="1"/>
  <c r="J223" i="96" a="1"/>
  <c r="J223" i="96" s="1"/>
  <c r="I223" i="96" a="1"/>
  <c r="I223" i="96" s="1"/>
  <c r="H223" i="96" a="1"/>
  <c r="H223" i="96" s="1"/>
  <c r="G223" i="96" a="1"/>
  <c r="G223" i="96" s="1"/>
  <c r="F223" i="96" a="1"/>
  <c r="F223" i="96" s="1"/>
  <c r="E223" i="96" a="1"/>
  <c r="E223" i="96" s="1"/>
  <c r="D223" i="96" a="1"/>
  <c r="D223" i="96" s="1"/>
  <c r="AH222" i="96" a="1"/>
  <c r="AH222" i="96" s="1"/>
  <c r="AG222" i="96" a="1"/>
  <c r="AG222" i="96" s="1"/>
  <c r="AF222" i="96" a="1"/>
  <c r="AF222" i="96" s="1"/>
  <c r="AE222" i="96" a="1"/>
  <c r="AE222" i="96" s="1"/>
  <c r="AD222" i="96" a="1"/>
  <c r="AD222" i="96" s="1"/>
  <c r="AC222" i="96" a="1"/>
  <c r="AC222" i="96" s="1"/>
  <c r="AB222" i="96" a="1"/>
  <c r="AB222" i="96" s="1"/>
  <c r="AA222" i="96" a="1"/>
  <c r="AA222" i="96" s="1"/>
  <c r="Z222" i="96" a="1"/>
  <c r="Z222" i="96" s="1"/>
  <c r="Y222" i="96" a="1"/>
  <c r="Y222" i="96" s="1"/>
  <c r="X222" i="96" a="1"/>
  <c r="X222" i="96" s="1"/>
  <c r="W222" i="96" a="1"/>
  <c r="W222" i="96" s="1"/>
  <c r="V222" i="96" a="1"/>
  <c r="V222" i="96" s="1"/>
  <c r="U222" i="96" a="1"/>
  <c r="U222" i="96" s="1"/>
  <c r="T222" i="96" a="1"/>
  <c r="T222" i="96" s="1"/>
  <c r="S222" i="96" a="1"/>
  <c r="S222" i="96" s="1"/>
  <c r="R222" i="96" a="1"/>
  <c r="R222" i="96" s="1"/>
  <c r="Q222" i="96" a="1"/>
  <c r="Q222" i="96" s="1"/>
  <c r="P222" i="96" a="1"/>
  <c r="P222" i="96" s="1"/>
  <c r="O222" i="96" a="1"/>
  <c r="O222" i="96" s="1"/>
  <c r="N222" i="96" a="1"/>
  <c r="N222" i="96" s="1"/>
  <c r="M222" i="96" a="1"/>
  <c r="M222" i="96" s="1"/>
  <c r="L222" i="96" a="1"/>
  <c r="L222" i="96" s="1"/>
  <c r="K222" i="96" a="1"/>
  <c r="K222" i="96" s="1"/>
  <c r="J222" i="96" a="1"/>
  <c r="J222" i="96" s="1"/>
  <c r="I222" i="96" a="1"/>
  <c r="I222" i="96" s="1"/>
  <c r="H222" i="96" a="1"/>
  <c r="H222" i="96" s="1"/>
  <c r="G222" i="96" a="1"/>
  <c r="G222" i="96" s="1"/>
  <c r="F222" i="96" a="1"/>
  <c r="F222" i="96" s="1"/>
  <c r="E222" i="96" a="1"/>
  <c r="E222" i="96" s="1"/>
  <c r="D222" i="96" a="1"/>
  <c r="D222" i="96" s="1"/>
  <c r="AH221" i="96" a="1"/>
  <c r="AH221" i="96" s="1"/>
  <c r="AG221" i="96" a="1"/>
  <c r="AG221" i="96" s="1"/>
  <c r="AF221" i="96" a="1"/>
  <c r="AF221" i="96" s="1"/>
  <c r="AE221" i="96" a="1"/>
  <c r="AE221" i="96" s="1"/>
  <c r="AD221" i="96" a="1"/>
  <c r="AD221" i="96" s="1"/>
  <c r="AC221" i="96" a="1"/>
  <c r="AC221" i="96" s="1"/>
  <c r="AB221" i="96" a="1"/>
  <c r="AB221" i="96" s="1"/>
  <c r="AA221" i="96" a="1"/>
  <c r="AA221" i="96" s="1"/>
  <c r="Z221" i="96" a="1"/>
  <c r="Z221" i="96" s="1"/>
  <c r="Y221" i="96" a="1"/>
  <c r="Y221" i="96" s="1"/>
  <c r="X221" i="96" a="1"/>
  <c r="X221" i="96" s="1"/>
  <c r="W221" i="96" a="1"/>
  <c r="W221" i="96" s="1"/>
  <c r="V221" i="96" a="1"/>
  <c r="V221" i="96" s="1"/>
  <c r="U221" i="96" a="1"/>
  <c r="U221" i="96" s="1"/>
  <c r="T221" i="96" a="1"/>
  <c r="T221" i="96" s="1"/>
  <c r="S221" i="96" a="1"/>
  <c r="S221" i="96" s="1"/>
  <c r="R221" i="96" a="1"/>
  <c r="R221" i="96" s="1"/>
  <c r="Q221" i="96" a="1"/>
  <c r="Q221" i="96" s="1"/>
  <c r="P221" i="96" a="1"/>
  <c r="P221" i="96" s="1"/>
  <c r="O221" i="96" a="1"/>
  <c r="O221" i="96" s="1"/>
  <c r="N221" i="96" a="1"/>
  <c r="N221" i="96" s="1"/>
  <c r="M221" i="96" a="1"/>
  <c r="M221" i="96" s="1"/>
  <c r="L221" i="96" a="1"/>
  <c r="L221" i="96" s="1"/>
  <c r="K221" i="96" a="1"/>
  <c r="K221" i="96" s="1"/>
  <c r="J221" i="96" a="1"/>
  <c r="J221" i="96" s="1"/>
  <c r="I221" i="96" a="1"/>
  <c r="I221" i="96" s="1"/>
  <c r="H221" i="96" a="1"/>
  <c r="H221" i="96" s="1"/>
  <c r="G221" i="96" a="1"/>
  <c r="G221" i="96" s="1"/>
  <c r="F221" i="96" a="1"/>
  <c r="F221" i="96" s="1"/>
  <c r="E221" i="96" a="1"/>
  <c r="E221" i="96" s="1"/>
  <c r="D221" i="96" a="1"/>
  <c r="D221" i="96" s="1"/>
  <c r="AH220" i="96" a="1"/>
  <c r="AH220" i="96" s="1"/>
  <c r="AG220" i="96" a="1"/>
  <c r="AG220" i="96" s="1"/>
  <c r="AF220" i="96" a="1"/>
  <c r="AF220" i="96" s="1"/>
  <c r="AE220" i="96" a="1"/>
  <c r="AE220" i="96" s="1"/>
  <c r="AD220" i="96" a="1"/>
  <c r="AD220" i="96" s="1"/>
  <c r="AC220" i="96" a="1"/>
  <c r="AC220" i="96" s="1"/>
  <c r="AB220" i="96" a="1"/>
  <c r="AB220" i="96" s="1"/>
  <c r="AA220" i="96" a="1"/>
  <c r="AA220" i="96" s="1"/>
  <c r="Z220" i="96" a="1"/>
  <c r="Z220" i="96" s="1"/>
  <c r="Y220" i="96" a="1"/>
  <c r="Y220" i="96" s="1"/>
  <c r="X220" i="96" a="1"/>
  <c r="X220" i="96" s="1"/>
  <c r="W220" i="96" a="1"/>
  <c r="W220" i="96" s="1"/>
  <c r="V220" i="96" a="1"/>
  <c r="V220" i="96" s="1"/>
  <c r="U220" i="96" a="1"/>
  <c r="U220" i="96" s="1"/>
  <c r="T220" i="96" a="1"/>
  <c r="T220" i="96" s="1"/>
  <c r="S220" i="96" a="1"/>
  <c r="S220" i="96" s="1"/>
  <c r="R220" i="96" a="1"/>
  <c r="R220" i="96" s="1"/>
  <c r="Q220" i="96" a="1"/>
  <c r="Q220" i="96" s="1"/>
  <c r="P220" i="96" a="1"/>
  <c r="P220" i="96" s="1"/>
  <c r="O220" i="96" a="1"/>
  <c r="O220" i="96" s="1"/>
  <c r="N220" i="96" a="1"/>
  <c r="N220" i="96" s="1"/>
  <c r="M220" i="96" a="1"/>
  <c r="M220" i="96" s="1"/>
  <c r="L220" i="96" a="1"/>
  <c r="L220" i="96" s="1"/>
  <c r="K220" i="96" a="1"/>
  <c r="K220" i="96" s="1"/>
  <c r="J220" i="96" a="1"/>
  <c r="J220" i="96" s="1"/>
  <c r="I220" i="96" a="1"/>
  <c r="I220" i="96" s="1"/>
  <c r="H220" i="96" a="1"/>
  <c r="H220" i="96" s="1"/>
  <c r="G220" i="96" a="1"/>
  <c r="G220" i="96" s="1"/>
  <c r="F220" i="96" a="1"/>
  <c r="F220" i="96" s="1"/>
  <c r="E220" i="96" a="1"/>
  <c r="E220" i="96" s="1"/>
  <c r="D220" i="96" a="1"/>
  <c r="D220" i="96" s="1"/>
  <c r="AH219" i="96" a="1"/>
  <c r="AH219" i="96" s="1"/>
  <c r="AG219" i="96" a="1"/>
  <c r="AG219" i="96" s="1"/>
  <c r="AF219" i="96" a="1"/>
  <c r="AF219" i="96" s="1"/>
  <c r="AE219" i="96" a="1"/>
  <c r="AE219" i="96" s="1"/>
  <c r="AD219" i="96" a="1"/>
  <c r="AD219" i="96" s="1"/>
  <c r="AC219" i="96" a="1"/>
  <c r="AC219" i="96" s="1"/>
  <c r="AB219" i="96" a="1"/>
  <c r="AB219" i="96" s="1"/>
  <c r="AA219" i="96" a="1"/>
  <c r="AA219" i="96" s="1"/>
  <c r="Z219" i="96" a="1"/>
  <c r="Z219" i="96" s="1"/>
  <c r="Y219" i="96" a="1"/>
  <c r="Y219" i="96" s="1"/>
  <c r="X219" i="96" a="1"/>
  <c r="X219" i="96" s="1"/>
  <c r="W219" i="96" a="1"/>
  <c r="W219" i="96" s="1"/>
  <c r="V219" i="96" a="1"/>
  <c r="V219" i="96" s="1"/>
  <c r="U219" i="96" a="1"/>
  <c r="U219" i="96" s="1"/>
  <c r="T219" i="96" a="1"/>
  <c r="T219" i="96" s="1"/>
  <c r="S219" i="96" a="1"/>
  <c r="S219" i="96" s="1"/>
  <c r="R219" i="96" a="1"/>
  <c r="R219" i="96" s="1"/>
  <c r="Q219" i="96" a="1"/>
  <c r="Q219" i="96" s="1"/>
  <c r="P219" i="96" a="1"/>
  <c r="P219" i="96" s="1"/>
  <c r="O219" i="96" a="1"/>
  <c r="O219" i="96" s="1"/>
  <c r="N219" i="96" a="1"/>
  <c r="N219" i="96" s="1"/>
  <c r="M219" i="96" a="1"/>
  <c r="M219" i="96" s="1"/>
  <c r="L219" i="96" a="1"/>
  <c r="L219" i="96" s="1"/>
  <c r="K219" i="96" a="1"/>
  <c r="K219" i="96" s="1"/>
  <c r="J219" i="96" a="1"/>
  <c r="J219" i="96" s="1"/>
  <c r="I219" i="96" a="1"/>
  <c r="I219" i="96" s="1"/>
  <c r="H219" i="96" a="1"/>
  <c r="H219" i="96" s="1"/>
  <c r="G219" i="96" a="1"/>
  <c r="G219" i="96" s="1"/>
  <c r="F219" i="96" a="1"/>
  <c r="F219" i="96" s="1"/>
  <c r="E219" i="96" a="1"/>
  <c r="E219" i="96" s="1"/>
  <c r="D219" i="96" a="1"/>
  <c r="D219" i="96" s="1"/>
  <c r="AH218" i="96" a="1"/>
  <c r="AH218" i="96" s="1"/>
  <c r="AG218" i="96" a="1"/>
  <c r="AG218" i="96" s="1"/>
  <c r="AF218" i="96" a="1"/>
  <c r="AF218" i="96" s="1"/>
  <c r="AE218" i="96" a="1"/>
  <c r="AE218" i="96" s="1"/>
  <c r="AD218" i="96" a="1"/>
  <c r="AD218" i="96" s="1"/>
  <c r="AC218" i="96" a="1"/>
  <c r="AC218" i="96" s="1"/>
  <c r="AB218" i="96" a="1"/>
  <c r="AB218" i="96" s="1"/>
  <c r="AA218" i="96" a="1"/>
  <c r="AA218" i="96" s="1"/>
  <c r="Z218" i="96" a="1"/>
  <c r="Z218" i="96" s="1"/>
  <c r="Y218" i="96" a="1"/>
  <c r="Y218" i="96" s="1"/>
  <c r="X218" i="96" a="1"/>
  <c r="X218" i="96" s="1"/>
  <c r="W218" i="96" a="1"/>
  <c r="W218" i="96" s="1"/>
  <c r="V218" i="96" a="1"/>
  <c r="V218" i="96" s="1"/>
  <c r="U218" i="96" a="1"/>
  <c r="U218" i="96" s="1"/>
  <c r="T218" i="96" a="1"/>
  <c r="T218" i="96" s="1"/>
  <c r="S218" i="96" a="1"/>
  <c r="S218" i="96" s="1"/>
  <c r="R218" i="96" a="1"/>
  <c r="R218" i="96" s="1"/>
  <c r="Q218" i="96" a="1"/>
  <c r="Q218" i="96" s="1"/>
  <c r="P218" i="96" a="1"/>
  <c r="P218" i="96" s="1"/>
  <c r="O218" i="96" a="1"/>
  <c r="O218" i="96" s="1"/>
  <c r="N218" i="96" a="1"/>
  <c r="N218" i="96" s="1"/>
  <c r="M218" i="96" a="1"/>
  <c r="M218" i="96" s="1"/>
  <c r="L218" i="96" a="1"/>
  <c r="L218" i="96" s="1"/>
  <c r="K218" i="96" a="1"/>
  <c r="K218" i="96" s="1"/>
  <c r="J218" i="96" a="1"/>
  <c r="J218" i="96" s="1"/>
  <c r="I218" i="96" a="1"/>
  <c r="I218" i="96" s="1"/>
  <c r="H218" i="96" a="1"/>
  <c r="H218" i="96" s="1"/>
  <c r="G218" i="96" a="1"/>
  <c r="G218" i="96" s="1"/>
  <c r="F218" i="96" a="1"/>
  <c r="F218" i="96" s="1"/>
  <c r="E218" i="96" a="1"/>
  <c r="E218" i="96" s="1"/>
  <c r="D218" i="96" a="1"/>
  <c r="D218" i="96" s="1"/>
  <c r="AH217" i="96" a="1"/>
  <c r="AH217" i="96" s="1"/>
  <c r="AG217" i="96" a="1"/>
  <c r="AG217" i="96" s="1"/>
  <c r="AF217" i="96" a="1"/>
  <c r="AF217" i="96" s="1"/>
  <c r="AE217" i="96" a="1"/>
  <c r="AE217" i="96" s="1"/>
  <c r="AD217" i="96" a="1"/>
  <c r="AD217" i="96" s="1"/>
  <c r="AC217" i="96" a="1"/>
  <c r="AC217" i="96" s="1"/>
  <c r="AB217" i="96" a="1"/>
  <c r="AB217" i="96" s="1"/>
  <c r="AA217" i="96" a="1"/>
  <c r="AA217" i="96" s="1"/>
  <c r="Z217" i="96" a="1"/>
  <c r="Z217" i="96" s="1"/>
  <c r="Y217" i="96" a="1"/>
  <c r="Y217" i="96" s="1"/>
  <c r="X217" i="96" a="1"/>
  <c r="X217" i="96" s="1"/>
  <c r="W217" i="96" a="1"/>
  <c r="W217" i="96" s="1"/>
  <c r="V217" i="96" a="1"/>
  <c r="V217" i="96" s="1"/>
  <c r="U217" i="96" a="1"/>
  <c r="U217" i="96" s="1"/>
  <c r="T217" i="96" a="1"/>
  <c r="T217" i="96" s="1"/>
  <c r="S217" i="96" a="1"/>
  <c r="S217" i="96" s="1"/>
  <c r="R217" i="96" a="1"/>
  <c r="R217" i="96" s="1"/>
  <c r="Q217" i="96" a="1"/>
  <c r="Q217" i="96" s="1"/>
  <c r="P217" i="96" a="1"/>
  <c r="P217" i="96" s="1"/>
  <c r="O217" i="96" a="1"/>
  <c r="O217" i="96" s="1"/>
  <c r="N217" i="96" a="1"/>
  <c r="N217" i="96" s="1"/>
  <c r="M217" i="96" a="1"/>
  <c r="M217" i="96" s="1"/>
  <c r="L217" i="96" a="1"/>
  <c r="L217" i="96" s="1"/>
  <c r="K217" i="96" a="1"/>
  <c r="K217" i="96" s="1"/>
  <c r="J217" i="96" a="1"/>
  <c r="J217" i="96" s="1"/>
  <c r="I217" i="96" a="1"/>
  <c r="I217" i="96" s="1"/>
  <c r="H217" i="96" a="1"/>
  <c r="H217" i="96" s="1"/>
  <c r="G217" i="96" a="1"/>
  <c r="G217" i="96" s="1"/>
  <c r="F217" i="96" a="1"/>
  <c r="F217" i="96" s="1"/>
  <c r="E217" i="96" a="1"/>
  <c r="E217" i="96" s="1"/>
  <c r="D217" i="96" a="1"/>
  <c r="D217" i="96" s="1"/>
  <c r="AH216" i="96" a="1"/>
  <c r="AH216" i="96" s="1"/>
  <c r="AG216" i="96" a="1"/>
  <c r="AG216" i="96" s="1"/>
  <c r="AF216" i="96" a="1"/>
  <c r="AF216" i="96" s="1"/>
  <c r="AE216" i="96" a="1"/>
  <c r="AE216" i="96" s="1"/>
  <c r="AD216" i="96" a="1"/>
  <c r="AD216" i="96" s="1"/>
  <c r="AC216" i="96" a="1"/>
  <c r="AC216" i="96" s="1"/>
  <c r="AB216" i="96" a="1"/>
  <c r="AB216" i="96" s="1"/>
  <c r="AA216" i="96" a="1"/>
  <c r="AA216" i="96" s="1"/>
  <c r="Z216" i="96" a="1"/>
  <c r="Z216" i="96" s="1"/>
  <c r="Y216" i="96" a="1"/>
  <c r="Y216" i="96" s="1"/>
  <c r="X216" i="96" a="1"/>
  <c r="X216" i="96" s="1"/>
  <c r="W216" i="96" a="1"/>
  <c r="W216" i="96" s="1"/>
  <c r="V216" i="96" a="1"/>
  <c r="V216" i="96" s="1"/>
  <c r="U216" i="96" a="1"/>
  <c r="U216" i="96" s="1"/>
  <c r="T216" i="96" a="1"/>
  <c r="T216" i="96" s="1"/>
  <c r="S216" i="96" a="1"/>
  <c r="S216" i="96" s="1"/>
  <c r="R216" i="96" a="1"/>
  <c r="R216" i="96" s="1"/>
  <c r="Q216" i="96" a="1"/>
  <c r="Q216" i="96" s="1"/>
  <c r="P216" i="96" a="1"/>
  <c r="P216" i="96" s="1"/>
  <c r="O216" i="96" a="1"/>
  <c r="O216" i="96" s="1"/>
  <c r="N216" i="96" a="1"/>
  <c r="N216" i="96" s="1"/>
  <c r="M216" i="96" a="1"/>
  <c r="M216" i="96" s="1"/>
  <c r="L216" i="96" a="1"/>
  <c r="L216" i="96" s="1"/>
  <c r="K216" i="96" a="1"/>
  <c r="K216" i="96" s="1"/>
  <c r="J216" i="96" a="1"/>
  <c r="J216" i="96" s="1"/>
  <c r="I216" i="96" a="1"/>
  <c r="I216" i="96" s="1"/>
  <c r="H216" i="96" a="1"/>
  <c r="H216" i="96" s="1"/>
  <c r="G216" i="96" a="1"/>
  <c r="G216" i="96" s="1"/>
  <c r="F216" i="96" a="1"/>
  <c r="F216" i="96" s="1"/>
  <c r="E216" i="96" a="1"/>
  <c r="E216" i="96" s="1"/>
  <c r="D216" i="96" a="1"/>
  <c r="D216" i="96" s="1"/>
  <c r="AH215" i="96" a="1"/>
  <c r="AH215" i="96" s="1"/>
  <c r="AG215" i="96" a="1"/>
  <c r="AG215" i="96" s="1"/>
  <c r="AF215" i="96" a="1"/>
  <c r="AF215" i="96" s="1"/>
  <c r="AE215" i="96" a="1"/>
  <c r="AE215" i="96" s="1"/>
  <c r="AD215" i="96" a="1"/>
  <c r="AD215" i="96" s="1"/>
  <c r="AC215" i="96" a="1"/>
  <c r="AC215" i="96" s="1"/>
  <c r="AB215" i="96" a="1"/>
  <c r="AB215" i="96" s="1"/>
  <c r="AA215" i="96" a="1"/>
  <c r="AA215" i="96" s="1"/>
  <c r="Z215" i="96" a="1"/>
  <c r="Z215" i="96" s="1"/>
  <c r="Y215" i="96" a="1"/>
  <c r="Y215" i="96" s="1"/>
  <c r="X215" i="96" a="1"/>
  <c r="X215" i="96" s="1"/>
  <c r="W215" i="96" a="1"/>
  <c r="W215" i="96" s="1"/>
  <c r="V215" i="96" a="1"/>
  <c r="V215" i="96" s="1"/>
  <c r="U215" i="96" a="1"/>
  <c r="U215" i="96" s="1"/>
  <c r="T215" i="96" a="1"/>
  <c r="T215" i="96" s="1"/>
  <c r="S215" i="96" a="1"/>
  <c r="S215" i="96" s="1"/>
  <c r="R215" i="96" a="1"/>
  <c r="R215" i="96" s="1"/>
  <c r="Q215" i="96" a="1"/>
  <c r="Q215" i="96" s="1"/>
  <c r="P215" i="96" a="1"/>
  <c r="P215" i="96" s="1"/>
  <c r="O215" i="96" a="1"/>
  <c r="O215" i="96" s="1"/>
  <c r="N215" i="96" a="1"/>
  <c r="N215" i="96" s="1"/>
  <c r="M215" i="96" a="1"/>
  <c r="M215" i="96" s="1"/>
  <c r="L215" i="96" a="1"/>
  <c r="L215" i="96" s="1"/>
  <c r="K215" i="96" a="1"/>
  <c r="K215" i="96" s="1"/>
  <c r="J215" i="96" a="1"/>
  <c r="J215" i="96" s="1"/>
  <c r="I215" i="96" a="1"/>
  <c r="I215" i="96" s="1"/>
  <c r="H215" i="96" a="1"/>
  <c r="H215" i="96" s="1"/>
  <c r="G215" i="96" a="1"/>
  <c r="G215" i="96" s="1"/>
  <c r="F215" i="96" a="1"/>
  <c r="F215" i="96" s="1"/>
  <c r="E215" i="96" a="1"/>
  <c r="E215" i="96" s="1"/>
  <c r="D215" i="96" a="1"/>
  <c r="D215" i="96" s="1"/>
  <c r="AH214" i="96" a="1"/>
  <c r="AH214" i="96" s="1"/>
  <c r="AG214" i="96" a="1"/>
  <c r="AG214" i="96" s="1"/>
  <c r="AF214" i="96" a="1"/>
  <c r="AF214" i="96" s="1"/>
  <c r="AE214" i="96" a="1"/>
  <c r="AE214" i="96" s="1"/>
  <c r="AD214" i="96" a="1"/>
  <c r="AD214" i="96" s="1"/>
  <c r="AC214" i="96" a="1"/>
  <c r="AC214" i="96" s="1"/>
  <c r="AB214" i="96" a="1"/>
  <c r="AB214" i="96" s="1"/>
  <c r="AA214" i="96" a="1"/>
  <c r="AA214" i="96" s="1"/>
  <c r="Z214" i="96" a="1"/>
  <c r="Z214" i="96" s="1"/>
  <c r="Y214" i="96" a="1"/>
  <c r="Y214" i="96" s="1"/>
  <c r="X214" i="96" a="1"/>
  <c r="X214" i="96" s="1"/>
  <c r="W214" i="96" a="1"/>
  <c r="W214" i="96" s="1"/>
  <c r="V214" i="96" a="1"/>
  <c r="V214" i="96" s="1"/>
  <c r="U214" i="96" a="1"/>
  <c r="U214" i="96" s="1"/>
  <c r="T214" i="96" a="1"/>
  <c r="T214" i="96" s="1"/>
  <c r="S214" i="96" a="1"/>
  <c r="S214" i="96" s="1"/>
  <c r="R214" i="96" a="1"/>
  <c r="R214" i="96" s="1"/>
  <c r="Q214" i="96" a="1"/>
  <c r="Q214" i="96" s="1"/>
  <c r="P214" i="96" a="1"/>
  <c r="P214" i="96" s="1"/>
  <c r="O214" i="96" a="1"/>
  <c r="O214" i="96" s="1"/>
  <c r="N214" i="96" a="1"/>
  <c r="N214" i="96" s="1"/>
  <c r="M214" i="96" a="1"/>
  <c r="M214" i="96" s="1"/>
  <c r="L214" i="96" a="1"/>
  <c r="L214" i="96" s="1"/>
  <c r="K214" i="96" a="1"/>
  <c r="K214" i="96" s="1"/>
  <c r="J214" i="96" a="1"/>
  <c r="J214" i="96" s="1"/>
  <c r="I214" i="96" a="1"/>
  <c r="I214" i="96" s="1"/>
  <c r="H214" i="96" a="1"/>
  <c r="H214" i="96" s="1"/>
  <c r="G214" i="96" a="1"/>
  <c r="G214" i="96" s="1"/>
  <c r="F214" i="96" a="1"/>
  <c r="F214" i="96" s="1"/>
  <c r="E214" i="96" a="1"/>
  <c r="E214" i="96" s="1"/>
  <c r="D214" i="96" a="1"/>
  <c r="D214" i="96" s="1"/>
  <c r="AH213" i="96" a="1"/>
  <c r="AH213" i="96" s="1"/>
  <c r="AG213" i="96" a="1"/>
  <c r="AG213" i="96" s="1"/>
  <c r="AF213" i="96" a="1"/>
  <c r="AF213" i="96" s="1"/>
  <c r="AE213" i="96" a="1"/>
  <c r="AE213" i="96" s="1"/>
  <c r="AD213" i="96" a="1"/>
  <c r="AD213" i="96" s="1"/>
  <c r="AC213" i="96" a="1"/>
  <c r="AC213" i="96" s="1"/>
  <c r="AB213" i="96" a="1"/>
  <c r="AB213" i="96" s="1"/>
  <c r="AA213" i="96" a="1"/>
  <c r="AA213" i="96" s="1"/>
  <c r="Z213" i="96" a="1"/>
  <c r="Z213" i="96" s="1"/>
  <c r="Y213" i="96" a="1"/>
  <c r="Y213" i="96" s="1"/>
  <c r="X213" i="96" a="1"/>
  <c r="X213" i="96" s="1"/>
  <c r="W213" i="96" a="1"/>
  <c r="W213" i="96" s="1"/>
  <c r="V213" i="96" a="1"/>
  <c r="V213" i="96" s="1"/>
  <c r="U213" i="96" a="1"/>
  <c r="U213" i="96" s="1"/>
  <c r="T213" i="96" a="1"/>
  <c r="T213" i="96" s="1"/>
  <c r="S213" i="96" a="1"/>
  <c r="S213" i="96" s="1"/>
  <c r="R213" i="96" a="1"/>
  <c r="R213" i="96" s="1"/>
  <c r="Q213" i="96" a="1"/>
  <c r="Q213" i="96" s="1"/>
  <c r="P213" i="96" a="1"/>
  <c r="P213" i="96" s="1"/>
  <c r="O213" i="96" a="1"/>
  <c r="O213" i="96" s="1"/>
  <c r="N213" i="96" a="1"/>
  <c r="N213" i="96" s="1"/>
  <c r="M213" i="96" a="1"/>
  <c r="M213" i="96" s="1"/>
  <c r="L213" i="96" a="1"/>
  <c r="L213" i="96" s="1"/>
  <c r="K213" i="96" a="1"/>
  <c r="K213" i="96" s="1"/>
  <c r="J213" i="96" a="1"/>
  <c r="J213" i="96" s="1"/>
  <c r="I213" i="96" a="1"/>
  <c r="I213" i="96" s="1"/>
  <c r="H213" i="96" a="1"/>
  <c r="H213" i="96" s="1"/>
  <c r="G213" i="96" a="1"/>
  <c r="G213" i="96" s="1"/>
  <c r="F213" i="96" a="1"/>
  <c r="F213" i="96" s="1"/>
  <c r="E213" i="96" a="1"/>
  <c r="E213" i="96" s="1"/>
  <c r="D213" i="96" a="1"/>
  <c r="D213" i="96" s="1"/>
  <c r="AH212" i="96" a="1"/>
  <c r="AH212" i="96" s="1"/>
  <c r="AG212" i="96" a="1"/>
  <c r="AG212" i="96" s="1"/>
  <c r="AF212" i="96" a="1"/>
  <c r="AF212" i="96" s="1"/>
  <c r="AE212" i="96" a="1"/>
  <c r="AE212" i="96" s="1"/>
  <c r="AD212" i="96" a="1"/>
  <c r="AD212" i="96" s="1"/>
  <c r="AC212" i="96" a="1"/>
  <c r="AC212" i="96" s="1"/>
  <c r="AB212" i="96" a="1"/>
  <c r="AB212" i="96" s="1"/>
  <c r="AA212" i="96" a="1"/>
  <c r="AA212" i="96" s="1"/>
  <c r="Z212" i="96" a="1"/>
  <c r="Z212" i="96" s="1"/>
  <c r="Y212" i="96" a="1"/>
  <c r="Y212" i="96" s="1"/>
  <c r="X212" i="96" a="1"/>
  <c r="X212" i="96" s="1"/>
  <c r="W212" i="96" a="1"/>
  <c r="W212" i="96" s="1"/>
  <c r="V212" i="96" a="1"/>
  <c r="V212" i="96" s="1"/>
  <c r="U212" i="96" a="1"/>
  <c r="U212" i="96" s="1"/>
  <c r="T212" i="96" a="1"/>
  <c r="T212" i="96" s="1"/>
  <c r="S212" i="96" a="1"/>
  <c r="S212" i="96" s="1"/>
  <c r="R212" i="96" a="1"/>
  <c r="R212" i="96" s="1"/>
  <c r="Q212" i="96" a="1"/>
  <c r="Q212" i="96" s="1"/>
  <c r="P212" i="96" a="1"/>
  <c r="P212" i="96" s="1"/>
  <c r="O212" i="96" a="1"/>
  <c r="O212" i="96" s="1"/>
  <c r="N212" i="96" a="1"/>
  <c r="N212" i="96" s="1"/>
  <c r="M212" i="96" a="1"/>
  <c r="M212" i="96" s="1"/>
  <c r="L212" i="96" a="1"/>
  <c r="L212" i="96" s="1"/>
  <c r="K212" i="96" a="1"/>
  <c r="K212" i="96" s="1"/>
  <c r="J212" i="96" a="1"/>
  <c r="J212" i="96" s="1"/>
  <c r="I212" i="96" a="1"/>
  <c r="I212" i="96" s="1"/>
  <c r="H212" i="96" a="1"/>
  <c r="H212" i="96" s="1"/>
  <c r="G212" i="96" a="1"/>
  <c r="G212" i="96" s="1"/>
  <c r="F212" i="96" a="1"/>
  <c r="F212" i="96" s="1"/>
  <c r="E212" i="96" a="1"/>
  <c r="E212" i="96" s="1"/>
  <c r="D212" i="96" a="1"/>
  <c r="D212" i="96" s="1"/>
  <c r="AH211" i="96" a="1"/>
  <c r="AH211" i="96" s="1"/>
  <c r="AG211" i="96" a="1"/>
  <c r="AG211" i="96" s="1"/>
  <c r="AF211" i="96" a="1"/>
  <c r="AF211" i="96" s="1"/>
  <c r="AE211" i="96" a="1"/>
  <c r="AE211" i="96" s="1"/>
  <c r="AD211" i="96" a="1"/>
  <c r="AD211" i="96" s="1"/>
  <c r="AC211" i="96" a="1"/>
  <c r="AC211" i="96" s="1"/>
  <c r="AB211" i="96" a="1"/>
  <c r="AB211" i="96" s="1"/>
  <c r="AA211" i="96" a="1"/>
  <c r="AA211" i="96" s="1"/>
  <c r="Z211" i="96" a="1"/>
  <c r="Z211" i="96" s="1"/>
  <c r="Y211" i="96" a="1"/>
  <c r="Y211" i="96" s="1"/>
  <c r="X211" i="96" a="1"/>
  <c r="X211" i="96" s="1"/>
  <c r="W211" i="96" a="1"/>
  <c r="W211" i="96" s="1"/>
  <c r="V211" i="96" a="1"/>
  <c r="V211" i="96" s="1"/>
  <c r="U211" i="96" a="1"/>
  <c r="U211" i="96" s="1"/>
  <c r="T211" i="96" a="1"/>
  <c r="T211" i="96" s="1"/>
  <c r="S211" i="96" a="1"/>
  <c r="S211" i="96" s="1"/>
  <c r="R211" i="96" a="1"/>
  <c r="R211" i="96" s="1"/>
  <c r="Q211" i="96" a="1"/>
  <c r="Q211" i="96" s="1"/>
  <c r="P211" i="96" a="1"/>
  <c r="P211" i="96" s="1"/>
  <c r="O211" i="96" a="1"/>
  <c r="O211" i="96" s="1"/>
  <c r="N211" i="96" a="1"/>
  <c r="N211" i="96" s="1"/>
  <c r="M211" i="96" a="1"/>
  <c r="M211" i="96" s="1"/>
  <c r="L211" i="96" a="1"/>
  <c r="L211" i="96" s="1"/>
  <c r="K211" i="96" a="1"/>
  <c r="K211" i="96" s="1"/>
  <c r="J211" i="96" a="1"/>
  <c r="J211" i="96" s="1"/>
  <c r="I211" i="96" a="1"/>
  <c r="I211" i="96" s="1"/>
  <c r="H211" i="96" a="1"/>
  <c r="H211" i="96" s="1"/>
  <c r="G211" i="96" a="1"/>
  <c r="G211" i="96" s="1"/>
  <c r="F211" i="96" a="1"/>
  <c r="F211" i="96" s="1"/>
  <c r="E211" i="96" a="1"/>
  <c r="E211" i="96" s="1"/>
  <c r="D211" i="96" a="1"/>
  <c r="D211" i="96" s="1"/>
  <c r="AH210" i="96" a="1"/>
  <c r="AH210" i="96" s="1"/>
  <c r="AG210" i="96" a="1"/>
  <c r="AG210" i="96" s="1"/>
  <c r="AF210" i="96" a="1"/>
  <c r="AF210" i="96" s="1"/>
  <c r="AE210" i="96" a="1"/>
  <c r="AE210" i="96" s="1"/>
  <c r="AD210" i="96" a="1"/>
  <c r="AD210" i="96" s="1"/>
  <c r="AC210" i="96" a="1"/>
  <c r="AC210" i="96" s="1"/>
  <c r="AB210" i="96" a="1"/>
  <c r="AB210" i="96" s="1"/>
  <c r="AA210" i="96" a="1"/>
  <c r="AA210" i="96" s="1"/>
  <c r="Z210" i="96" a="1"/>
  <c r="Z210" i="96" s="1"/>
  <c r="Y210" i="96" a="1"/>
  <c r="Y210" i="96" s="1"/>
  <c r="X210" i="96" a="1"/>
  <c r="X210" i="96" s="1"/>
  <c r="W210" i="96" a="1"/>
  <c r="W210" i="96" s="1"/>
  <c r="V210" i="96" a="1"/>
  <c r="V210" i="96" s="1"/>
  <c r="U210" i="96" a="1"/>
  <c r="U210" i="96" s="1"/>
  <c r="T210" i="96" a="1"/>
  <c r="T210" i="96" s="1"/>
  <c r="S210" i="96" a="1"/>
  <c r="S210" i="96" s="1"/>
  <c r="R210" i="96" a="1"/>
  <c r="R210" i="96" s="1"/>
  <c r="Q210" i="96" a="1"/>
  <c r="Q210" i="96" s="1"/>
  <c r="P210" i="96" a="1"/>
  <c r="P210" i="96" s="1"/>
  <c r="O210" i="96" a="1"/>
  <c r="O210" i="96" s="1"/>
  <c r="N210" i="96" a="1"/>
  <c r="N210" i="96" s="1"/>
  <c r="M210" i="96" a="1"/>
  <c r="M210" i="96" s="1"/>
  <c r="L210" i="96" a="1"/>
  <c r="L210" i="96" s="1"/>
  <c r="K210" i="96" a="1"/>
  <c r="K210" i="96" s="1"/>
  <c r="J210" i="96" a="1"/>
  <c r="J210" i="96" s="1"/>
  <c r="I210" i="96" a="1"/>
  <c r="I210" i="96" s="1"/>
  <c r="H210" i="96" a="1"/>
  <c r="H210" i="96" s="1"/>
  <c r="G210" i="96" a="1"/>
  <c r="G210" i="96" s="1"/>
  <c r="F210" i="96" a="1"/>
  <c r="F210" i="96" s="1"/>
  <c r="E210" i="96" a="1"/>
  <c r="E210" i="96" s="1"/>
  <c r="D210" i="96" a="1"/>
  <c r="D210" i="96" s="1"/>
  <c r="AH209" i="96" a="1"/>
  <c r="AH209" i="96" s="1"/>
  <c r="AG209" i="96" a="1"/>
  <c r="AG209" i="96" s="1"/>
  <c r="AF209" i="96" a="1"/>
  <c r="AF209" i="96" s="1"/>
  <c r="AE209" i="96" a="1"/>
  <c r="AE209" i="96" s="1"/>
  <c r="AD209" i="96" a="1"/>
  <c r="AD209" i="96" s="1"/>
  <c r="AC209" i="96" a="1"/>
  <c r="AC209" i="96" s="1"/>
  <c r="AB209" i="96" a="1"/>
  <c r="AB209" i="96" s="1"/>
  <c r="AA209" i="96" a="1"/>
  <c r="AA209" i="96" s="1"/>
  <c r="Z209" i="96" a="1"/>
  <c r="Z209" i="96" s="1"/>
  <c r="Y209" i="96" a="1"/>
  <c r="Y209" i="96" s="1"/>
  <c r="X209" i="96" a="1"/>
  <c r="X209" i="96" s="1"/>
  <c r="W209" i="96" a="1"/>
  <c r="W209" i="96" s="1"/>
  <c r="V209" i="96" a="1"/>
  <c r="V209" i="96" s="1"/>
  <c r="U209" i="96" a="1"/>
  <c r="U209" i="96" s="1"/>
  <c r="T209" i="96" a="1"/>
  <c r="T209" i="96" s="1"/>
  <c r="S209" i="96" a="1"/>
  <c r="S209" i="96" s="1"/>
  <c r="R209" i="96" a="1"/>
  <c r="R209" i="96" s="1"/>
  <c r="Q209" i="96" a="1"/>
  <c r="Q209" i="96" s="1"/>
  <c r="P209" i="96" a="1"/>
  <c r="P209" i="96" s="1"/>
  <c r="O209" i="96" a="1"/>
  <c r="O209" i="96" s="1"/>
  <c r="N209" i="96" a="1"/>
  <c r="N209" i="96" s="1"/>
  <c r="M209" i="96" a="1"/>
  <c r="M209" i="96" s="1"/>
  <c r="L209" i="96" a="1"/>
  <c r="L209" i="96" s="1"/>
  <c r="K209" i="96" a="1"/>
  <c r="K209" i="96" s="1"/>
  <c r="J209" i="96" a="1"/>
  <c r="J209" i="96" s="1"/>
  <c r="I209" i="96" a="1"/>
  <c r="I209" i="96" s="1"/>
  <c r="H209" i="96" a="1"/>
  <c r="H209" i="96" s="1"/>
  <c r="G209" i="96" a="1"/>
  <c r="G209" i="96" s="1"/>
  <c r="F209" i="96" a="1"/>
  <c r="F209" i="96" s="1"/>
  <c r="E209" i="96" a="1"/>
  <c r="E209" i="96" s="1"/>
  <c r="D209" i="96" a="1"/>
  <c r="D209" i="96" s="1"/>
  <c r="AH208" i="96" a="1"/>
  <c r="AH208" i="96" s="1"/>
  <c r="AG208" i="96" a="1"/>
  <c r="AG208" i="96" s="1"/>
  <c r="AF208" i="96" a="1"/>
  <c r="AF208" i="96" s="1"/>
  <c r="AE208" i="96" a="1"/>
  <c r="AE208" i="96" s="1"/>
  <c r="AD208" i="96" a="1"/>
  <c r="AD208" i="96" s="1"/>
  <c r="AC208" i="96" a="1"/>
  <c r="AC208" i="96" s="1"/>
  <c r="AB208" i="96" a="1"/>
  <c r="AB208" i="96" s="1"/>
  <c r="AA208" i="96" a="1"/>
  <c r="AA208" i="96" s="1"/>
  <c r="Z208" i="96" a="1"/>
  <c r="Z208" i="96" s="1"/>
  <c r="Y208" i="96" a="1"/>
  <c r="Y208" i="96" s="1"/>
  <c r="X208" i="96" a="1"/>
  <c r="X208" i="96" s="1"/>
  <c r="W208" i="96" a="1"/>
  <c r="W208" i="96" s="1"/>
  <c r="V208" i="96" a="1"/>
  <c r="V208" i="96" s="1"/>
  <c r="U208" i="96" a="1"/>
  <c r="U208" i="96" s="1"/>
  <c r="T208" i="96" a="1"/>
  <c r="T208" i="96" s="1"/>
  <c r="S208" i="96" a="1"/>
  <c r="S208" i="96" s="1"/>
  <c r="R208" i="96" a="1"/>
  <c r="R208" i="96" s="1"/>
  <c r="Q208" i="96" a="1"/>
  <c r="Q208" i="96" s="1"/>
  <c r="P208" i="96" a="1"/>
  <c r="P208" i="96" s="1"/>
  <c r="O208" i="96" a="1"/>
  <c r="O208" i="96" s="1"/>
  <c r="N208" i="96" a="1"/>
  <c r="N208" i="96" s="1"/>
  <c r="M208" i="96" a="1"/>
  <c r="M208" i="96" s="1"/>
  <c r="L208" i="96" a="1"/>
  <c r="L208" i="96" s="1"/>
  <c r="K208" i="96" a="1"/>
  <c r="K208" i="96" s="1"/>
  <c r="J208" i="96" a="1"/>
  <c r="J208" i="96" s="1"/>
  <c r="I208" i="96" a="1"/>
  <c r="I208" i="96" s="1"/>
  <c r="H208" i="96" a="1"/>
  <c r="H208" i="96" s="1"/>
  <c r="G208" i="96" a="1"/>
  <c r="G208" i="96" s="1"/>
  <c r="F208" i="96" a="1"/>
  <c r="F208" i="96" s="1"/>
  <c r="E208" i="96" a="1"/>
  <c r="E208" i="96" s="1"/>
  <c r="D208" i="96" a="1"/>
  <c r="D208" i="96" s="1"/>
  <c r="AH207" i="96" a="1"/>
  <c r="AH207" i="96" s="1"/>
  <c r="AG207" i="96" a="1"/>
  <c r="AG207" i="96" s="1"/>
  <c r="AF207" i="96" a="1"/>
  <c r="AF207" i="96" s="1"/>
  <c r="AE207" i="96" a="1"/>
  <c r="AE207" i="96" s="1"/>
  <c r="AD207" i="96" a="1"/>
  <c r="AD207" i="96" s="1"/>
  <c r="AC207" i="96" a="1"/>
  <c r="AC207" i="96" s="1"/>
  <c r="AB207" i="96" a="1"/>
  <c r="AB207" i="96" s="1"/>
  <c r="AA207" i="96" a="1"/>
  <c r="AA207" i="96" s="1"/>
  <c r="Z207" i="96" a="1"/>
  <c r="Z207" i="96" s="1"/>
  <c r="Y207" i="96" a="1"/>
  <c r="Y207" i="96" s="1"/>
  <c r="X207" i="96" a="1"/>
  <c r="X207" i="96" s="1"/>
  <c r="W207" i="96" a="1"/>
  <c r="W207" i="96" s="1"/>
  <c r="V207" i="96" a="1"/>
  <c r="V207" i="96" s="1"/>
  <c r="U207" i="96" a="1"/>
  <c r="U207" i="96" s="1"/>
  <c r="T207" i="96" a="1"/>
  <c r="T207" i="96" s="1"/>
  <c r="S207" i="96" a="1"/>
  <c r="S207" i="96" s="1"/>
  <c r="R207" i="96" a="1"/>
  <c r="R207" i="96" s="1"/>
  <c r="Q207" i="96" a="1"/>
  <c r="Q207" i="96" s="1"/>
  <c r="P207" i="96" a="1"/>
  <c r="P207" i="96" s="1"/>
  <c r="O207" i="96" a="1"/>
  <c r="O207" i="96" s="1"/>
  <c r="N207" i="96" a="1"/>
  <c r="N207" i="96" s="1"/>
  <c r="M207" i="96" a="1"/>
  <c r="M207" i="96" s="1"/>
  <c r="L207" i="96" a="1"/>
  <c r="L207" i="96" s="1"/>
  <c r="K207" i="96" a="1"/>
  <c r="K207" i="96" s="1"/>
  <c r="J207" i="96" a="1"/>
  <c r="J207" i="96" s="1"/>
  <c r="I207" i="96" a="1"/>
  <c r="I207" i="96" s="1"/>
  <c r="H207" i="96" a="1"/>
  <c r="H207" i="96" s="1"/>
  <c r="G207" i="96" a="1"/>
  <c r="G207" i="96" s="1"/>
  <c r="F207" i="96" a="1"/>
  <c r="F207" i="96" s="1"/>
  <c r="E207" i="96" a="1"/>
  <c r="E207" i="96" s="1"/>
  <c r="D207" i="96" a="1"/>
  <c r="D207" i="96" s="1"/>
  <c r="AH206" i="96" a="1"/>
  <c r="AH206" i="96" s="1"/>
  <c r="AG206" i="96" a="1"/>
  <c r="AG206" i="96" s="1"/>
  <c r="AF206" i="96" a="1"/>
  <c r="AF206" i="96" s="1"/>
  <c r="AE206" i="96" a="1"/>
  <c r="AE206" i="96" s="1"/>
  <c r="AD206" i="96" a="1"/>
  <c r="AD206" i="96" s="1"/>
  <c r="AC206" i="96" a="1"/>
  <c r="AC206" i="96" s="1"/>
  <c r="AB206" i="96" a="1"/>
  <c r="AB206" i="96" s="1"/>
  <c r="AA206" i="96" a="1"/>
  <c r="AA206" i="96" s="1"/>
  <c r="Z206" i="96" a="1"/>
  <c r="Z206" i="96" s="1"/>
  <c r="Y206" i="96" a="1"/>
  <c r="Y206" i="96" s="1"/>
  <c r="X206" i="96" a="1"/>
  <c r="X206" i="96" s="1"/>
  <c r="W206" i="96" a="1"/>
  <c r="W206" i="96" s="1"/>
  <c r="V206" i="96" a="1"/>
  <c r="V206" i="96" s="1"/>
  <c r="U206" i="96" a="1"/>
  <c r="U206" i="96" s="1"/>
  <c r="T206" i="96" a="1"/>
  <c r="T206" i="96" s="1"/>
  <c r="S206" i="96" a="1"/>
  <c r="S206" i="96" s="1"/>
  <c r="R206" i="96" a="1"/>
  <c r="R206" i="96" s="1"/>
  <c r="Q206" i="96" a="1"/>
  <c r="Q206" i="96" s="1"/>
  <c r="P206" i="96" a="1"/>
  <c r="P206" i="96" s="1"/>
  <c r="O206" i="96" a="1"/>
  <c r="O206" i="96" s="1"/>
  <c r="N206" i="96" a="1"/>
  <c r="N206" i="96" s="1"/>
  <c r="M206" i="96" a="1"/>
  <c r="M206" i="96" s="1"/>
  <c r="L206" i="96" a="1"/>
  <c r="L206" i="96" s="1"/>
  <c r="K206" i="96" a="1"/>
  <c r="K206" i="96" s="1"/>
  <c r="J206" i="96" a="1"/>
  <c r="J206" i="96" s="1"/>
  <c r="I206" i="96" a="1"/>
  <c r="I206" i="96" s="1"/>
  <c r="H206" i="96" a="1"/>
  <c r="H206" i="96" s="1"/>
  <c r="G206" i="96" a="1"/>
  <c r="G206" i="96" s="1"/>
  <c r="F206" i="96" a="1"/>
  <c r="F206" i="96" s="1"/>
  <c r="E206" i="96" a="1"/>
  <c r="E206" i="96" s="1"/>
  <c r="D206" i="96" a="1"/>
  <c r="D206" i="96" s="1"/>
  <c r="AH205" i="96" a="1"/>
  <c r="AH205" i="96" s="1"/>
  <c r="AG205" i="96" a="1"/>
  <c r="AG205" i="96" s="1"/>
  <c r="AF205" i="96" a="1"/>
  <c r="AF205" i="96" s="1"/>
  <c r="AE205" i="96" a="1"/>
  <c r="AE205" i="96" s="1"/>
  <c r="AD205" i="96" a="1"/>
  <c r="AD205" i="96" s="1"/>
  <c r="AC205" i="96" a="1"/>
  <c r="AC205" i="96" s="1"/>
  <c r="AB205" i="96" a="1"/>
  <c r="AB205" i="96" s="1"/>
  <c r="AA205" i="96" a="1"/>
  <c r="AA205" i="96" s="1"/>
  <c r="Z205" i="96" a="1"/>
  <c r="Z205" i="96" s="1"/>
  <c r="Y205" i="96" a="1"/>
  <c r="Y205" i="96" s="1"/>
  <c r="X205" i="96" a="1"/>
  <c r="X205" i="96" s="1"/>
  <c r="W205" i="96" a="1"/>
  <c r="W205" i="96" s="1"/>
  <c r="V205" i="96" a="1"/>
  <c r="V205" i="96" s="1"/>
  <c r="U205" i="96" a="1"/>
  <c r="U205" i="96" s="1"/>
  <c r="T205" i="96" a="1"/>
  <c r="T205" i="96" s="1"/>
  <c r="S205" i="96" a="1"/>
  <c r="S205" i="96" s="1"/>
  <c r="R205" i="96" a="1"/>
  <c r="R205" i="96" s="1"/>
  <c r="Q205" i="96" a="1"/>
  <c r="Q205" i="96" s="1"/>
  <c r="P205" i="96" a="1"/>
  <c r="P205" i="96" s="1"/>
  <c r="O205" i="96" a="1"/>
  <c r="O205" i="96" s="1"/>
  <c r="N205" i="96" a="1"/>
  <c r="N205" i="96" s="1"/>
  <c r="M205" i="96" a="1"/>
  <c r="M205" i="96" s="1"/>
  <c r="L205" i="96" a="1"/>
  <c r="L205" i="96" s="1"/>
  <c r="K205" i="96" a="1"/>
  <c r="K205" i="96" s="1"/>
  <c r="J205" i="96" a="1"/>
  <c r="J205" i="96" s="1"/>
  <c r="I205" i="96" a="1"/>
  <c r="I205" i="96" s="1"/>
  <c r="H205" i="96" a="1"/>
  <c r="H205" i="96" s="1"/>
  <c r="G205" i="96" a="1"/>
  <c r="G205" i="96" s="1"/>
  <c r="F205" i="96" a="1"/>
  <c r="F205" i="96" s="1"/>
  <c r="E205" i="96" a="1"/>
  <c r="E205" i="96" s="1"/>
  <c r="D205" i="96" a="1"/>
  <c r="D205" i="96" s="1"/>
  <c r="AH204" i="96" a="1"/>
  <c r="AH204" i="96" s="1"/>
  <c r="AG204" i="96" a="1"/>
  <c r="AG204" i="96" s="1"/>
  <c r="AF204" i="96" a="1"/>
  <c r="AF204" i="96" s="1"/>
  <c r="AE204" i="96" a="1"/>
  <c r="AE204" i="96" s="1"/>
  <c r="AD204" i="96" a="1"/>
  <c r="AD204" i="96" s="1"/>
  <c r="AC204" i="96" a="1"/>
  <c r="AC204" i="96" s="1"/>
  <c r="AB204" i="96" a="1"/>
  <c r="AB204" i="96" s="1"/>
  <c r="AA204" i="96" a="1"/>
  <c r="AA204" i="96" s="1"/>
  <c r="Z204" i="96" a="1"/>
  <c r="Z204" i="96" s="1"/>
  <c r="Y204" i="96" a="1"/>
  <c r="Y204" i="96" s="1"/>
  <c r="X204" i="96" a="1"/>
  <c r="X204" i="96" s="1"/>
  <c r="W204" i="96" a="1"/>
  <c r="W204" i="96" s="1"/>
  <c r="V204" i="96" a="1"/>
  <c r="V204" i="96" s="1"/>
  <c r="U204" i="96" a="1"/>
  <c r="U204" i="96" s="1"/>
  <c r="T204" i="96" a="1"/>
  <c r="T204" i="96" s="1"/>
  <c r="S204" i="96" a="1"/>
  <c r="S204" i="96" s="1"/>
  <c r="R204" i="96" a="1"/>
  <c r="R204" i="96" s="1"/>
  <c r="Q204" i="96" a="1"/>
  <c r="Q204" i="96" s="1"/>
  <c r="P204" i="96" a="1"/>
  <c r="P204" i="96" s="1"/>
  <c r="O204" i="96" a="1"/>
  <c r="O204" i="96" s="1"/>
  <c r="N204" i="96" a="1"/>
  <c r="N204" i="96" s="1"/>
  <c r="M204" i="96" a="1"/>
  <c r="M204" i="96" s="1"/>
  <c r="L204" i="96" a="1"/>
  <c r="L204" i="96" s="1"/>
  <c r="K204" i="96" a="1"/>
  <c r="K204" i="96" s="1"/>
  <c r="J204" i="96" a="1"/>
  <c r="J204" i="96" s="1"/>
  <c r="I204" i="96" a="1"/>
  <c r="I204" i="96" s="1"/>
  <c r="H204" i="96" a="1"/>
  <c r="H204" i="96" s="1"/>
  <c r="G204" i="96" a="1"/>
  <c r="G204" i="96" s="1"/>
  <c r="F204" i="96" a="1"/>
  <c r="F204" i="96" s="1"/>
  <c r="E204" i="96" a="1"/>
  <c r="E204" i="96" s="1"/>
  <c r="D204" i="96" a="1"/>
  <c r="D204" i="96" s="1"/>
  <c r="AH203" i="96" a="1"/>
  <c r="AH203" i="96" s="1"/>
  <c r="AG203" i="96" a="1"/>
  <c r="AG203" i="96" s="1"/>
  <c r="AF203" i="96" a="1"/>
  <c r="AF203" i="96" s="1"/>
  <c r="AE203" i="96" a="1"/>
  <c r="AE203" i="96" s="1"/>
  <c r="AD203" i="96" a="1"/>
  <c r="AD203" i="96" s="1"/>
  <c r="AC203" i="96" a="1"/>
  <c r="AC203" i="96" s="1"/>
  <c r="AB203" i="96" a="1"/>
  <c r="AB203" i="96" s="1"/>
  <c r="AA203" i="96" a="1"/>
  <c r="AA203" i="96" s="1"/>
  <c r="Z203" i="96" a="1"/>
  <c r="Z203" i="96" s="1"/>
  <c r="Y203" i="96" a="1"/>
  <c r="Y203" i="96" s="1"/>
  <c r="X203" i="96" a="1"/>
  <c r="X203" i="96" s="1"/>
  <c r="W203" i="96" a="1"/>
  <c r="W203" i="96" s="1"/>
  <c r="V203" i="96" a="1"/>
  <c r="V203" i="96" s="1"/>
  <c r="U203" i="96" a="1"/>
  <c r="U203" i="96" s="1"/>
  <c r="T203" i="96" a="1"/>
  <c r="T203" i="96" s="1"/>
  <c r="S203" i="96" a="1"/>
  <c r="S203" i="96" s="1"/>
  <c r="R203" i="96" a="1"/>
  <c r="R203" i="96" s="1"/>
  <c r="Q203" i="96" a="1"/>
  <c r="Q203" i="96" s="1"/>
  <c r="P203" i="96" a="1"/>
  <c r="P203" i="96" s="1"/>
  <c r="O203" i="96" a="1"/>
  <c r="O203" i="96" s="1"/>
  <c r="N203" i="96" a="1"/>
  <c r="N203" i="96" s="1"/>
  <c r="M203" i="96" a="1"/>
  <c r="M203" i="96" s="1"/>
  <c r="L203" i="96" a="1"/>
  <c r="L203" i="96" s="1"/>
  <c r="K203" i="96" a="1"/>
  <c r="K203" i="96" s="1"/>
  <c r="J203" i="96" a="1"/>
  <c r="J203" i="96" s="1"/>
  <c r="I203" i="96" a="1"/>
  <c r="I203" i="96" s="1"/>
  <c r="H203" i="96" a="1"/>
  <c r="H203" i="96" s="1"/>
  <c r="G203" i="96" a="1"/>
  <c r="G203" i="96" s="1"/>
  <c r="F203" i="96" a="1"/>
  <c r="F203" i="96" s="1"/>
  <c r="E203" i="96" a="1"/>
  <c r="E203" i="96" s="1"/>
  <c r="D203" i="96" a="1"/>
  <c r="D203" i="96" s="1"/>
  <c r="AH202" i="96" a="1"/>
  <c r="AH202" i="96" s="1"/>
  <c r="AG202" i="96" a="1"/>
  <c r="AG202" i="96" s="1"/>
  <c r="AF202" i="96" a="1"/>
  <c r="AF202" i="96" s="1"/>
  <c r="AE202" i="96" a="1"/>
  <c r="AE202" i="96" s="1"/>
  <c r="AD202" i="96" a="1"/>
  <c r="AD202" i="96" s="1"/>
  <c r="AC202" i="96" a="1"/>
  <c r="AC202" i="96" s="1"/>
  <c r="AB202" i="96" a="1"/>
  <c r="AB202" i="96" s="1"/>
  <c r="AA202" i="96" a="1"/>
  <c r="AA202" i="96" s="1"/>
  <c r="Z202" i="96" a="1"/>
  <c r="Z202" i="96" s="1"/>
  <c r="Y202" i="96" a="1"/>
  <c r="Y202" i="96" s="1"/>
  <c r="X202" i="96" a="1"/>
  <c r="X202" i="96" s="1"/>
  <c r="W202" i="96" a="1"/>
  <c r="W202" i="96" s="1"/>
  <c r="V202" i="96" a="1"/>
  <c r="V202" i="96" s="1"/>
  <c r="U202" i="96" a="1"/>
  <c r="U202" i="96" s="1"/>
  <c r="T202" i="96" a="1"/>
  <c r="T202" i="96" s="1"/>
  <c r="S202" i="96" a="1"/>
  <c r="S202" i="96" s="1"/>
  <c r="R202" i="96" a="1"/>
  <c r="R202" i="96" s="1"/>
  <c r="Q202" i="96" a="1"/>
  <c r="Q202" i="96" s="1"/>
  <c r="P202" i="96" a="1"/>
  <c r="P202" i="96" s="1"/>
  <c r="O202" i="96" a="1"/>
  <c r="O202" i="96" s="1"/>
  <c r="N202" i="96" a="1"/>
  <c r="N202" i="96" s="1"/>
  <c r="M202" i="96" a="1"/>
  <c r="M202" i="96" s="1"/>
  <c r="L202" i="96" a="1"/>
  <c r="L202" i="96" s="1"/>
  <c r="K202" i="96" a="1"/>
  <c r="K202" i="96" s="1"/>
  <c r="J202" i="96" a="1"/>
  <c r="J202" i="96" s="1"/>
  <c r="I202" i="96" a="1"/>
  <c r="I202" i="96" s="1"/>
  <c r="H202" i="96" a="1"/>
  <c r="H202" i="96" s="1"/>
  <c r="G202" i="96" a="1"/>
  <c r="G202" i="96" s="1"/>
  <c r="F202" i="96" a="1"/>
  <c r="F202" i="96" s="1"/>
  <c r="E202" i="96" a="1"/>
  <c r="E202" i="96" s="1"/>
  <c r="D202" i="96" a="1"/>
  <c r="D202" i="96" s="1"/>
  <c r="AH201" i="96" a="1"/>
  <c r="AH201" i="96" s="1"/>
  <c r="AG201" i="96" a="1"/>
  <c r="AG201" i="96" s="1"/>
  <c r="AF201" i="96" a="1"/>
  <c r="AF201" i="96" s="1"/>
  <c r="AE201" i="96" a="1"/>
  <c r="AE201" i="96" s="1"/>
  <c r="AD201" i="96" a="1"/>
  <c r="AD201" i="96" s="1"/>
  <c r="AC201" i="96" a="1"/>
  <c r="AC201" i="96" s="1"/>
  <c r="AB201" i="96" a="1"/>
  <c r="AB201" i="96" s="1"/>
  <c r="AA201" i="96" a="1"/>
  <c r="AA201" i="96" s="1"/>
  <c r="Z201" i="96" a="1"/>
  <c r="Z201" i="96" s="1"/>
  <c r="Y201" i="96" a="1"/>
  <c r="Y201" i="96" s="1"/>
  <c r="X201" i="96" a="1"/>
  <c r="X201" i="96" s="1"/>
  <c r="W201" i="96" a="1"/>
  <c r="W201" i="96" s="1"/>
  <c r="V201" i="96" a="1"/>
  <c r="V201" i="96" s="1"/>
  <c r="U201" i="96" a="1"/>
  <c r="U201" i="96" s="1"/>
  <c r="T201" i="96" a="1"/>
  <c r="T201" i="96" s="1"/>
  <c r="S201" i="96" a="1"/>
  <c r="S201" i="96" s="1"/>
  <c r="R201" i="96" a="1"/>
  <c r="R201" i="96" s="1"/>
  <c r="Q201" i="96" a="1"/>
  <c r="Q201" i="96" s="1"/>
  <c r="P201" i="96" a="1"/>
  <c r="P201" i="96" s="1"/>
  <c r="O201" i="96" a="1"/>
  <c r="O201" i="96" s="1"/>
  <c r="N201" i="96" a="1"/>
  <c r="N201" i="96" s="1"/>
  <c r="M201" i="96" a="1"/>
  <c r="M201" i="96" s="1"/>
  <c r="L201" i="96" a="1"/>
  <c r="L201" i="96" s="1"/>
  <c r="K201" i="96" a="1"/>
  <c r="K201" i="96" s="1"/>
  <c r="J201" i="96" a="1"/>
  <c r="J201" i="96" s="1"/>
  <c r="I201" i="96" a="1"/>
  <c r="I201" i="96" s="1"/>
  <c r="H201" i="96" a="1"/>
  <c r="H201" i="96" s="1"/>
  <c r="G201" i="96" a="1"/>
  <c r="G201" i="96" s="1"/>
  <c r="F201" i="96" a="1"/>
  <c r="F201" i="96" s="1"/>
  <c r="E201" i="96" a="1"/>
  <c r="E201" i="96" s="1"/>
  <c r="D201" i="96" a="1"/>
  <c r="D201" i="96" s="1"/>
  <c r="AH200" i="96" a="1"/>
  <c r="AH200" i="96" s="1"/>
  <c r="AG200" i="96" a="1"/>
  <c r="AG200" i="96" s="1"/>
  <c r="AF200" i="96" a="1"/>
  <c r="AF200" i="96" s="1"/>
  <c r="AE200" i="96" a="1"/>
  <c r="AE200" i="96" s="1"/>
  <c r="AD200" i="96" a="1"/>
  <c r="AD200" i="96" s="1"/>
  <c r="AC200" i="96" a="1"/>
  <c r="AC200" i="96" s="1"/>
  <c r="AB200" i="96" a="1"/>
  <c r="AB200" i="96" s="1"/>
  <c r="AA200" i="96" a="1"/>
  <c r="AA200" i="96" s="1"/>
  <c r="Z200" i="96" a="1"/>
  <c r="Z200" i="96" s="1"/>
  <c r="Y200" i="96" a="1"/>
  <c r="Y200" i="96" s="1"/>
  <c r="X200" i="96" a="1"/>
  <c r="X200" i="96" s="1"/>
  <c r="W200" i="96" a="1"/>
  <c r="W200" i="96" s="1"/>
  <c r="V200" i="96" a="1"/>
  <c r="V200" i="96" s="1"/>
  <c r="U200" i="96" a="1"/>
  <c r="U200" i="96" s="1"/>
  <c r="T200" i="96" a="1"/>
  <c r="T200" i="96" s="1"/>
  <c r="S200" i="96" a="1"/>
  <c r="S200" i="96" s="1"/>
  <c r="R200" i="96" a="1"/>
  <c r="R200" i="96" s="1"/>
  <c r="Q200" i="96" a="1"/>
  <c r="Q200" i="96" s="1"/>
  <c r="P200" i="96" a="1"/>
  <c r="P200" i="96" s="1"/>
  <c r="O200" i="96" a="1"/>
  <c r="O200" i="96" s="1"/>
  <c r="N200" i="96" a="1"/>
  <c r="N200" i="96" s="1"/>
  <c r="M200" i="96" a="1"/>
  <c r="M200" i="96" s="1"/>
  <c r="L200" i="96" a="1"/>
  <c r="L200" i="96" s="1"/>
  <c r="K200" i="96" a="1"/>
  <c r="K200" i="96" s="1"/>
  <c r="J200" i="96" a="1"/>
  <c r="J200" i="96" s="1"/>
  <c r="I200" i="96" a="1"/>
  <c r="I200" i="96" s="1"/>
  <c r="H200" i="96" a="1"/>
  <c r="H200" i="96" s="1"/>
  <c r="G200" i="96" a="1"/>
  <c r="G200" i="96" s="1"/>
  <c r="F200" i="96" a="1"/>
  <c r="F200" i="96" s="1"/>
  <c r="E200" i="96" a="1"/>
  <c r="E200" i="96" s="1"/>
  <c r="D200" i="96" a="1"/>
  <c r="D200" i="96" s="1"/>
  <c r="AH199" i="96" a="1"/>
  <c r="AH199" i="96" s="1"/>
  <c r="AG199" i="96" a="1"/>
  <c r="AG199" i="96" s="1"/>
  <c r="AF199" i="96" a="1"/>
  <c r="AF199" i="96" s="1"/>
  <c r="AE199" i="96" a="1"/>
  <c r="AE199" i="96" s="1"/>
  <c r="AD199" i="96" a="1"/>
  <c r="AD199" i="96" s="1"/>
  <c r="AC199" i="96" a="1"/>
  <c r="AC199" i="96" s="1"/>
  <c r="AB199" i="96" a="1"/>
  <c r="AB199" i="96" s="1"/>
  <c r="AA199" i="96" a="1"/>
  <c r="AA199" i="96" s="1"/>
  <c r="Z199" i="96" a="1"/>
  <c r="Z199" i="96" s="1"/>
  <c r="Y199" i="96" a="1"/>
  <c r="Y199" i="96" s="1"/>
  <c r="X199" i="96" a="1"/>
  <c r="X199" i="96" s="1"/>
  <c r="W199" i="96" a="1"/>
  <c r="W199" i="96" s="1"/>
  <c r="V199" i="96" a="1"/>
  <c r="V199" i="96" s="1"/>
  <c r="U199" i="96" a="1"/>
  <c r="U199" i="96" s="1"/>
  <c r="T199" i="96" a="1"/>
  <c r="T199" i="96" s="1"/>
  <c r="S199" i="96" a="1"/>
  <c r="S199" i="96" s="1"/>
  <c r="R199" i="96" a="1"/>
  <c r="R199" i="96" s="1"/>
  <c r="Q199" i="96" a="1"/>
  <c r="Q199" i="96" s="1"/>
  <c r="P199" i="96" a="1"/>
  <c r="P199" i="96" s="1"/>
  <c r="O199" i="96" a="1"/>
  <c r="O199" i="96" s="1"/>
  <c r="N199" i="96" a="1"/>
  <c r="N199" i="96" s="1"/>
  <c r="M199" i="96" a="1"/>
  <c r="M199" i="96" s="1"/>
  <c r="L199" i="96" a="1"/>
  <c r="L199" i="96" s="1"/>
  <c r="K199" i="96" a="1"/>
  <c r="K199" i="96" s="1"/>
  <c r="J199" i="96" a="1"/>
  <c r="J199" i="96" s="1"/>
  <c r="I199" i="96" a="1"/>
  <c r="I199" i="96" s="1"/>
  <c r="H199" i="96" a="1"/>
  <c r="H199" i="96" s="1"/>
  <c r="G199" i="96" a="1"/>
  <c r="G199" i="96" s="1"/>
  <c r="F199" i="96" a="1"/>
  <c r="F199" i="96" s="1"/>
  <c r="E199" i="96" a="1"/>
  <c r="E199" i="96" s="1"/>
  <c r="D199" i="96" a="1"/>
  <c r="D199" i="96" s="1"/>
  <c r="AH198" i="96" a="1"/>
  <c r="AH198" i="96" s="1"/>
  <c r="AG198" i="96" a="1"/>
  <c r="AG198" i="96" s="1"/>
  <c r="AF198" i="96" a="1"/>
  <c r="AF198" i="96" s="1"/>
  <c r="AE198" i="96" a="1"/>
  <c r="AE198" i="96" s="1"/>
  <c r="AD198" i="96" a="1"/>
  <c r="AD198" i="96" s="1"/>
  <c r="AC198" i="96" a="1"/>
  <c r="AC198" i="96" s="1"/>
  <c r="AB198" i="96" a="1"/>
  <c r="AB198" i="96" s="1"/>
  <c r="AA198" i="96" a="1"/>
  <c r="AA198" i="96" s="1"/>
  <c r="Z198" i="96" a="1"/>
  <c r="Z198" i="96" s="1"/>
  <c r="Y198" i="96" a="1"/>
  <c r="Y198" i="96" s="1"/>
  <c r="X198" i="96" a="1"/>
  <c r="X198" i="96" s="1"/>
  <c r="W198" i="96" a="1"/>
  <c r="W198" i="96" s="1"/>
  <c r="V198" i="96" a="1"/>
  <c r="V198" i="96" s="1"/>
  <c r="U198" i="96" a="1"/>
  <c r="U198" i="96" s="1"/>
  <c r="T198" i="96" a="1"/>
  <c r="T198" i="96" s="1"/>
  <c r="S198" i="96" a="1"/>
  <c r="S198" i="96" s="1"/>
  <c r="R198" i="96" a="1"/>
  <c r="R198" i="96" s="1"/>
  <c r="Q198" i="96" a="1"/>
  <c r="Q198" i="96" s="1"/>
  <c r="P198" i="96" a="1"/>
  <c r="P198" i="96" s="1"/>
  <c r="O198" i="96" a="1"/>
  <c r="O198" i="96" s="1"/>
  <c r="N198" i="96" a="1"/>
  <c r="N198" i="96" s="1"/>
  <c r="M198" i="96" a="1"/>
  <c r="M198" i="96" s="1"/>
  <c r="L198" i="96" a="1"/>
  <c r="L198" i="96" s="1"/>
  <c r="K198" i="96" a="1"/>
  <c r="K198" i="96" s="1"/>
  <c r="J198" i="96" a="1"/>
  <c r="J198" i="96" s="1"/>
  <c r="I198" i="96" a="1"/>
  <c r="I198" i="96" s="1"/>
  <c r="H198" i="96" a="1"/>
  <c r="H198" i="96" s="1"/>
  <c r="G198" i="96" a="1"/>
  <c r="G198" i="96" s="1"/>
  <c r="F198" i="96" a="1"/>
  <c r="F198" i="96" s="1"/>
  <c r="E198" i="96" a="1"/>
  <c r="E198" i="96" s="1"/>
  <c r="D198" i="96" a="1"/>
  <c r="D198" i="96" s="1"/>
  <c r="AH197" i="96" a="1"/>
  <c r="AH197" i="96" s="1"/>
  <c r="AG197" i="96" a="1"/>
  <c r="AG197" i="96" s="1"/>
  <c r="AF197" i="96" a="1"/>
  <c r="AF197" i="96" s="1"/>
  <c r="AE197" i="96" a="1"/>
  <c r="AE197" i="96" s="1"/>
  <c r="AD197" i="96" a="1"/>
  <c r="AD197" i="96" s="1"/>
  <c r="AC197" i="96" a="1"/>
  <c r="AC197" i="96" s="1"/>
  <c r="AB197" i="96" a="1"/>
  <c r="AB197" i="96" s="1"/>
  <c r="AA197" i="96" a="1"/>
  <c r="AA197" i="96" s="1"/>
  <c r="Z197" i="96" a="1"/>
  <c r="Z197" i="96" s="1"/>
  <c r="Y197" i="96" a="1"/>
  <c r="Y197" i="96" s="1"/>
  <c r="X197" i="96" a="1"/>
  <c r="X197" i="96" s="1"/>
  <c r="W197" i="96" a="1"/>
  <c r="W197" i="96" s="1"/>
  <c r="V197" i="96" a="1"/>
  <c r="V197" i="96" s="1"/>
  <c r="U197" i="96" a="1"/>
  <c r="U197" i="96" s="1"/>
  <c r="T197" i="96" a="1"/>
  <c r="T197" i="96" s="1"/>
  <c r="S197" i="96" a="1"/>
  <c r="S197" i="96" s="1"/>
  <c r="R197" i="96" a="1"/>
  <c r="R197" i="96" s="1"/>
  <c r="Q197" i="96" a="1"/>
  <c r="Q197" i="96" s="1"/>
  <c r="P197" i="96" a="1"/>
  <c r="P197" i="96" s="1"/>
  <c r="O197" i="96" a="1"/>
  <c r="O197" i="96" s="1"/>
  <c r="N197" i="96" a="1"/>
  <c r="N197" i="96" s="1"/>
  <c r="M197" i="96" a="1"/>
  <c r="M197" i="96" s="1"/>
  <c r="L197" i="96" a="1"/>
  <c r="L197" i="96" s="1"/>
  <c r="K197" i="96" a="1"/>
  <c r="K197" i="96" s="1"/>
  <c r="J197" i="96" a="1"/>
  <c r="J197" i="96" s="1"/>
  <c r="I197" i="96" a="1"/>
  <c r="I197" i="96" s="1"/>
  <c r="H197" i="96" a="1"/>
  <c r="H197" i="96" s="1"/>
  <c r="G197" i="96" a="1"/>
  <c r="G197" i="96" s="1"/>
  <c r="F197" i="96" a="1"/>
  <c r="F197" i="96" s="1"/>
  <c r="E197" i="96" a="1"/>
  <c r="E197" i="96" s="1"/>
  <c r="D197" i="96" a="1"/>
  <c r="D197" i="96" s="1"/>
  <c r="AH196" i="96" a="1"/>
  <c r="AH196" i="96" s="1"/>
  <c r="AG196" i="96" a="1"/>
  <c r="AG196" i="96" s="1"/>
  <c r="AF196" i="96" a="1"/>
  <c r="AF196" i="96" s="1"/>
  <c r="AE196" i="96" a="1"/>
  <c r="AE196" i="96" s="1"/>
  <c r="AD196" i="96" a="1"/>
  <c r="AD196" i="96" s="1"/>
  <c r="AC196" i="96" a="1"/>
  <c r="AC196" i="96" s="1"/>
  <c r="AB196" i="96" a="1"/>
  <c r="AB196" i="96" s="1"/>
  <c r="AA196" i="96" a="1"/>
  <c r="AA196" i="96" s="1"/>
  <c r="Z196" i="96" a="1"/>
  <c r="Z196" i="96" s="1"/>
  <c r="Y196" i="96" a="1"/>
  <c r="Y196" i="96" s="1"/>
  <c r="X196" i="96" a="1"/>
  <c r="X196" i="96" s="1"/>
  <c r="W196" i="96" a="1"/>
  <c r="W196" i="96" s="1"/>
  <c r="V196" i="96" a="1"/>
  <c r="V196" i="96" s="1"/>
  <c r="U196" i="96" a="1"/>
  <c r="U196" i="96" s="1"/>
  <c r="T196" i="96" a="1"/>
  <c r="T196" i="96" s="1"/>
  <c r="S196" i="96" a="1"/>
  <c r="S196" i="96" s="1"/>
  <c r="R196" i="96" a="1"/>
  <c r="R196" i="96" s="1"/>
  <c r="Q196" i="96" a="1"/>
  <c r="Q196" i="96" s="1"/>
  <c r="P196" i="96" a="1"/>
  <c r="P196" i="96" s="1"/>
  <c r="O196" i="96" a="1"/>
  <c r="O196" i="96" s="1"/>
  <c r="N196" i="96" a="1"/>
  <c r="N196" i="96" s="1"/>
  <c r="M196" i="96" a="1"/>
  <c r="M196" i="96" s="1"/>
  <c r="L196" i="96" a="1"/>
  <c r="L196" i="96" s="1"/>
  <c r="K196" i="96" a="1"/>
  <c r="K196" i="96" s="1"/>
  <c r="J196" i="96" a="1"/>
  <c r="J196" i="96" s="1"/>
  <c r="I196" i="96" a="1"/>
  <c r="I196" i="96" s="1"/>
  <c r="H196" i="96" a="1"/>
  <c r="H196" i="96" s="1"/>
  <c r="G196" i="96" a="1"/>
  <c r="G196" i="96" s="1"/>
  <c r="F196" i="96" a="1"/>
  <c r="F196" i="96" s="1"/>
  <c r="E196" i="96" a="1"/>
  <c r="E196" i="96" s="1"/>
  <c r="D196" i="96" a="1"/>
  <c r="D196" i="96" s="1"/>
  <c r="AH195" i="96" a="1"/>
  <c r="AH195" i="96" s="1"/>
  <c r="AG195" i="96" a="1"/>
  <c r="AG195" i="96" s="1"/>
  <c r="AF195" i="96" a="1"/>
  <c r="AF195" i="96" s="1"/>
  <c r="AE195" i="96" a="1"/>
  <c r="AE195" i="96" s="1"/>
  <c r="AD195" i="96" a="1"/>
  <c r="AD195" i="96" s="1"/>
  <c r="AC195" i="96" a="1"/>
  <c r="AC195" i="96" s="1"/>
  <c r="AB195" i="96" a="1"/>
  <c r="AB195" i="96" s="1"/>
  <c r="AA195" i="96" a="1"/>
  <c r="AA195" i="96" s="1"/>
  <c r="Z195" i="96" a="1"/>
  <c r="Z195" i="96" s="1"/>
  <c r="Y195" i="96" a="1"/>
  <c r="Y195" i="96" s="1"/>
  <c r="X195" i="96" a="1"/>
  <c r="X195" i="96" s="1"/>
  <c r="W195" i="96" a="1"/>
  <c r="W195" i="96" s="1"/>
  <c r="V195" i="96" a="1"/>
  <c r="V195" i="96" s="1"/>
  <c r="U195" i="96" a="1"/>
  <c r="U195" i="96" s="1"/>
  <c r="T195" i="96" a="1"/>
  <c r="T195" i="96" s="1"/>
  <c r="S195" i="96" a="1"/>
  <c r="S195" i="96" s="1"/>
  <c r="R195" i="96" a="1"/>
  <c r="R195" i="96" s="1"/>
  <c r="Q195" i="96" a="1"/>
  <c r="Q195" i="96" s="1"/>
  <c r="P195" i="96" a="1"/>
  <c r="P195" i="96" s="1"/>
  <c r="O195" i="96" a="1"/>
  <c r="O195" i="96" s="1"/>
  <c r="N195" i="96" a="1"/>
  <c r="N195" i="96" s="1"/>
  <c r="M195" i="96" a="1"/>
  <c r="M195" i="96" s="1"/>
  <c r="L195" i="96" a="1"/>
  <c r="L195" i="96" s="1"/>
  <c r="K195" i="96" a="1"/>
  <c r="K195" i="96" s="1"/>
  <c r="J195" i="96" a="1"/>
  <c r="J195" i="96" s="1"/>
  <c r="I195" i="96" a="1"/>
  <c r="I195" i="96" s="1"/>
  <c r="H195" i="96" a="1"/>
  <c r="H195" i="96" s="1"/>
  <c r="G195" i="96" a="1"/>
  <c r="G195" i="96" s="1"/>
  <c r="F195" i="96" a="1"/>
  <c r="F195" i="96" s="1"/>
  <c r="E195" i="96" a="1"/>
  <c r="E195" i="96" s="1"/>
  <c r="D195" i="96" a="1"/>
  <c r="D195" i="96" s="1"/>
  <c r="AH194" i="96" a="1"/>
  <c r="AH194" i="96" s="1"/>
  <c r="AG194" i="96" a="1"/>
  <c r="AG194" i="96" s="1"/>
  <c r="AF194" i="96" a="1"/>
  <c r="AF194" i="96" s="1"/>
  <c r="AE194" i="96" a="1"/>
  <c r="AE194" i="96" s="1"/>
  <c r="AD194" i="96" a="1"/>
  <c r="AD194" i="96" s="1"/>
  <c r="AC194" i="96" a="1"/>
  <c r="AC194" i="96" s="1"/>
  <c r="AB194" i="96" a="1"/>
  <c r="AB194" i="96" s="1"/>
  <c r="AA194" i="96" a="1"/>
  <c r="AA194" i="96" s="1"/>
  <c r="Z194" i="96" a="1"/>
  <c r="Z194" i="96" s="1"/>
  <c r="Y194" i="96" a="1"/>
  <c r="Y194" i="96" s="1"/>
  <c r="X194" i="96" a="1"/>
  <c r="X194" i="96" s="1"/>
  <c r="W194" i="96" a="1"/>
  <c r="W194" i="96" s="1"/>
  <c r="V194" i="96" a="1"/>
  <c r="V194" i="96" s="1"/>
  <c r="U194" i="96" a="1"/>
  <c r="U194" i="96" s="1"/>
  <c r="T194" i="96" a="1"/>
  <c r="T194" i="96" s="1"/>
  <c r="S194" i="96" a="1"/>
  <c r="S194" i="96" s="1"/>
  <c r="R194" i="96" a="1"/>
  <c r="R194" i="96" s="1"/>
  <c r="Q194" i="96" a="1"/>
  <c r="Q194" i="96" s="1"/>
  <c r="P194" i="96" a="1"/>
  <c r="P194" i="96" s="1"/>
  <c r="O194" i="96" a="1"/>
  <c r="O194" i="96" s="1"/>
  <c r="N194" i="96" a="1"/>
  <c r="N194" i="96" s="1"/>
  <c r="M194" i="96" a="1"/>
  <c r="M194" i="96" s="1"/>
  <c r="L194" i="96" a="1"/>
  <c r="L194" i="96" s="1"/>
  <c r="K194" i="96" a="1"/>
  <c r="K194" i="96" s="1"/>
  <c r="J194" i="96" a="1"/>
  <c r="J194" i="96" s="1"/>
  <c r="I194" i="96" a="1"/>
  <c r="I194" i="96" s="1"/>
  <c r="H194" i="96" a="1"/>
  <c r="H194" i="96" s="1"/>
  <c r="G194" i="96" a="1"/>
  <c r="G194" i="96" s="1"/>
  <c r="F194" i="96" a="1"/>
  <c r="F194" i="96" s="1"/>
  <c r="E194" i="96" a="1"/>
  <c r="E194" i="96" s="1"/>
  <c r="D194" i="96" a="1"/>
  <c r="D194" i="96" s="1"/>
  <c r="AH193" i="96" a="1"/>
  <c r="AH193" i="96" s="1"/>
  <c r="AG193" i="96" a="1"/>
  <c r="AG193" i="96" s="1"/>
  <c r="AF193" i="96" a="1"/>
  <c r="AF193" i="96" s="1"/>
  <c r="AE193" i="96" a="1"/>
  <c r="AE193" i="96" s="1"/>
  <c r="AD193" i="96" a="1"/>
  <c r="AD193" i="96" s="1"/>
  <c r="AC193" i="96" a="1"/>
  <c r="AC193" i="96" s="1"/>
  <c r="AB193" i="96" a="1"/>
  <c r="AB193" i="96" s="1"/>
  <c r="AA193" i="96" a="1"/>
  <c r="AA193" i="96" s="1"/>
  <c r="Z193" i="96" a="1"/>
  <c r="Z193" i="96" s="1"/>
  <c r="Y193" i="96" a="1"/>
  <c r="Y193" i="96" s="1"/>
  <c r="X193" i="96" a="1"/>
  <c r="X193" i="96" s="1"/>
  <c r="W193" i="96" a="1"/>
  <c r="W193" i="96" s="1"/>
  <c r="V193" i="96" a="1"/>
  <c r="V193" i="96" s="1"/>
  <c r="U193" i="96" a="1"/>
  <c r="U193" i="96" s="1"/>
  <c r="T193" i="96" a="1"/>
  <c r="T193" i="96" s="1"/>
  <c r="S193" i="96" a="1"/>
  <c r="S193" i="96" s="1"/>
  <c r="R193" i="96" a="1"/>
  <c r="R193" i="96" s="1"/>
  <c r="Q193" i="96" a="1"/>
  <c r="Q193" i="96" s="1"/>
  <c r="P193" i="96" a="1"/>
  <c r="P193" i="96" s="1"/>
  <c r="O193" i="96" a="1"/>
  <c r="O193" i="96" s="1"/>
  <c r="N193" i="96" a="1"/>
  <c r="N193" i="96" s="1"/>
  <c r="M193" i="96" a="1"/>
  <c r="M193" i="96" s="1"/>
  <c r="L193" i="96" a="1"/>
  <c r="L193" i="96" s="1"/>
  <c r="K193" i="96" a="1"/>
  <c r="K193" i="96" s="1"/>
  <c r="J193" i="96" a="1"/>
  <c r="J193" i="96" s="1"/>
  <c r="I193" i="96" a="1"/>
  <c r="I193" i="96" s="1"/>
  <c r="H193" i="96" a="1"/>
  <c r="H193" i="96" s="1"/>
  <c r="G193" i="96" a="1"/>
  <c r="G193" i="96" s="1"/>
  <c r="F193" i="96" a="1"/>
  <c r="F193" i="96" s="1"/>
  <c r="E193" i="96" a="1"/>
  <c r="E193" i="96" s="1"/>
  <c r="D193" i="96" a="1"/>
  <c r="D193" i="96" s="1"/>
  <c r="AH192" i="96" a="1"/>
  <c r="AH192" i="96" s="1"/>
  <c r="AG192" i="96" a="1"/>
  <c r="AG192" i="96" s="1"/>
  <c r="AF192" i="96" a="1"/>
  <c r="AF192" i="96" s="1"/>
  <c r="AE192" i="96" a="1"/>
  <c r="AE192" i="96" s="1"/>
  <c r="AD192" i="96" a="1"/>
  <c r="AD192" i="96" s="1"/>
  <c r="AC192" i="96" a="1"/>
  <c r="AC192" i="96" s="1"/>
  <c r="AB192" i="96" a="1"/>
  <c r="AB192" i="96" s="1"/>
  <c r="AA192" i="96" a="1"/>
  <c r="AA192" i="96" s="1"/>
  <c r="Z192" i="96" a="1"/>
  <c r="Z192" i="96" s="1"/>
  <c r="Y192" i="96" a="1"/>
  <c r="Y192" i="96" s="1"/>
  <c r="X192" i="96" a="1"/>
  <c r="X192" i="96" s="1"/>
  <c r="W192" i="96" a="1"/>
  <c r="W192" i="96" s="1"/>
  <c r="V192" i="96" a="1"/>
  <c r="V192" i="96" s="1"/>
  <c r="U192" i="96" a="1"/>
  <c r="U192" i="96" s="1"/>
  <c r="T192" i="96" a="1"/>
  <c r="T192" i="96" s="1"/>
  <c r="S192" i="96" a="1"/>
  <c r="S192" i="96" s="1"/>
  <c r="R192" i="96" a="1"/>
  <c r="R192" i="96" s="1"/>
  <c r="Q192" i="96" a="1"/>
  <c r="Q192" i="96" s="1"/>
  <c r="P192" i="96" a="1"/>
  <c r="P192" i="96" s="1"/>
  <c r="O192" i="96" a="1"/>
  <c r="O192" i="96" s="1"/>
  <c r="N192" i="96" a="1"/>
  <c r="N192" i="96" s="1"/>
  <c r="M192" i="96" a="1"/>
  <c r="M192" i="96" s="1"/>
  <c r="L192" i="96" a="1"/>
  <c r="L192" i="96" s="1"/>
  <c r="K192" i="96" a="1"/>
  <c r="K192" i="96" s="1"/>
  <c r="J192" i="96" a="1"/>
  <c r="J192" i="96" s="1"/>
  <c r="I192" i="96" a="1"/>
  <c r="I192" i="96" s="1"/>
  <c r="H192" i="96" a="1"/>
  <c r="H192" i="96" s="1"/>
  <c r="G192" i="96" a="1"/>
  <c r="G192" i="96" s="1"/>
  <c r="F192" i="96" a="1"/>
  <c r="F192" i="96" s="1"/>
  <c r="E192" i="96" a="1"/>
  <c r="E192" i="96" s="1"/>
  <c r="D192" i="96" a="1"/>
  <c r="D192" i="96" s="1"/>
  <c r="AH191" i="96" a="1"/>
  <c r="AH191" i="96" s="1"/>
  <c r="AG191" i="96" a="1"/>
  <c r="AG191" i="96" s="1"/>
  <c r="AF191" i="96" a="1"/>
  <c r="AF191" i="96" s="1"/>
  <c r="AE191" i="96" a="1"/>
  <c r="AE191" i="96" s="1"/>
  <c r="AD191" i="96" a="1"/>
  <c r="AD191" i="96" s="1"/>
  <c r="AC191" i="96" a="1"/>
  <c r="AC191" i="96" s="1"/>
  <c r="AB191" i="96" a="1"/>
  <c r="AB191" i="96" s="1"/>
  <c r="AA191" i="96" a="1"/>
  <c r="AA191" i="96" s="1"/>
  <c r="Z191" i="96" a="1"/>
  <c r="Z191" i="96" s="1"/>
  <c r="Y191" i="96" a="1"/>
  <c r="Y191" i="96" s="1"/>
  <c r="X191" i="96" a="1"/>
  <c r="X191" i="96" s="1"/>
  <c r="W191" i="96" a="1"/>
  <c r="W191" i="96" s="1"/>
  <c r="V191" i="96" a="1"/>
  <c r="V191" i="96" s="1"/>
  <c r="U191" i="96" a="1"/>
  <c r="U191" i="96" s="1"/>
  <c r="T191" i="96" a="1"/>
  <c r="T191" i="96" s="1"/>
  <c r="S191" i="96" a="1"/>
  <c r="S191" i="96" s="1"/>
  <c r="R191" i="96" a="1"/>
  <c r="R191" i="96" s="1"/>
  <c r="Q191" i="96" a="1"/>
  <c r="Q191" i="96" s="1"/>
  <c r="P191" i="96" a="1"/>
  <c r="P191" i="96" s="1"/>
  <c r="O191" i="96" a="1"/>
  <c r="O191" i="96" s="1"/>
  <c r="N191" i="96" a="1"/>
  <c r="N191" i="96" s="1"/>
  <c r="M191" i="96" a="1"/>
  <c r="M191" i="96" s="1"/>
  <c r="L191" i="96" a="1"/>
  <c r="L191" i="96" s="1"/>
  <c r="K191" i="96" a="1"/>
  <c r="K191" i="96" s="1"/>
  <c r="J191" i="96" a="1"/>
  <c r="J191" i="96" s="1"/>
  <c r="I191" i="96" a="1"/>
  <c r="I191" i="96" s="1"/>
  <c r="H191" i="96" a="1"/>
  <c r="H191" i="96" s="1"/>
  <c r="G191" i="96" a="1"/>
  <c r="G191" i="96" s="1"/>
  <c r="F191" i="96" a="1"/>
  <c r="F191" i="96" s="1"/>
  <c r="E191" i="96" a="1"/>
  <c r="E191" i="96" s="1"/>
  <c r="D191" i="96" a="1"/>
  <c r="D191" i="96" s="1"/>
  <c r="AH190" i="96" a="1"/>
  <c r="AH190" i="96" s="1"/>
  <c r="AG190" i="96" a="1"/>
  <c r="AG190" i="96" s="1"/>
  <c r="AF190" i="96" a="1"/>
  <c r="AF190" i="96" s="1"/>
  <c r="AE190" i="96" a="1"/>
  <c r="AE190" i="96" s="1"/>
  <c r="AD190" i="96" a="1"/>
  <c r="AD190" i="96" s="1"/>
  <c r="AC190" i="96" a="1"/>
  <c r="AC190" i="96" s="1"/>
  <c r="AB190" i="96" a="1"/>
  <c r="AB190" i="96" s="1"/>
  <c r="AA190" i="96" a="1"/>
  <c r="AA190" i="96" s="1"/>
  <c r="Z190" i="96" a="1"/>
  <c r="Z190" i="96" s="1"/>
  <c r="Y190" i="96" a="1"/>
  <c r="Y190" i="96" s="1"/>
  <c r="X190" i="96" a="1"/>
  <c r="X190" i="96" s="1"/>
  <c r="W190" i="96" a="1"/>
  <c r="W190" i="96" s="1"/>
  <c r="V190" i="96" a="1"/>
  <c r="V190" i="96" s="1"/>
  <c r="U190" i="96" a="1"/>
  <c r="U190" i="96" s="1"/>
  <c r="T190" i="96" a="1"/>
  <c r="T190" i="96" s="1"/>
  <c r="S190" i="96" a="1"/>
  <c r="S190" i="96" s="1"/>
  <c r="R190" i="96" a="1"/>
  <c r="R190" i="96" s="1"/>
  <c r="Q190" i="96" a="1"/>
  <c r="Q190" i="96" s="1"/>
  <c r="P190" i="96" a="1"/>
  <c r="P190" i="96" s="1"/>
  <c r="O190" i="96" a="1"/>
  <c r="O190" i="96" s="1"/>
  <c r="N190" i="96" a="1"/>
  <c r="N190" i="96" s="1"/>
  <c r="M190" i="96" a="1"/>
  <c r="M190" i="96" s="1"/>
  <c r="L190" i="96" a="1"/>
  <c r="L190" i="96" s="1"/>
  <c r="K190" i="96" a="1"/>
  <c r="K190" i="96" s="1"/>
  <c r="J190" i="96" a="1"/>
  <c r="J190" i="96" s="1"/>
  <c r="I190" i="96" a="1"/>
  <c r="I190" i="96" s="1"/>
  <c r="H190" i="96" a="1"/>
  <c r="H190" i="96" s="1"/>
  <c r="G190" i="96" a="1"/>
  <c r="G190" i="96" s="1"/>
  <c r="F190" i="96" a="1"/>
  <c r="F190" i="96" s="1"/>
  <c r="E190" i="96" a="1"/>
  <c r="E190" i="96" s="1"/>
  <c r="D190" i="96" a="1"/>
  <c r="D190" i="96" s="1"/>
  <c r="AH189" i="96" a="1"/>
  <c r="AH189" i="96" s="1"/>
  <c r="AG189" i="96" a="1"/>
  <c r="AG189" i="96" s="1"/>
  <c r="AF189" i="96" a="1"/>
  <c r="AF189" i="96" s="1"/>
  <c r="AE189" i="96" a="1"/>
  <c r="AE189" i="96" s="1"/>
  <c r="AD189" i="96" a="1"/>
  <c r="AD189" i="96" s="1"/>
  <c r="AC189" i="96" a="1"/>
  <c r="AC189" i="96" s="1"/>
  <c r="AB189" i="96" a="1"/>
  <c r="AB189" i="96" s="1"/>
  <c r="AA189" i="96" a="1"/>
  <c r="AA189" i="96" s="1"/>
  <c r="Z189" i="96" a="1"/>
  <c r="Z189" i="96" s="1"/>
  <c r="Y189" i="96" a="1"/>
  <c r="Y189" i="96" s="1"/>
  <c r="X189" i="96" a="1"/>
  <c r="X189" i="96" s="1"/>
  <c r="W189" i="96" a="1"/>
  <c r="W189" i="96" s="1"/>
  <c r="V189" i="96" a="1"/>
  <c r="V189" i="96" s="1"/>
  <c r="U189" i="96" a="1"/>
  <c r="U189" i="96" s="1"/>
  <c r="T189" i="96" a="1"/>
  <c r="T189" i="96" s="1"/>
  <c r="S189" i="96" a="1"/>
  <c r="S189" i="96" s="1"/>
  <c r="R189" i="96" a="1"/>
  <c r="R189" i="96" s="1"/>
  <c r="Q189" i="96" a="1"/>
  <c r="Q189" i="96" s="1"/>
  <c r="P189" i="96" a="1"/>
  <c r="P189" i="96" s="1"/>
  <c r="O189" i="96" a="1"/>
  <c r="O189" i="96" s="1"/>
  <c r="N189" i="96" a="1"/>
  <c r="N189" i="96" s="1"/>
  <c r="M189" i="96" a="1"/>
  <c r="M189" i="96" s="1"/>
  <c r="L189" i="96" a="1"/>
  <c r="L189" i="96" s="1"/>
  <c r="K189" i="96" a="1"/>
  <c r="K189" i="96" s="1"/>
  <c r="J189" i="96" a="1"/>
  <c r="J189" i="96" s="1"/>
  <c r="I189" i="96" a="1"/>
  <c r="I189" i="96" s="1"/>
  <c r="H189" i="96" a="1"/>
  <c r="H189" i="96" s="1"/>
  <c r="G189" i="96" a="1"/>
  <c r="G189" i="96" s="1"/>
  <c r="F189" i="96" a="1"/>
  <c r="F189" i="96" s="1"/>
  <c r="E189" i="96" a="1"/>
  <c r="E189" i="96" s="1"/>
  <c r="D189" i="96" a="1"/>
  <c r="D189" i="96" s="1"/>
  <c r="AH188" i="96" a="1"/>
  <c r="AH188" i="96" s="1"/>
  <c r="AG188" i="96" a="1"/>
  <c r="AG188" i="96" s="1"/>
  <c r="AF188" i="96" a="1"/>
  <c r="AF188" i="96" s="1"/>
  <c r="AE188" i="96" a="1"/>
  <c r="AE188" i="96" s="1"/>
  <c r="AD188" i="96" a="1"/>
  <c r="AD188" i="96" s="1"/>
  <c r="AC188" i="96" a="1"/>
  <c r="AC188" i="96" s="1"/>
  <c r="AB188" i="96" a="1"/>
  <c r="AB188" i="96" s="1"/>
  <c r="AA188" i="96" a="1"/>
  <c r="AA188" i="96" s="1"/>
  <c r="Z188" i="96" a="1"/>
  <c r="Z188" i="96" s="1"/>
  <c r="Y188" i="96" a="1"/>
  <c r="Y188" i="96" s="1"/>
  <c r="X188" i="96" a="1"/>
  <c r="X188" i="96" s="1"/>
  <c r="W188" i="96" a="1"/>
  <c r="W188" i="96" s="1"/>
  <c r="V188" i="96" a="1"/>
  <c r="V188" i="96" s="1"/>
  <c r="U188" i="96" a="1"/>
  <c r="U188" i="96" s="1"/>
  <c r="T188" i="96" a="1"/>
  <c r="T188" i="96" s="1"/>
  <c r="S188" i="96" a="1"/>
  <c r="S188" i="96" s="1"/>
  <c r="R188" i="96" a="1"/>
  <c r="R188" i="96" s="1"/>
  <c r="Q188" i="96" a="1"/>
  <c r="Q188" i="96" s="1"/>
  <c r="P188" i="96" a="1"/>
  <c r="P188" i="96" s="1"/>
  <c r="O188" i="96" a="1"/>
  <c r="O188" i="96" s="1"/>
  <c r="N188" i="96" a="1"/>
  <c r="N188" i="96" s="1"/>
  <c r="M188" i="96" a="1"/>
  <c r="M188" i="96" s="1"/>
  <c r="L188" i="96" a="1"/>
  <c r="L188" i="96" s="1"/>
  <c r="K188" i="96" a="1"/>
  <c r="K188" i="96" s="1"/>
  <c r="J188" i="96" a="1"/>
  <c r="J188" i="96" s="1"/>
  <c r="I188" i="96" a="1"/>
  <c r="I188" i="96" s="1"/>
  <c r="H188" i="96" a="1"/>
  <c r="H188" i="96" s="1"/>
  <c r="G188" i="96" a="1"/>
  <c r="G188" i="96" s="1"/>
  <c r="F188" i="96" a="1"/>
  <c r="F188" i="96" s="1"/>
  <c r="E188" i="96" a="1"/>
  <c r="E188" i="96" s="1"/>
  <c r="D188" i="96" a="1"/>
  <c r="D188" i="96" s="1"/>
  <c r="AH187" i="96" a="1"/>
  <c r="AH187" i="96" s="1"/>
  <c r="AG187" i="96" a="1"/>
  <c r="AG187" i="96" s="1"/>
  <c r="AF187" i="96" a="1"/>
  <c r="AF187" i="96" s="1"/>
  <c r="AE187" i="96" a="1"/>
  <c r="AE187" i="96" s="1"/>
  <c r="AD187" i="96" a="1"/>
  <c r="AD187" i="96" s="1"/>
  <c r="AC187" i="96" a="1"/>
  <c r="AC187" i="96" s="1"/>
  <c r="AB187" i="96" a="1"/>
  <c r="AB187" i="96" s="1"/>
  <c r="AA187" i="96" a="1"/>
  <c r="AA187" i="96" s="1"/>
  <c r="Z187" i="96" a="1"/>
  <c r="Z187" i="96" s="1"/>
  <c r="Y187" i="96" a="1"/>
  <c r="Y187" i="96" s="1"/>
  <c r="X187" i="96" a="1"/>
  <c r="X187" i="96" s="1"/>
  <c r="W187" i="96" a="1"/>
  <c r="W187" i="96" s="1"/>
  <c r="V187" i="96" a="1"/>
  <c r="V187" i="96" s="1"/>
  <c r="U187" i="96" a="1"/>
  <c r="U187" i="96" s="1"/>
  <c r="T187" i="96" a="1"/>
  <c r="T187" i="96" s="1"/>
  <c r="S187" i="96" a="1"/>
  <c r="S187" i="96" s="1"/>
  <c r="R187" i="96" a="1"/>
  <c r="R187" i="96" s="1"/>
  <c r="Q187" i="96" a="1"/>
  <c r="Q187" i="96" s="1"/>
  <c r="P187" i="96" a="1"/>
  <c r="P187" i="96" s="1"/>
  <c r="O187" i="96" a="1"/>
  <c r="O187" i="96" s="1"/>
  <c r="N187" i="96" a="1"/>
  <c r="N187" i="96" s="1"/>
  <c r="M187" i="96" a="1"/>
  <c r="M187" i="96" s="1"/>
  <c r="L187" i="96" a="1"/>
  <c r="L187" i="96" s="1"/>
  <c r="K187" i="96" a="1"/>
  <c r="K187" i="96" s="1"/>
  <c r="J187" i="96" a="1"/>
  <c r="J187" i="96" s="1"/>
  <c r="I187" i="96" a="1"/>
  <c r="I187" i="96" s="1"/>
  <c r="H187" i="96" a="1"/>
  <c r="H187" i="96" s="1"/>
  <c r="G187" i="96" a="1"/>
  <c r="G187" i="96" s="1"/>
  <c r="F187" i="96" a="1"/>
  <c r="F187" i="96" s="1"/>
  <c r="E187" i="96" a="1"/>
  <c r="E187" i="96" s="1"/>
  <c r="D187" i="96" a="1"/>
  <c r="D187" i="96" s="1"/>
  <c r="AH186" i="96" a="1"/>
  <c r="AH186" i="96" s="1"/>
  <c r="AG186" i="96" a="1"/>
  <c r="AG186" i="96" s="1"/>
  <c r="AF186" i="96" a="1"/>
  <c r="AF186" i="96" s="1"/>
  <c r="AE186" i="96" a="1"/>
  <c r="AE186" i="96" s="1"/>
  <c r="AD186" i="96" a="1"/>
  <c r="AD186" i="96" s="1"/>
  <c r="AC186" i="96" a="1"/>
  <c r="AC186" i="96" s="1"/>
  <c r="AB186" i="96" a="1"/>
  <c r="AB186" i="96" s="1"/>
  <c r="AA186" i="96" a="1"/>
  <c r="AA186" i="96" s="1"/>
  <c r="Z186" i="96" a="1"/>
  <c r="Z186" i="96" s="1"/>
  <c r="Y186" i="96" a="1"/>
  <c r="Y186" i="96" s="1"/>
  <c r="X186" i="96" a="1"/>
  <c r="X186" i="96" s="1"/>
  <c r="W186" i="96" a="1"/>
  <c r="W186" i="96" s="1"/>
  <c r="V186" i="96" a="1"/>
  <c r="V186" i="96" s="1"/>
  <c r="U186" i="96" a="1"/>
  <c r="U186" i="96" s="1"/>
  <c r="T186" i="96" a="1"/>
  <c r="T186" i="96" s="1"/>
  <c r="S186" i="96" a="1"/>
  <c r="S186" i="96" s="1"/>
  <c r="R186" i="96" a="1"/>
  <c r="R186" i="96" s="1"/>
  <c r="Q186" i="96" a="1"/>
  <c r="Q186" i="96" s="1"/>
  <c r="P186" i="96" a="1"/>
  <c r="P186" i="96" s="1"/>
  <c r="O186" i="96" a="1"/>
  <c r="O186" i="96" s="1"/>
  <c r="N186" i="96" a="1"/>
  <c r="N186" i="96" s="1"/>
  <c r="M186" i="96" a="1"/>
  <c r="M186" i="96" s="1"/>
  <c r="L186" i="96" a="1"/>
  <c r="L186" i="96" s="1"/>
  <c r="K186" i="96" a="1"/>
  <c r="K186" i="96" s="1"/>
  <c r="J186" i="96" a="1"/>
  <c r="J186" i="96" s="1"/>
  <c r="I186" i="96" a="1"/>
  <c r="I186" i="96" s="1"/>
  <c r="H186" i="96" a="1"/>
  <c r="H186" i="96" s="1"/>
  <c r="G186" i="96" a="1"/>
  <c r="G186" i="96" s="1"/>
  <c r="F186" i="96" a="1"/>
  <c r="F186" i="96" s="1"/>
  <c r="E186" i="96" a="1"/>
  <c r="E186" i="96" s="1"/>
  <c r="D186" i="96" a="1"/>
  <c r="D186" i="96" s="1"/>
  <c r="AH185" i="96" a="1"/>
  <c r="AH185" i="96" s="1"/>
  <c r="AG185" i="96" a="1"/>
  <c r="AG185" i="96" s="1"/>
  <c r="AF185" i="96" a="1"/>
  <c r="AF185" i="96" s="1"/>
  <c r="AE185" i="96" a="1"/>
  <c r="AE185" i="96" s="1"/>
  <c r="AD185" i="96" a="1"/>
  <c r="AD185" i="96" s="1"/>
  <c r="AC185" i="96" a="1"/>
  <c r="AC185" i="96" s="1"/>
  <c r="AB185" i="96" a="1"/>
  <c r="AB185" i="96" s="1"/>
  <c r="AA185" i="96" a="1"/>
  <c r="AA185" i="96" s="1"/>
  <c r="Z185" i="96" a="1"/>
  <c r="Z185" i="96" s="1"/>
  <c r="Y185" i="96" a="1"/>
  <c r="Y185" i="96" s="1"/>
  <c r="X185" i="96" a="1"/>
  <c r="X185" i="96" s="1"/>
  <c r="W185" i="96" a="1"/>
  <c r="W185" i="96" s="1"/>
  <c r="V185" i="96" a="1"/>
  <c r="V185" i="96" s="1"/>
  <c r="U185" i="96" a="1"/>
  <c r="U185" i="96" s="1"/>
  <c r="T185" i="96" a="1"/>
  <c r="T185" i="96" s="1"/>
  <c r="S185" i="96" a="1"/>
  <c r="S185" i="96" s="1"/>
  <c r="R185" i="96" a="1"/>
  <c r="R185" i="96" s="1"/>
  <c r="Q185" i="96" a="1"/>
  <c r="Q185" i="96" s="1"/>
  <c r="P185" i="96" a="1"/>
  <c r="P185" i="96" s="1"/>
  <c r="O185" i="96" a="1"/>
  <c r="O185" i="96" s="1"/>
  <c r="N185" i="96" a="1"/>
  <c r="N185" i="96" s="1"/>
  <c r="M185" i="96" a="1"/>
  <c r="M185" i="96" s="1"/>
  <c r="L185" i="96" a="1"/>
  <c r="L185" i="96" s="1"/>
  <c r="K185" i="96" a="1"/>
  <c r="K185" i="96" s="1"/>
  <c r="J185" i="96" a="1"/>
  <c r="J185" i="96" s="1"/>
  <c r="I185" i="96" a="1"/>
  <c r="I185" i="96" s="1"/>
  <c r="H185" i="96" a="1"/>
  <c r="H185" i="96" s="1"/>
  <c r="G185" i="96" a="1"/>
  <c r="G185" i="96" s="1"/>
  <c r="F185" i="96" a="1"/>
  <c r="F185" i="96" s="1"/>
  <c r="E185" i="96" a="1"/>
  <c r="E185" i="96" s="1"/>
  <c r="D185" i="96" a="1"/>
  <c r="D185" i="96" s="1"/>
  <c r="AH184" i="96" a="1"/>
  <c r="AH184" i="96" s="1"/>
  <c r="AG184" i="96" a="1"/>
  <c r="AG184" i="96" s="1"/>
  <c r="AF184" i="96" a="1"/>
  <c r="AF184" i="96" s="1"/>
  <c r="AE184" i="96" a="1"/>
  <c r="AE184" i="96" s="1"/>
  <c r="AD184" i="96" a="1"/>
  <c r="AD184" i="96" s="1"/>
  <c r="AC184" i="96" a="1"/>
  <c r="AC184" i="96" s="1"/>
  <c r="AB184" i="96" a="1"/>
  <c r="AB184" i="96" s="1"/>
  <c r="AA184" i="96" a="1"/>
  <c r="AA184" i="96" s="1"/>
  <c r="Z184" i="96" a="1"/>
  <c r="Z184" i="96" s="1"/>
  <c r="Y184" i="96" a="1"/>
  <c r="Y184" i="96" s="1"/>
  <c r="X184" i="96" a="1"/>
  <c r="X184" i="96" s="1"/>
  <c r="W184" i="96" a="1"/>
  <c r="W184" i="96" s="1"/>
  <c r="V184" i="96" a="1"/>
  <c r="V184" i="96" s="1"/>
  <c r="U184" i="96" a="1"/>
  <c r="U184" i="96" s="1"/>
  <c r="T184" i="96" a="1"/>
  <c r="T184" i="96" s="1"/>
  <c r="S184" i="96" a="1"/>
  <c r="S184" i="96" s="1"/>
  <c r="R184" i="96" a="1"/>
  <c r="R184" i="96" s="1"/>
  <c r="Q184" i="96" a="1"/>
  <c r="Q184" i="96" s="1"/>
  <c r="P184" i="96" a="1"/>
  <c r="P184" i="96" s="1"/>
  <c r="O184" i="96" a="1"/>
  <c r="O184" i="96" s="1"/>
  <c r="N184" i="96" a="1"/>
  <c r="N184" i="96" s="1"/>
  <c r="M184" i="96" a="1"/>
  <c r="M184" i="96" s="1"/>
  <c r="L184" i="96" a="1"/>
  <c r="L184" i="96" s="1"/>
  <c r="K184" i="96" a="1"/>
  <c r="K184" i="96" s="1"/>
  <c r="J184" i="96" a="1"/>
  <c r="J184" i="96" s="1"/>
  <c r="I184" i="96" a="1"/>
  <c r="I184" i="96" s="1"/>
  <c r="H184" i="96" a="1"/>
  <c r="H184" i="96" s="1"/>
  <c r="G184" i="96" a="1"/>
  <c r="G184" i="96" s="1"/>
  <c r="F184" i="96" a="1"/>
  <c r="F184" i="96" s="1"/>
  <c r="E184" i="96" a="1"/>
  <c r="E184" i="96" s="1"/>
  <c r="D184" i="96" a="1"/>
  <c r="D184" i="96" s="1"/>
  <c r="AH183" i="96" a="1"/>
  <c r="AH183" i="96" s="1"/>
  <c r="AG183" i="96" a="1"/>
  <c r="AG183" i="96" s="1"/>
  <c r="AF183" i="96" a="1"/>
  <c r="AF183" i="96" s="1"/>
  <c r="AE183" i="96" a="1"/>
  <c r="AE183" i="96" s="1"/>
  <c r="AD183" i="96" a="1"/>
  <c r="AD183" i="96" s="1"/>
  <c r="AC183" i="96" a="1"/>
  <c r="AC183" i="96" s="1"/>
  <c r="AB183" i="96" a="1"/>
  <c r="AB183" i="96" s="1"/>
  <c r="AA183" i="96" a="1"/>
  <c r="AA183" i="96" s="1"/>
  <c r="Z183" i="96" a="1"/>
  <c r="Z183" i="96" s="1"/>
  <c r="Y183" i="96" a="1"/>
  <c r="Y183" i="96" s="1"/>
  <c r="X183" i="96" a="1"/>
  <c r="X183" i="96" s="1"/>
  <c r="W183" i="96" a="1"/>
  <c r="W183" i="96" s="1"/>
  <c r="V183" i="96" a="1"/>
  <c r="V183" i="96" s="1"/>
  <c r="U183" i="96" a="1"/>
  <c r="U183" i="96" s="1"/>
  <c r="T183" i="96" a="1"/>
  <c r="T183" i="96" s="1"/>
  <c r="S183" i="96" a="1"/>
  <c r="S183" i="96" s="1"/>
  <c r="R183" i="96" a="1"/>
  <c r="R183" i="96" s="1"/>
  <c r="Q183" i="96" a="1"/>
  <c r="Q183" i="96" s="1"/>
  <c r="P183" i="96" a="1"/>
  <c r="P183" i="96" s="1"/>
  <c r="O183" i="96" a="1"/>
  <c r="O183" i="96" s="1"/>
  <c r="N183" i="96" a="1"/>
  <c r="N183" i="96" s="1"/>
  <c r="M183" i="96" a="1"/>
  <c r="M183" i="96" s="1"/>
  <c r="L183" i="96" a="1"/>
  <c r="L183" i="96" s="1"/>
  <c r="K183" i="96" a="1"/>
  <c r="K183" i="96" s="1"/>
  <c r="J183" i="96" a="1"/>
  <c r="J183" i="96" s="1"/>
  <c r="I183" i="96" a="1"/>
  <c r="I183" i="96" s="1"/>
  <c r="H183" i="96" a="1"/>
  <c r="H183" i="96" s="1"/>
  <c r="G183" i="96" a="1"/>
  <c r="G183" i="96" s="1"/>
  <c r="F183" i="96" a="1"/>
  <c r="F183" i="96" s="1"/>
  <c r="E183" i="96" a="1"/>
  <c r="E183" i="96" s="1"/>
  <c r="D183" i="96" a="1"/>
  <c r="D183" i="96" s="1"/>
  <c r="AH182" i="96" a="1"/>
  <c r="AH182" i="96" s="1"/>
  <c r="AG182" i="96" a="1"/>
  <c r="AG182" i="96" s="1"/>
  <c r="AF182" i="96" a="1"/>
  <c r="AF182" i="96" s="1"/>
  <c r="AE182" i="96" a="1"/>
  <c r="AE182" i="96" s="1"/>
  <c r="AD182" i="96" a="1"/>
  <c r="AD182" i="96" s="1"/>
  <c r="AC182" i="96" a="1"/>
  <c r="AC182" i="96" s="1"/>
  <c r="AB182" i="96" a="1"/>
  <c r="AB182" i="96" s="1"/>
  <c r="AA182" i="96" a="1"/>
  <c r="AA182" i="96" s="1"/>
  <c r="Z182" i="96" a="1"/>
  <c r="Z182" i="96" s="1"/>
  <c r="Y182" i="96" a="1"/>
  <c r="Y182" i="96" s="1"/>
  <c r="X182" i="96" a="1"/>
  <c r="X182" i="96" s="1"/>
  <c r="W182" i="96" a="1"/>
  <c r="W182" i="96" s="1"/>
  <c r="V182" i="96" a="1"/>
  <c r="V182" i="96" s="1"/>
  <c r="U182" i="96" a="1"/>
  <c r="U182" i="96" s="1"/>
  <c r="T182" i="96" a="1"/>
  <c r="T182" i="96" s="1"/>
  <c r="S182" i="96" a="1"/>
  <c r="S182" i="96" s="1"/>
  <c r="R182" i="96" a="1"/>
  <c r="R182" i="96" s="1"/>
  <c r="Q182" i="96" a="1"/>
  <c r="Q182" i="96" s="1"/>
  <c r="P182" i="96" a="1"/>
  <c r="P182" i="96" s="1"/>
  <c r="O182" i="96" a="1"/>
  <c r="O182" i="96" s="1"/>
  <c r="N182" i="96" a="1"/>
  <c r="N182" i="96" s="1"/>
  <c r="M182" i="96" a="1"/>
  <c r="M182" i="96" s="1"/>
  <c r="L182" i="96" a="1"/>
  <c r="L182" i="96" s="1"/>
  <c r="K182" i="96" a="1"/>
  <c r="K182" i="96" s="1"/>
  <c r="J182" i="96" a="1"/>
  <c r="J182" i="96" s="1"/>
  <c r="I182" i="96" a="1"/>
  <c r="I182" i="96" s="1"/>
  <c r="H182" i="96" a="1"/>
  <c r="H182" i="96" s="1"/>
  <c r="G182" i="96" a="1"/>
  <c r="G182" i="96" s="1"/>
  <c r="F182" i="96" a="1"/>
  <c r="F182" i="96" s="1"/>
  <c r="E182" i="96" a="1"/>
  <c r="E182" i="96" s="1"/>
  <c r="D182" i="96" a="1"/>
  <c r="D182" i="96" s="1"/>
  <c r="AH181" i="96" a="1"/>
  <c r="AH181" i="96" s="1"/>
  <c r="AG181" i="96" a="1"/>
  <c r="AG181" i="96" s="1"/>
  <c r="AF181" i="96" a="1"/>
  <c r="AF181" i="96" s="1"/>
  <c r="AE181" i="96" a="1"/>
  <c r="AE181" i="96" s="1"/>
  <c r="AD181" i="96" a="1"/>
  <c r="AD181" i="96" s="1"/>
  <c r="AC181" i="96" a="1"/>
  <c r="AC181" i="96" s="1"/>
  <c r="AB181" i="96" a="1"/>
  <c r="AB181" i="96" s="1"/>
  <c r="AA181" i="96" a="1"/>
  <c r="AA181" i="96" s="1"/>
  <c r="Z181" i="96" a="1"/>
  <c r="Z181" i="96" s="1"/>
  <c r="Y181" i="96" a="1"/>
  <c r="Y181" i="96" s="1"/>
  <c r="X181" i="96" a="1"/>
  <c r="X181" i="96" s="1"/>
  <c r="W181" i="96" a="1"/>
  <c r="W181" i="96" s="1"/>
  <c r="V181" i="96" a="1"/>
  <c r="V181" i="96" s="1"/>
  <c r="U181" i="96" a="1"/>
  <c r="U181" i="96" s="1"/>
  <c r="T181" i="96" a="1"/>
  <c r="T181" i="96" s="1"/>
  <c r="S181" i="96" a="1"/>
  <c r="S181" i="96" s="1"/>
  <c r="R181" i="96" a="1"/>
  <c r="R181" i="96" s="1"/>
  <c r="Q181" i="96" a="1"/>
  <c r="Q181" i="96" s="1"/>
  <c r="P181" i="96" a="1"/>
  <c r="P181" i="96" s="1"/>
  <c r="O181" i="96" a="1"/>
  <c r="O181" i="96" s="1"/>
  <c r="N181" i="96" a="1"/>
  <c r="N181" i="96" s="1"/>
  <c r="M181" i="96" a="1"/>
  <c r="M181" i="96" s="1"/>
  <c r="L181" i="96" a="1"/>
  <c r="L181" i="96" s="1"/>
  <c r="K181" i="96" a="1"/>
  <c r="K181" i="96" s="1"/>
  <c r="J181" i="96" a="1"/>
  <c r="J181" i="96" s="1"/>
  <c r="I181" i="96" a="1"/>
  <c r="I181" i="96" s="1"/>
  <c r="H181" i="96" a="1"/>
  <c r="H181" i="96" s="1"/>
  <c r="G181" i="96" a="1"/>
  <c r="G181" i="96" s="1"/>
  <c r="F181" i="96" a="1"/>
  <c r="F181" i="96" s="1"/>
  <c r="E181" i="96" a="1"/>
  <c r="E181" i="96" s="1"/>
  <c r="D181" i="96" a="1"/>
  <c r="D181" i="96" s="1"/>
  <c r="AH180" i="96" a="1"/>
  <c r="AH180" i="96" s="1"/>
  <c r="AG180" i="96" a="1"/>
  <c r="AG180" i="96" s="1"/>
  <c r="AF180" i="96" a="1"/>
  <c r="AF180" i="96" s="1"/>
  <c r="AE180" i="96" a="1"/>
  <c r="AE180" i="96" s="1"/>
  <c r="AD180" i="96" a="1"/>
  <c r="AD180" i="96" s="1"/>
  <c r="AC180" i="96" a="1"/>
  <c r="AC180" i="96" s="1"/>
  <c r="AB180" i="96" a="1"/>
  <c r="AB180" i="96" s="1"/>
  <c r="AA180" i="96" a="1"/>
  <c r="AA180" i="96" s="1"/>
  <c r="Z180" i="96" a="1"/>
  <c r="Z180" i="96" s="1"/>
  <c r="Y180" i="96" a="1"/>
  <c r="Y180" i="96" s="1"/>
  <c r="X180" i="96" a="1"/>
  <c r="X180" i="96" s="1"/>
  <c r="W180" i="96" a="1"/>
  <c r="W180" i="96" s="1"/>
  <c r="V180" i="96" a="1"/>
  <c r="V180" i="96" s="1"/>
  <c r="U180" i="96" a="1"/>
  <c r="U180" i="96" s="1"/>
  <c r="T180" i="96" a="1"/>
  <c r="T180" i="96" s="1"/>
  <c r="S180" i="96" a="1"/>
  <c r="S180" i="96" s="1"/>
  <c r="R180" i="96" a="1"/>
  <c r="R180" i="96" s="1"/>
  <c r="Q180" i="96" a="1"/>
  <c r="Q180" i="96" s="1"/>
  <c r="P180" i="96" a="1"/>
  <c r="P180" i="96" s="1"/>
  <c r="O180" i="96" a="1"/>
  <c r="O180" i="96" s="1"/>
  <c r="N180" i="96" a="1"/>
  <c r="N180" i="96" s="1"/>
  <c r="M180" i="96" a="1"/>
  <c r="M180" i="96" s="1"/>
  <c r="L180" i="96" a="1"/>
  <c r="L180" i="96" s="1"/>
  <c r="K180" i="96" a="1"/>
  <c r="K180" i="96" s="1"/>
  <c r="J180" i="96" a="1"/>
  <c r="J180" i="96" s="1"/>
  <c r="I180" i="96" a="1"/>
  <c r="I180" i="96" s="1"/>
  <c r="H180" i="96" a="1"/>
  <c r="H180" i="96" s="1"/>
  <c r="G180" i="96" a="1"/>
  <c r="G180" i="96" s="1"/>
  <c r="F180" i="96" a="1"/>
  <c r="F180" i="96" s="1"/>
  <c r="E180" i="96" a="1"/>
  <c r="E180" i="96" s="1"/>
  <c r="D180" i="96" a="1"/>
  <c r="D180" i="96" s="1"/>
  <c r="AH179" i="96" a="1"/>
  <c r="AH179" i="96" s="1"/>
  <c r="AG179" i="96" a="1"/>
  <c r="AG179" i="96" s="1"/>
  <c r="AF179" i="96" a="1"/>
  <c r="AF179" i="96" s="1"/>
  <c r="AE179" i="96" a="1"/>
  <c r="AE179" i="96" s="1"/>
  <c r="AD179" i="96" a="1"/>
  <c r="AD179" i="96" s="1"/>
  <c r="AC179" i="96" a="1"/>
  <c r="AC179" i="96" s="1"/>
  <c r="AB179" i="96" a="1"/>
  <c r="AB179" i="96" s="1"/>
  <c r="AA179" i="96" a="1"/>
  <c r="AA179" i="96" s="1"/>
  <c r="Z179" i="96" a="1"/>
  <c r="Z179" i="96" s="1"/>
  <c r="Y179" i="96" a="1"/>
  <c r="Y179" i="96" s="1"/>
  <c r="X179" i="96" a="1"/>
  <c r="X179" i="96" s="1"/>
  <c r="W179" i="96" a="1"/>
  <c r="W179" i="96" s="1"/>
  <c r="V179" i="96" a="1"/>
  <c r="V179" i="96" s="1"/>
  <c r="U179" i="96" a="1"/>
  <c r="U179" i="96" s="1"/>
  <c r="T179" i="96" a="1"/>
  <c r="T179" i="96" s="1"/>
  <c r="S179" i="96" a="1"/>
  <c r="S179" i="96" s="1"/>
  <c r="R179" i="96" a="1"/>
  <c r="R179" i="96" s="1"/>
  <c r="Q179" i="96" a="1"/>
  <c r="Q179" i="96" s="1"/>
  <c r="P179" i="96" a="1"/>
  <c r="P179" i="96" s="1"/>
  <c r="O179" i="96" a="1"/>
  <c r="O179" i="96" s="1"/>
  <c r="N179" i="96" a="1"/>
  <c r="N179" i="96" s="1"/>
  <c r="M179" i="96" a="1"/>
  <c r="M179" i="96" s="1"/>
  <c r="L179" i="96" a="1"/>
  <c r="L179" i="96" s="1"/>
  <c r="K179" i="96" a="1"/>
  <c r="K179" i="96" s="1"/>
  <c r="J179" i="96" a="1"/>
  <c r="J179" i="96" s="1"/>
  <c r="I179" i="96" a="1"/>
  <c r="I179" i="96" s="1"/>
  <c r="H179" i="96" a="1"/>
  <c r="H179" i="96" s="1"/>
  <c r="G179" i="96" a="1"/>
  <c r="G179" i="96" s="1"/>
  <c r="F179" i="96" a="1"/>
  <c r="F179" i="96" s="1"/>
  <c r="E179" i="96" a="1"/>
  <c r="E179" i="96" s="1"/>
  <c r="D179" i="96" a="1"/>
  <c r="D179" i="96" s="1"/>
  <c r="AH178" i="96" a="1"/>
  <c r="AH178" i="96" s="1"/>
  <c r="AG178" i="96" a="1"/>
  <c r="AG178" i="96" s="1"/>
  <c r="AF178" i="96" a="1"/>
  <c r="AF178" i="96" s="1"/>
  <c r="AE178" i="96" a="1"/>
  <c r="AE178" i="96" s="1"/>
  <c r="AD178" i="96" a="1"/>
  <c r="AD178" i="96" s="1"/>
  <c r="AC178" i="96" a="1"/>
  <c r="AC178" i="96" s="1"/>
  <c r="AB178" i="96" a="1"/>
  <c r="AB178" i="96" s="1"/>
  <c r="AA178" i="96" a="1"/>
  <c r="AA178" i="96" s="1"/>
  <c r="Z178" i="96" a="1"/>
  <c r="Z178" i="96" s="1"/>
  <c r="Y178" i="96" a="1"/>
  <c r="Y178" i="96" s="1"/>
  <c r="X178" i="96" a="1"/>
  <c r="X178" i="96" s="1"/>
  <c r="W178" i="96" a="1"/>
  <c r="W178" i="96" s="1"/>
  <c r="V178" i="96" a="1"/>
  <c r="V178" i="96" s="1"/>
  <c r="U178" i="96" a="1"/>
  <c r="U178" i="96" s="1"/>
  <c r="T178" i="96" a="1"/>
  <c r="T178" i="96" s="1"/>
  <c r="S178" i="96" a="1"/>
  <c r="S178" i="96" s="1"/>
  <c r="R178" i="96" a="1"/>
  <c r="R178" i="96" s="1"/>
  <c r="Q178" i="96" a="1"/>
  <c r="Q178" i="96" s="1"/>
  <c r="P178" i="96" a="1"/>
  <c r="P178" i="96" s="1"/>
  <c r="O178" i="96" a="1"/>
  <c r="O178" i="96" s="1"/>
  <c r="N178" i="96" a="1"/>
  <c r="N178" i="96" s="1"/>
  <c r="M178" i="96" a="1"/>
  <c r="M178" i="96" s="1"/>
  <c r="L178" i="96" a="1"/>
  <c r="L178" i="96" s="1"/>
  <c r="K178" i="96" a="1"/>
  <c r="K178" i="96" s="1"/>
  <c r="J178" i="96" a="1"/>
  <c r="J178" i="96" s="1"/>
  <c r="I178" i="96" a="1"/>
  <c r="I178" i="96" s="1"/>
  <c r="H178" i="96" a="1"/>
  <c r="H178" i="96" s="1"/>
  <c r="G178" i="96" a="1"/>
  <c r="G178" i="96" s="1"/>
  <c r="F178" i="96" a="1"/>
  <c r="F178" i="96" s="1"/>
  <c r="E178" i="96" a="1"/>
  <c r="E178" i="96" s="1"/>
  <c r="D178" i="96" a="1"/>
  <c r="D178" i="96" s="1"/>
  <c r="AH177" i="96" a="1"/>
  <c r="AH177" i="96" s="1"/>
  <c r="AG177" i="96" a="1"/>
  <c r="AG177" i="96" s="1"/>
  <c r="AF177" i="96" a="1"/>
  <c r="AF177" i="96" s="1"/>
  <c r="AE177" i="96" a="1"/>
  <c r="AE177" i="96" s="1"/>
  <c r="AD177" i="96" a="1"/>
  <c r="AD177" i="96" s="1"/>
  <c r="AC177" i="96" a="1"/>
  <c r="AC177" i="96" s="1"/>
  <c r="AB177" i="96" a="1"/>
  <c r="AB177" i="96" s="1"/>
  <c r="AA177" i="96" a="1"/>
  <c r="AA177" i="96" s="1"/>
  <c r="Z177" i="96" a="1"/>
  <c r="Z177" i="96" s="1"/>
  <c r="Y177" i="96" a="1"/>
  <c r="Y177" i="96" s="1"/>
  <c r="X177" i="96" a="1"/>
  <c r="X177" i="96" s="1"/>
  <c r="W177" i="96" a="1"/>
  <c r="W177" i="96" s="1"/>
  <c r="V177" i="96" a="1"/>
  <c r="V177" i="96" s="1"/>
  <c r="U177" i="96" a="1"/>
  <c r="U177" i="96" s="1"/>
  <c r="T177" i="96" a="1"/>
  <c r="T177" i="96" s="1"/>
  <c r="S177" i="96" a="1"/>
  <c r="S177" i="96" s="1"/>
  <c r="R177" i="96" a="1"/>
  <c r="R177" i="96" s="1"/>
  <c r="Q177" i="96" a="1"/>
  <c r="Q177" i="96" s="1"/>
  <c r="P177" i="96" a="1"/>
  <c r="P177" i="96" s="1"/>
  <c r="O177" i="96" a="1"/>
  <c r="O177" i="96" s="1"/>
  <c r="N177" i="96" a="1"/>
  <c r="N177" i="96" s="1"/>
  <c r="M177" i="96" a="1"/>
  <c r="M177" i="96" s="1"/>
  <c r="L177" i="96" a="1"/>
  <c r="L177" i="96" s="1"/>
  <c r="K177" i="96" a="1"/>
  <c r="K177" i="96" s="1"/>
  <c r="J177" i="96" a="1"/>
  <c r="J177" i="96" s="1"/>
  <c r="I177" i="96" a="1"/>
  <c r="I177" i="96" s="1"/>
  <c r="H177" i="96" a="1"/>
  <c r="H177" i="96" s="1"/>
  <c r="G177" i="96" a="1"/>
  <c r="G177" i="96" s="1"/>
  <c r="F177" i="96" a="1"/>
  <c r="F177" i="96" s="1"/>
  <c r="E177" i="96" a="1"/>
  <c r="E177" i="96" s="1"/>
  <c r="D177" i="96" a="1"/>
  <c r="D177" i="96" s="1"/>
  <c r="AH176" i="96" a="1"/>
  <c r="AH176" i="96" s="1"/>
  <c r="AG176" i="96" a="1"/>
  <c r="AG176" i="96" s="1"/>
  <c r="AF176" i="96" a="1"/>
  <c r="AF176" i="96" s="1"/>
  <c r="AE176" i="96" a="1"/>
  <c r="AE176" i="96" s="1"/>
  <c r="AD176" i="96" a="1"/>
  <c r="AD176" i="96" s="1"/>
  <c r="AC176" i="96" a="1"/>
  <c r="AC176" i="96" s="1"/>
  <c r="AB176" i="96" a="1"/>
  <c r="AB176" i="96" s="1"/>
  <c r="AA176" i="96" a="1"/>
  <c r="AA176" i="96" s="1"/>
  <c r="Z176" i="96" a="1"/>
  <c r="Z176" i="96" s="1"/>
  <c r="Y176" i="96" a="1"/>
  <c r="Y176" i="96" s="1"/>
  <c r="X176" i="96" a="1"/>
  <c r="X176" i="96" s="1"/>
  <c r="W176" i="96" a="1"/>
  <c r="W176" i="96" s="1"/>
  <c r="V176" i="96" a="1"/>
  <c r="V176" i="96" s="1"/>
  <c r="U176" i="96" a="1"/>
  <c r="U176" i="96" s="1"/>
  <c r="T176" i="96" a="1"/>
  <c r="T176" i="96" s="1"/>
  <c r="S176" i="96" a="1"/>
  <c r="S176" i="96" s="1"/>
  <c r="R176" i="96" a="1"/>
  <c r="R176" i="96" s="1"/>
  <c r="Q176" i="96" a="1"/>
  <c r="Q176" i="96" s="1"/>
  <c r="P176" i="96" a="1"/>
  <c r="P176" i="96" s="1"/>
  <c r="O176" i="96" a="1"/>
  <c r="O176" i="96" s="1"/>
  <c r="N176" i="96" a="1"/>
  <c r="N176" i="96" s="1"/>
  <c r="M176" i="96" a="1"/>
  <c r="M176" i="96" s="1"/>
  <c r="L176" i="96" a="1"/>
  <c r="L176" i="96" s="1"/>
  <c r="K176" i="96" a="1"/>
  <c r="K176" i="96" s="1"/>
  <c r="J176" i="96" a="1"/>
  <c r="J176" i="96" s="1"/>
  <c r="I176" i="96" a="1"/>
  <c r="I176" i="96" s="1"/>
  <c r="H176" i="96" a="1"/>
  <c r="H176" i="96" s="1"/>
  <c r="G176" i="96" a="1"/>
  <c r="G176" i="96" s="1"/>
  <c r="F176" i="96" a="1"/>
  <c r="F176" i="96" s="1"/>
  <c r="E176" i="96" a="1"/>
  <c r="E176" i="96" s="1"/>
  <c r="D176" i="96" a="1"/>
  <c r="D176" i="96" s="1"/>
  <c r="AH175" i="96" a="1"/>
  <c r="AH175" i="96" s="1"/>
  <c r="AG175" i="96" a="1"/>
  <c r="AG175" i="96" s="1"/>
  <c r="AF175" i="96" a="1"/>
  <c r="AF175" i="96" s="1"/>
  <c r="AE175" i="96" a="1"/>
  <c r="AE175" i="96" s="1"/>
  <c r="AD175" i="96" a="1"/>
  <c r="AD175" i="96" s="1"/>
  <c r="AC175" i="96" a="1"/>
  <c r="AC175" i="96" s="1"/>
  <c r="AB175" i="96" a="1"/>
  <c r="AB175" i="96" s="1"/>
  <c r="AA175" i="96" a="1"/>
  <c r="AA175" i="96" s="1"/>
  <c r="Z175" i="96" a="1"/>
  <c r="Z175" i="96" s="1"/>
  <c r="Y175" i="96" a="1"/>
  <c r="Y175" i="96" s="1"/>
  <c r="X175" i="96" a="1"/>
  <c r="X175" i="96" s="1"/>
  <c r="W175" i="96" a="1"/>
  <c r="W175" i="96" s="1"/>
  <c r="V175" i="96" a="1"/>
  <c r="V175" i="96" s="1"/>
  <c r="U175" i="96" a="1"/>
  <c r="U175" i="96" s="1"/>
  <c r="T175" i="96" a="1"/>
  <c r="T175" i="96" s="1"/>
  <c r="S175" i="96" a="1"/>
  <c r="S175" i="96" s="1"/>
  <c r="R175" i="96" a="1"/>
  <c r="R175" i="96" s="1"/>
  <c r="Q175" i="96" a="1"/>
  <c r="Q175" i="96" s="1"/>
  <c r="P175" i="96" a="1"/>
  <c r="P175" i="96" s="1"/>
  <c r="O175" i="96" a="1"/>
  <c r="O175" i="96" s="1"/>
  <c r="N175" i="96" a="1"/>
  <c r="N175" i="96" s="1"/>
  <c r="M175" i="96" a="1"/>
  <c r="M175" i="96" s="1"/>
  <c r="L175" i="96" a="1"/>
  <c r="L175" i="96" s="1"/>
  <c r="K175" i="96" a="1"/>
  <c r="K175" i="96" s="1"/>
  <c r="J175" i="96" a="1"/>
  <c r="J175" i="96" s="1"/>
  <c r="I175" i="96" a="1"/>
  <c r="I175" i="96" s="1"/>
  <c r="H175" i="96" a="1"/>
  <c r="H175" i="96" s="1"/>
  <c r="G175" i="96" a="1"/>
  <c r="G175" i="96" s="1"/>
  <c r="F175" i="96" a="1"/>
  <c r="F175" i="96" s="1"/>
  <c r="E175" i="96" a="1"/>
  <c r="E175" i="96" s="1"/>
  <c r="D175" i="96" a="1"/>
  <c r="D175" i="96" s="1"/>
  <c r="AH174" i="96" a="1"/>
  <c r="AH174" i="96" s="1"/>
  <c r="AG174" i="96" a="1"/>
  <c r="AG174" i="96" s="1"/>
  <c r="AF174" i="96" a="1"/>
  <c r="AF174" i="96" s="1"/>
  <c r="AE174" i="96" a="1"/>
  <c r="AE174" i="96" s="1"/>
  <c r="AD174" i="96" a="1"/>
  <c r="AD174" i="96" s="1"/>
  <c r="AC174" i="96" a="1"/>
  <c r="AC174" i="96" s="1"/>
  <c r="AB174" i="96" a="1"/>
  <c r="AB174" i="96" s="1"/>
  <c r="AA174" i="96" a="1"/>
  <c r="AA174" i="96" s="1"/>
  <c r="Z174" i="96" a="1"/>
  <c r="Z174" i="96" s="1"/>
  <c r="Y174" i="96" a="1"/>
  <c r="Y174" i="96" s="1"/>
  <c r="X174" i="96" a="1"/>
  <c r="X174" i="96" s="1"/>
  <c r="W174" i="96" a="1"/>
  <c r="W174" i="96" s="1"/>
  <c r="V174" i="96" a="1"/>
  <c r="V174" i="96" s="1"/>
  <c r="U174" i="96" a="1"/>
  <c r="U174" i="96" s="1"/>
  <c r="T174" i="96" a="1"/>
  <c r="T174" i="96" s="1"/>
  <c r="S174" i="96" a="1"/>
  <c r="S174" i="96" s="1"/>
  <c r="R174" i="96" a="1"/>
  <c r="R174" i="96" s="1"/>
  <c r="Q174" i="96" a="1"/>
  <c r="Q174" i="96" s="1"/>
  <c r="P174" i="96" a="1"/>
  <c r="P174" i="96" s="1"/>
  <c r="O174" i="96" a="1"/>
  <c r="O174" i="96" s="1"/>
  <c r="N174" i="96" a="1"/>
  <c r="N174" i="96" s="1"/>
  <c r="M174" i="96" a="1"/>
  <c r="M174" i="96" s="1"/>
  <c r="L174" i="96" a="1"/>
  <c r="L174" i="96" s="1"/>
  <c r="K174" i="96" a="1"/>
  <c r="K174" i="96" s="1"/>
  <c r="J174" i="96" a="1"/>
  <c r="J174" i="96" s="1"/>
  <c r="I174" i="96" a="1"/>
  <c r="I174" i="96" s="1"/>
  <c r="H174" i="96" a="1"/>
  <c r="H174" i="96" s="1"/>
  <c r="G174" i="96" a="1"/>
  <c r="G174" i="96" s="1"/>
  <c r="F174" i="96" a="1"/>
  <c r="F174" i="96" s="1"/>
  <c r="E174" i="96" a="1"/>
  <c r="E174" i="96" s="1"/>
  <c r="D174" i="96" a="1"/>
  <c r="D174" i="96" s="1"/>
  <c r="AH173" i="96" a="1"/>
  <c r="AH173" i="96" s="1"/>
  <c r="AG173" i="96" a="1"/>
  <c r="AG173" i="96" s="1"/>
  <c r="AF173" i="96" a="1"/>
  <c r="AF173" i="96" s="1"/>
  <c r="AE173" i="96" a="1"/>
  <c r="AE173" i="96" s="1"/>
  <c r="AD173" i="96" a="1"/>
  <c r="AD173" i="96" s="1"/>
  <c r="AC173" i="96" a="1"/>
  <c r="AC173" i="96" s="1"/>
  <c r="AB173" i="96" a="1"/>
  <c r="AB173" i="96" s="1"/>
  <c r="AA173" i="96" a="1"/>
  <c r="AA173" i="96" s="1"/>
  <c r="Z173" i="96" a="1"/>
  <c r="Z173" i="96" s="1"/>
  <c r="Y173" i="96" a="1"/>
  <c r="Y173" i="96" s="1"/>
  <c r="X173" i="96" a="1"/>
  <c r="X173" i="96" s="1"/>
  <c r="W173" i="96" a="1"/>
  <c r="W173" i="96" s="1"/>
  <c r="V173" i="96" a="1"/>
  <c r="V173" i="96" s="1"/>
  <c r="U173" i="96" a="1"/>
  <c r="U173" i="96" s="1"/>
  <c r="T173" i="96" a="1"/>
  <c r="T173" i="96" s="1"/>
  <c r="S173" i="96" a="1"/>
  <c r="S173" i="96" s="1"/>
  <c r="R173" i="96" a="1"/>
  <c r="R173" i="96" s="1"/>
  <c r="Q173" i="96" a="1"/>
  <c r="Q173" i="96" s="1"/>
  <c r="P173" i="96" a="1"/>
  <c r="P173" i="96" s="1"/>
  <c r="O173" i="96" a="1"/>
  <c r="O173" i="96" s="1"/>
  <c r="N173" i="96" a="1"/>
  <c r="N173" i="96" s="1"/>
  <c r="M173" i="96" a="1"/>
  <c r="M173" i="96" s="1"/>
  <c r="L173" i="96" a="1"/>
  <c r="L173" i="96" s="1"/>
  <c r="K173" i="96" a="1"/>
  <c r="K173" i="96" s="1"/>
  <c r="J173" i="96" a="1"/>
  <c r="J173" i="96" s="1"/>
  <c r="I173" i="96" a="1"/>
  <c r="I173" i="96" s="1"/>
  <c r="H173" i="96" a="1"/>
  <c r="H173" i="96" s="1"/>
  <c r="G173" i="96" a="1"/>
  <c r="G173" i="96" s="1"/>
  <c r="F173" i="96" a="1"/>
  <c r="F173" i="96" s="1"/>
  <c r="E173" i="96" a="1"/>
  <c r="E173" i="96" s="1"/>
  <c r="D173" i="96" a="1"/>
  <c r="D173" i="96" s="1"/>
  <c r="AH172" i="96" a="1"/>
  <c r="AH172" i="96" s="1"/>
  <c r="AG172" i="96" a="1"/>
  <c r="AG172" i="96" s="1"/>
  <c r="AF172" i="96" a="1"/>
  <c r="AF172" i="96" s="1"/>
  <c r="AE172" i="96" a="1"/>
  <c r="AE172" i="96" s="1"/>
  <c r="AD172" i="96" a="1"/>
  <c r="AD172" i="96" s="1"/>
  <c r="AC172" i="96" a="1"/>
  <c r="AC172" i="96" s="1"/>
  <c r="AB172" i="96" a="1"/>
  <c r="AB172" i="96" s="1"/>
  <c r="AA172" i="96" a="1"/>
  <c r="AA172" i="96" s="1"/>
  <c r="Z172" i="96" a="1"/>
  <c r="Z172" i="96" s="1"/>
  <c r="Y172" i="96" a="1"/>
  <c r="Y172" i="96" s="1"/>
  <c r="X172" i="96" a="1"/>
  <c r="X172" i="96" s="1"/>
  <c r="W172" i="96" a="1"/>
  <c r="W172" i="96" s="1"/>
  <c r="V172" i="96" a="1"/>
  <c r="V172" i="96" s="1"/>
  <c r="U172" i="96" a="1"/>
  <c r="U172" i="96" s="1"/>
  <c r="T172" i="96" a="1"/>
  <c r="T172" i="96" s="1"/>
  <c r="S172" i="96" a="1"/>
  <c r="S172" i="96" s="1"/>
  <c r="R172" i="96" a="1"/>
  <c r="R172" i="96" s="1"/>
  <c r="Q172" i="96" a="1"/>
  <c r="Q172" i="96" s="1"/>
  <c r="P172" i="96" a="1"/>
  <c r="P172" i="96" s="1"/>
  <c r="O172" i="96" a="1"/>
  <c r="O172" i="96" s="1"/>
  <c r="N172" i="96" a="1"/>
  <c r="N172" i="96" s="1"/>
  <c r="M172" i="96" a="1"/>
  <c r="M172" i="96" s="1"/>
  <c r="L172" i="96" a="1"/>
  <c r="L172" i="96" s="1"/>
  <c r="K172" i="96" a="1"/>
  <c r="K172" i="96" s="1"/>
  <c r="J172" i="96" a="1"/>
  <c r="J172" i="96" s="1"/>
  <c r="I172" i="96" a="1"/>
  <c r="I172" i="96" s="1"/>
  <c r="H172" i="96" a="1"/>
  <c r="H172" i="96" s="1"/>
  <c r="G172" i="96" a="1"/>
  <c r="G172" i="96" s="1"/>
  <c r="F172" i="96" a="1"/>
  <c r="F172" i="96" s="1"/>
  <c r="E172" i="96" a="1"/>
  <c r="E172" i="96" s="1"/>
  <c r="D172" i="96" a="1"/>
  <c r="D172" i="96" s="1"/>
  <c r="AH171" i="96" a="1"/>
  <c r="AH171" i="96" s="1"/>
  <c r="AG171" i="96" a="1"/>
  <c r="AG171" i="96" s="1"/>
  <c r="AF171" i="96" a="1"/>
  <c r="AF171" i="96" s="1"/>
  <c r="AE171" i="96" a="1"/>
  <c r="AE171" i="96" s="1"/>
  <c r="AD171" i="96" a="1"/>
  <c r="AD171" i="96" s="1"/>
  <c r="AC171" i="96" a="1"/>
  <c r="AC171" i="96" s="1"/>
  <c r="AB171" i="96" a="1"/>
  <c r="AB171" i="96" s="1"/>
  <c r="AA171" i="96" a="1"/>
  <c r="AA171" i="96" s="1"/>
  <c r="Z171" i="96" a="1"/>
  <c r="Z171" i="96" s="1"/>
  <c r="Y171" i="96" a="1"/>
  <c r="Y171" i="96" s="1"/>
  <c r="X171" i="96" a="1"/>
  <c r="X171" i="96" s="1"/>
  <c r="W171" i="96" a="1"/>
  <c r="W171" i="96" s="1"/>
  <c r="V171" i="96" a="1"/>
  <c r="V171" i="96" s="1"/>
  <c r="U171" i="96" a="1"/>
  <c r="U171" i="96" s="1"/>
  <c r="T171" i="96" a="1"/>
  <c r="T171" i="96" s="1"/>
  <c r="S171" i="96" a="1"/>
  <c r="S171" i="96" s="1"/>
  <c r="R171" i="96" a="1"/>
  <c r="R171" i="96" s="1"/>
  <c r="Q171" i="96" a="1"/>
  <c r="Q171" i="96" s="1"/>
  <c r="P171" i="96" a="1"/>
  <c r="P171" i="96" s="1"/>
  <c r="O171" i="96" a="1"/>
  <c r="O171" i="96" s="1"/>
  <c r="N171" i="96" a="1"/>
  <c r="N171" i="96" s="1"/>
  <c r="M171" i="96" a="1"/>
  <c r="M171" i="96" s="1"/>
  <c r="L171" i="96" a="1"/>
  <c r="L171" i="96" s="1"/>
  <c r="K171" i="96" a="1"/>
  <c r="K171" i="96" s="1"/>
  <c r="J171" i="96" a="1"/>
  <c r="J171" i="96" s="1"/>
  <c r="I171" i="96" a="1"/>
  <c r="I171" i="96" s="1"/>
  <c r="H171" i="96" a="1"/>
  <c r="H171" i="96" s="1"/>
  <c r="G171" i="96" a="1"/>
  <c r="G171" i="96" s="1"/>
  <c r="F171" i="96" a="1"/>
  <c r="F171" i="96" s="1"/>
  <c r="E171" i="96" a="1"/>
  <c r="E171" i="96" s="1"/>
  <c r="D171" i="96" a="1"/>
  <c r="D171" i="96" s="1"/>
  <c r="AH170" i="96" a="1"/>
  <c r="AH170" i="96" s="1"/>
  <c r="AG170" i="96" a="1"/>
  <c r="AG170" i="96" s="1"/>
  <c r="AF170" i="96" a="1"/>
  <c r="AF170" i="96" s="1"/>
  <c r="AE170" i="96" a="1"/>
  <c r="AE170" i="96" s="1"/>
  <c r="AD170" i="96" a="1"/>
  <c r="AD170" i="96" s="1"/>
  <c r="AC170" i="96" a="1"/>
  <c r="AC170" i="96" s="1"/>
  <c r="AB170" i="96" a="1"/>
  <c r="AB170" i="96" s="1"/>
  <c r="AA170" i="96" a="1"/>
  <c r="AA170" i="96" s="1"/>
  <c r="Z170" i="96" a="1"/>
  <c r="Z170" i="96" s="1"/>
  <c r="Y170" i="96" a="1"/>
  <c r="Y170" i="96" s="1"/>
  <c r="X170" i="96" a="1"/>
  <c r="X170" i="96" s="1"/>
  <c r="W170" i="96" a="1"/>
  <c r="W170" i="96" s="1"/>
  <c r="V170" i="96" a="1"/>
  <c r="V170" i="96" s="1"/>
  <c r="U170" i="96" a="1"/>
  <c r="U170" i="96" s="1"/>
  <c r="T170" i="96" a="1"/>
  <c r="T170" i="96" s="1"/>
  <c r="S170" i="96" a="1"/>
  <c r="S170" i="96" s="1"/>
  <c r="R170" i="96" a="1"/>
  <c r="R170" i="96" s="1"/>
  <c r="Q170" i="96" a="1"/>
  <c r="Q170" i="96" s="1"/>
  <c r="P170" i="96" a="1"/>
  <c r="P170" i="96" s="1"/>
  <c r="O170" i="96" a="1"/>
  <c r="O170" i="96" s="1"/>
  <c r="N170" i="96" a="1"/>
  <c r="N170" i="96" s="1"/>
  <c r="M170" i="96" a="1"/>
  <c r="M170" i="96" s="1"/>
  <c r="L170" i="96" a="1"/>
  <c r="L170" i="96" s="1"/>
  <c r="K170" i="96" a="1"/>
  <c r="K170" i="96" s="1"/>
  <c r="J170" i="96" a="1"/>
  <c r="J170" i="96" s="1"/>
  <c r="I170" i="96" a="1"/>
  <c r="I170" i="96" s="1"/>
  <c r="H170" i="96" a="1"/>
  <c r="H170" i="96" s="1"/>
  <c r="G170" i="96" a="1"/>
  <c r="G170" i="96" s="1"/>
  <c r="F170" i="96" a="1"/>
  <c r="F170" i="96" s="1"/>
  <c r="E170" i="96" a="1"/>
  <c r="E170" i="96" s="1"/>
  <c r="D170" i="96" a="1"/>
  <c r="D170" i="96" s="1"/>
  <c r="AH169" i="96" a="1"/>
  <c r="AH169" i="96" s="1"/>
  <c r="AG169" i="96" a="1"/>
  <c r="AG169" i="96" s="1"/>
  <c r="AF169" i="96" a="1"/>
  <c r="AF169" i="96" s="1"/>
  <c r="AE169" i="96" a="1"/>
  <c r="AE169" i="96" s="1"/>
  <c r="AD169" i="96" a="1"/>
  <c r="AD169" i="96" s="1"/>
  <c r="AC169" i="96" a="1"/>
  <c r="AC169" i="96" s="1"/>
  <c r="AB169" i="96" a="1"/>
  <c r="AB169" i="96" s="1"/>
  <c r="AA169" i="96" a="1"/>
  <c r="AA169" i="96" s="1"/>
  <c r="Z169" i="96" a="1"/>
  <c r="Z169" i="96" s="1"/>
  <c r="Y169" i="96" a="1"/>
  <c r="Y169" i="96" s="1"/>
  <c r="X169" i="96" a="1"/>
  <c r="X169" i="96" s="1"/>
  <c r="W169" i="96" a="1"/>
  <c r="W169" i="96" s="1"/>
  <c r="V169" i="96" a="1"/>
  <c r="V169" i="96" s="1"/>
  <c r="U169" i="96" a="1"/>
  <c r="U169" i="96" s="1"/>
  <c r="T169" i="96" a="1"/>
  <c r="T169" i="96" s="1"/>
  <c r="S169" i="96" a="1"/>
  <c r="S169" i="96" s="1"/>
  <c r="R169" i="96" a="1"/>
  <c r="R169" i="96" s="1"/>
  <c r="Q169" i="96" a="1"/>
  <c r="Q169" i="96" s="1"/>
  <c r="P169" i="96" a="1"/>
  <c r="P169" i="96" s="1"/>
  <c r="O169" i="96" a="1"/>
  <c r="O169" i="96" s="1"/>
  <c r="N169" i="96" a="1"/>
  <c r="N169" i="96" s="1"/>
  <c r="M169" i="96" a="1"/>
  <c r="M169" i="96" s="1"/>
  <c r="L169" i="96" a="1"/>
  <c r="L169" i="96" s="1"/>
  <c r="K169" i="96" a="1"/>
  <c r="K169" i="96" s="1"/>
  <c r="J169" i="96" a="1"/>
  <c r="J169" i="96" s="1"/>
  <c r="I169" i="96" a="1"/>
  <c r="I169" i="96" s="1"/>
  <c r="H169" i="96" a="1"/>
  <c r="H169" i="96" s="1"/>
  <c r="G169" i="96" a="1"/>
  <c r="G169" i="96" s="1"/>
  <c r="F169" i="96" a="1"/>
  <c r="F169" i="96" s="1"/>
  <c r="E169" i="96" a="1"/>
  <c r="E169" i="96" s="1"/>
  <c r="D169" i="96" a="1"/>
  <c r="D169" i="96" s="1"/>
  <c r="AH168" i="96" a="1"/>
  <c r="AH168" i="96" s="1"/>
  <c r="AG168" i="96" a="1"/>
  <c r="AG168" i="96" s="1"/>
  <c r="AF168" i="96" a="1"/>
  <c r="AF168" i="96" s="1"/>
  <c r="AE168" i="96" a="1"/>
  <c r="AE168" i="96" s="1"/>
  <c r="AD168" i="96" a="1"/>
  <c r="AD168" i="96" s="1"/>
  <c r="AC168" i="96" a="1"/>
  <c r="AC168" i="96" s="1"/>
  <c r="AB168" i="96" a="1"/>
  <c r="AB168" i="96" s="1"/>
  <c r="AA168" i="96" a="1"/>
  <c r="AA168" i="96" s="1"/>
  <c r="Z168" i="96" a="1"/>
  <c r="Z168" i="96" s="1"/>
  <c r="Y168" i="96" a="1"/>
  <c r="Y168" i="96" s="1"/>
  <c r="X168" i="96" a="1"/>
  <c r="X168" i="96" s="1"/>
  <c r="W168" i="96" a="1"/>
  <c r="W168" i="96" s="1"/>
  <c r="V168" i="96" a="1"/>
  <c r="V168" i="96" s="1"/>
  <c r="U168" i="96" a="1"/>
  <c r="U168" i="96" s="1"/>
  <c r="T168" i="96" a="1"/>
  <c r="T168" i="96" s="1"/>
  <c r="S168" i="96" a="1"/>
  <c r="S168" i="96" s="1"/>
  <c r="R168" i="96" a="1"/>
  <c r="R168" i="96" s="1"/>
  <c r="Q168" i="96" a="1"/>
  <c r="Q168" i="96" s="1"/>
  <c r="P168" i="96" a="1"/>
  <c r="P168" i="96" s="1"/>
  <c r="O168" i="96" a="1"/>
  <c r="O168" i="96" s="1"/>
  <c r="N168" i="96" a="1"/>
  <c r="N168" i="96" s="1"/>
  <c r="M168" i="96" a="1"/>
  <c r="M168" i="96" s="1"/>
  <c r="L168" i="96" a="1"/>
  <c r="L168" i="96" s="1"/>
  <c r="K168" i="96" a="1"/>
  <c r="K168" i="96" s="1"/>
  <c r="J168" i="96" a="1"/>
  <c r="J168" i="96" s="1"/>
  <c r="I168" i="96" a="1"/>
  <c r="I168" i="96" s="1"/>
  <c r="H168" i="96" a="1"/>
  <c r="H168" i="96" s="1"/>
  <c r="G168" i="96" a="1"/>
  <c r="G168" i="96" s="1"/>
  <c r="F168" i="96" a="1"/>
  <c r="F168" i="96" s="1"/>
  <c r="E168" i="96" a="1"/>
  <c r="E168" i="96" s="1"/>
  <c r="D168" i="96" a="1"/>
  <c r="D168" i="96" s="1"/>
  <c r="AH167" i="96" a="1"/>
  <c r="AH167" i="96" s="1"/>
  <c r="AG167" i="96" a="1"/>
  <c r="AG167" i="96" s="1"/>
  <c r="AF167" i="96" a="1"/>
  <c r="AF167" i="96" s="1"/>
  <c r="AE167" i="96" a="1"/>
  <c r="AE167" i="96" s="1"/>
  <c r="AD167" i="96" a="1"/>
  <c r="AD167" i="96" s="1"/>
  <c r="AC167" i="96" a="1"/>
  <c r="AC167" i="96" s="1"/>
  <c r="AB167" i="96" a="1"/>
  <c r="AB167" i="96" s="1"/>
  <c r="AA167" i="96" a="1"/>
  <c r="AA167" i="96" s="1"/>
  <c r="Z167" i="96" a="1"/>
  <c r="Z167" i="96" s="1"/>
  <c r="Y167" i="96" a="1"/>
  <c r="Y167" i="96" s="1"/>
  <c r="X167" i="96" a="1"/>
  <c r="X167" i="96" s="1"/>
  <c r="W167" i="96" a="1"/>
  <c r="W167" i="96" s="1"/>
  <c r="V167" i="96" a="1"/>
  <c r="V167" i="96" s="1"/>
  <c r="U167" i="96" a="1"/>
  <c r="U167" i="96" s="1"/>
  <c r="T167" i="96" a="1"/>
  <c r="T167" i="96" s="1"/>
  <c r="S167" i="96" a="1"/>
  <c r="S167" i="96" s="1"/>
  <c r="R167" i="96" a="1"/>
  <c r="R167" i="96" s="1"/>
  <c r="Q167" i="96" a="1"/>
  <c r="Q167" i="96" s="1"/>
  <c r="P167" i="96" a="1"/>
  <c r="P167" i="96" s="1"/>
  <c r="O167" i="96" a="1"/>
  <c r="O167" i="96" s="1"/>
  <c r="N167" i="96" a="1"/>
  <c r="N167" i="96" s="1"/>
  <c r="M167" i="96" a="1"/>
  <c r="M167" i="96" s="1"/>
  <c r="L167" i="96" a="1"/>
  <c r="L167" i="96" s="1"/>
  <c r="K167" i="96" a="1"/>
  <c r="K167" i="96" s="1"/>
  <c r="J167" i="96" a="1"/>
  <c r="J167" i="96" s="1"/>
  <c r="I167" i="96" a="1"/>
  <c r="I167" i="96" s="1"/>
  <c r="H167" i="96" a="1"/>
  <c r="H167" i="96" s="1"/>
  <c r="G167" i="96" a="1"/>
  <c r="G167" i="96" s="1"/>
  <c r="F167" i="96" a="1"/>
  <c r="F167" i="96" s="1"/>
  <c r="E167" i="96" a="1"/>
  <c r="E167" i="96" s="1"/>
  <c r="D167" i="96" a="1"/>
  <c r="D167" i="96" s="1"/>
  <c r="AH166" i="96" a="1"/>
  <c r="AH166" i="96" s="1"/>
  <c r="AG166" i="96" a="1"/>
  <c r="AG166" i="96" s="1"/>
  <c r="AF166" i="96" a="1"/>
  <c r="AF166" i="96" s="1"/>
  <c r="AE166" i="96" a="1"/>
  <c r="AE166" i="96" s="1"/>
  <c r="AD166" i="96" a="1"/>
  <c r="AD166" i="96" s="1"/>
  <c r="AC166" i="96" a="1"/>
  <c r="AC166" i="96" s="1"/>
  <c r="AB166" i="96" a="1"/>
  <c r="AB166" i="96" s="1"/>
  <c r="AA166" i="96" a="1"/>
  <c r="AA166" i="96" s="1"/>
  <c r="Z166" i="96" a="1"/>
  <c r="Z166" i="96" s="1"/>
  <c r="Y166" i="96" a="1"/>
  <c r="Y166" i="96" s="1"/>
  <c r="X166" i="96" a="1"/>
  <c r="X166" i="96" s="1"/>
  <c r="W166" i="96" a="1"/>
  <c r="W166" i="96" s="1"/>
  <c r="V166" i="96" a="1"/>
  <c r="V166" i="96" s="1"/>
  <c r="U166" i="96" a="1"/>
  <c r="U166" i="96" s="1"/>
  <c r="T166" i="96" a="1"/>
  <c r="T166" i="96" s="1"/>
  <c r="S166" i="96" a="1"/>
  <c r="S166" i="96" s="1"/>
  <c r="R166" i="96" a="1"/>
  <c r="R166" i="96" s="1"/>
  <c r="Q166" i="96" a="1"/>
  <c r="Q166" i="96" s="1"/>
  <c r="P166" i="96" a="1"/>
  <c r="P166" i="96" s="1"/>
  <c r="O166" i="96" a="1"/>
  <c r="O166" i="96" s="1"/>
  <c r="N166" i="96" a="1"/>
  <c r="N166" i="96" s="1"/>
  <c r="M166" i="96" a="1"/>
  <c r="M166" i="96" s="1"/>
  <c r="L166" i="96" a="1"/>
  <c r="L166" i="96" s="1"/>
  <c r="K166" i="96" a="1"/>
  <c r="K166" i="96" s="1"/>
  <c r="J166" i="96" a="1"/>
  <c r="J166" i="96" s="1"/>
  <c r="I166" i="96" a="1"/>
  <c r="I166" i="96" s="1"/>
  <c r="H166" i="96" a="1"/>
  <c r="H166" i="96" s="1"/>
  <c r="G166" i="96" a="1"/>
  <c r="G166" i="96" s="1"/>
  <c r="F166" i="96" a="1"/>
  <c r="F166" i="96" s="1"/>
  <c r="E166" i="96" a="1"/>
  <c r="E166" i="96" s="1"/>
  <c r="D166" i="96" a="1"/>
  <c r="D166" i="96" s="1"/>
  <c r="AH165" i="96" a="1"/>
  <c r="AH165" i="96" s="1"/>
  <c r="AG165" i="96" a="1"/>
  <c r="AG165" i="96" s="1"/>
  <c r="AF165" i="96" a="1"/>
  <c r="AF165" i="96" s="1"/>
  <c r="AE165" i="96" a="1"/>
  <c r="AE165" i="96" s="1"/>
  <c r="AD165" i="96" a="1"/>
  <c r="AD165" i="96" s="1"/>
  <c r="AC165" i="96" a="1"/>
  <c r="AC165" i="96" s="1"/>
  <c r="AB165" i="96" a="1"/>
  <c r="AB165" i="96" s="1"/>
  <c r="AA165" i="96" a="1"/>
  <c r="AA165" i="96" s="1"/>
  <c r="Z165" i="96" a="1"/>
  <c r="Z165" i="96" s="1"/>
  <c r="Y165" i="96" a="1"/>
  <c r="Y165" i="96" s="1"/>
  <c r="X165" i="96" a="1"/>
  <c r="X165" i="96" s="1"/>
  <c r="W165" i="96" a="1"/>
  <c r="W165" i="96" s="1"/>
  <c r="V165" i="96" a="1"/>
  <c r="V165" i="96" s="1"/>
  <c r="U165" i="96" a="1"/>
  <c r="U165" i="96" s="1"/>
  <c r="T165" i="96" a="1"/>
  <c r="T165" i="96" s="1"/>
  <c r="S165" i="96" a="1"/>
  <c r="S165" i="96" s="1"/>
  <c r="R165" i="96" a="1"/>
  <c r="R165" i="96" s="1"/>
  <c r="Q165" i="96" a="1"/>
  <c r="Q165" i="96" s="1"/>
  <c r="P165" i="96" a="1"/>
  <c r="P165" i="96" s="1"/>
  <c r="O165" i="96" a="1"/>
  <c r="O165" i="96" s="1"/>
  <c r="N165" i="96" a="1"/>
  <c r="N165" i="96" s="1"/>
  <c r="M165" i="96" a="1"/>
  <c r="M165" i="96" s="1"/>
  <c r="L165" i="96" a="1"/>
  <c r="L165" i="96" s="1"/>
  <c r="K165" i="96" a="1"/>
  <c r="K165" i="96" s="1"/>
  <c r="J165" i="96" a="1"/>
  <c r="J165" i="96" s="1"/>
  <c r="I165" i="96" a="1"/>
  <c r="I165" i="96" s="1"/>
  <c r="H165" i="96" a="1"/>
  <c r="H165" i="96" s="1"/>
  <c r="G165" i="96" a="1"/>
  <c r="G165" i="96" s="1"/>
  <c r="F165" i="96" a="1"/>
  <c r="F165" i="96" s="1"/>
  <c r="E165" i="96" a="1"/>
  <c r="E165" i="96" s="1"/>
  <c r="D165" i="96" a="1"/>
  <c r="D165" i="96" s="1"/>
  <c r="AH164" i="96" a="1"/>
  <c r="AH164" i="96" s="1"/>
  <c r="AG164" i="96" a="1"/>
  <c r="AG164" i="96" s="1"/>
  <c r="AF164" i="96" a="1"/>
  <c r="AF164" i="96" s="1"/>
  <c r="AE164" i="96" a="1"/>
  <c r="AE164" i="96" s="1"/>
  <c r="AD164" i="96" a="1"/>
  <c r="AD164" i="96" s="1"/>
  <c r="AC164" i="96" a="1"/>
  <c r="AC164" i="96" s="1"/>
  <c r="AB164" i="96" a="1"/>
  <c r="AB164" i="96" s="1"/>
  <c r="AA164" i="96" a="1"/>
  <c r="AA164" i="96" s="1"/>
  <c r="Z164" i="96" a="1"/>
  <c r="Z164" i="96" s="1"/>
  <c r="Y164" i="96" a="1"/>
  <c r="Y164" i="96" s="1"/>
  <c r="X164" i="96" a="1"/>
  <c r="X164" i="96" s="1"/>
  <c r="W164" i="96" a="1"/>
  <c r="W164" i="96" s="1"/>
  <c r="V164" i="96" a="1"/>
  <c r="V164" i="96" s="1"/>
  <c r="U164" i="96" a="1"/>
  <c r="U164" i="96" s="1"/>
  <c r="T164" i="96" a="1"/>
  <c r="T164" i="96" s="1"/>
  <c r="S164" i="96" a="1"/>
  <c r="S164" i="96" s="1"/>
  <c r="R164" i="96" a="1"/>
  <c r="R164" i="96" s="1"/>
  <c r="Q164" i="96" a="1"/>
  <c r="Q164" i="96" s="1"/>
  <c r="P164" i="96" a="1"/>
  <c r="P164" i="96" s="1"/>
  <c r="O164" i="96" a="1"/>
  <c r="O164" i="96" s="1"/>
  <c r="N164" i="96" a="1"/>
  <c r="N164" i="96" s="1"/>
  <c r="M164" i="96" a="1"/>
  <c r="M164" i="96" s="1"/>
  <c r="L164" i="96" a="1"/>
  <c r="L164" i="96" s="1"/>
  <c r="K164" i="96" a="1"/>
  <c r="K164" i="96" s="1"/>
  <c r="J164" i="96" a="1"/>
  <c r="J164" i="96" s="1"/>
  <c r="I164" i="96" a="1"/>
  <c r="I164" i="96" s="1"/>
  <c r="H164" i="96" a="1"/>
  <c r="H164" i="96" s="1"/>
  <c r="G164" i="96" a="1"/>
  <c r="G164" i="96" s="1"/>
  <c r="F164" i="96" a="1"/>
  <c r="F164" i="96" s="1"/>
  <c r="E164" i="96" a="1"/>
  <c r="E164" i="96" s="1"/>
  <c r="D164" i="96" a="1"/>
  <c r="D164" i="96" s="1"/>
  <c r="AH163" i="96" a="1"/>
  <c r="AH163" i="96" s="1"/>
  <c r="AG163" i="96" a="1"/>
  <c r="AG163" i="96" s="1"/>
  <c r="AF163" i="96" a="1"/>
  <c r="AF163" i="96" s="1"/>
  <c r="AE163" i="96" a="1"/>
  <c r="AE163" i="96" s="1"/>
  <c r="AD163" i="96" a="1"/>
  <c r="AD163" i="96" s="1"/>
  <c r="AC163" i="96" a="1"/>
  <c r="AC163" i="96" s="1"/>
  <c r="AB163" i="96" a="1"/>
  <c r="AB163" i="96" s="1"/>
  <c r="AA163" i="96" a="1"/>
  <c r="AA163" i="96" s="1"/>
  <c r="Z163" i="96" a="1"/>
  <c r="Z163" i="96" s="1"/>
  <c r="Y163" i="96" a="1"/>
  <c r="Y163" i="96" s="1"/>
  <c r="X163" i="96" a="1"/>
  <c r="X163" i="96" s="1"/>
  <c r="W163" i="96" a="1"/>
  <c r="W163" i="96" s="1"/>
  <c r="V163" i="96" a="1"/>
  <c r="V163" i="96" s="1"/>
  <c r="U163" i="96" a="1"/>
  <c r="U163" i="96" s="1"/>
  <c r="T163" i="96" a="1"/>
  <c r="T163" i="96" s="1"/>
  <c r="S163" i="96" a="1"/>
  <c r="S163" i="96" s="1"/>
  <c r="R163" i="96" a="1"/>
  <c r="R163" i="96" s="1"/>
  <c r="Q163" i="96" a="1"/>
  <c r="Q163" i="96" s="1"/>
  <c r="P163" i="96" a="1"/>
  <c r="P163" i="96" s="1"/>
  <c r="O163" i="96" a="1"/>
  <c r="O163" i="96" s="1"/>
  <c r="N163" i="96" a="1"/>
  <c r="N163" i="96" s="1"/>
  <c r="M163" i="96" a="1"/>
  <c r="M163" i="96" s="1"/>
  <c r="L163" i="96" a="1"/>
  <c r="L163" i="96" s="1"/>
  <c r="K163" i="96" a="1"/>
  <c r="K163" i="96" s="1"/>
  <c r="J163" i="96" a="1"/>
  <c r="J163" i="96" s="1"/>
  <c r="I163" i="96" a="1"/>
  <c r="I163" i="96" s="1"/>
  <c r="H163" i="96" a="1"/>
  <c r="H163" i="96" s="1"/>
  <c r="G163" i="96" a="1"/>
  <c r="G163" i="96" s="1"/>
  <c r="F163" i="96" a="1"/>
  <c r="F163" i="96" s="1"/>
  <c r="E163" i="96" a="1"/>
  <c r="E163" i="96" s="1"/>
  <c r="D163" i="96" a="1"/>
  <c r="D163" i="96" s="1"/>
  <c r="AH162" i="96" a="1"/>
  <c r="AH162" i="96" s="1"/>
  <c r="AG162" i="96" a="1"/>
  <c r="AG162" i="96" s="1"/>
  <c r="AF162" i="96" a="1"/>
  <c r="AF162" i="96" s="1"/>
  <c r="AE162" i="96" a="1"/>
  <c r="AE162" i="96" s="1"/>
  <c r="AD162" i="96" a="1"/>
  <c r="AD162" i="96" s="1"/>
  <c r="AC162" i="96" a="1"/>
  <c r="AC162" i="96" s="1"/>
  <c r="AB162" i="96" a="1"/>
  <c r="AB162" i="96" s="1"/>
  <c r="AA162" i="96" a="1"/>
  <c r="AA162" i="96" s="1"/>
  <c r="Z162" i="96" a="1"/>
  <c r="Z162" i="96" s="1"/>
  <c r="Y162" i="96" a="1"/>
  <c r="Y162" i="96" s="1"/>
  <c r="X162" i="96" a="1"/>
  <c r="X162" i="96" s="1"/>
  <c r="W162" i="96" a="1"/>
  <c r="W162" i="96" s="1"/>
  <c r="V162" i="96" a="1"/>
  <c r="V162" i="96" s="1"/>
  <c r="U162" i="96" a="1"/>
  <c r="U162" i="96" s="1"/>
  <c r="T162" i="96" a="1"/>
  <c r="T162" i="96" s="1"/>
  <c r="S162" i="96" a="1"/>
  <c r="S162" i="96" s="1"/>
  <c r="R162" i="96" a="1"/>
  <c r="R162" i="96" s="1"/>
  <c r="Q162" i="96" a="1"/>
  <c r="Q162" i="96" s="1"/>
  <c r="P162" i="96" a="1"/>
  <c r="P162" i="96" s="1"/>
  <c r="O162" i="96" a="1"/>
  <c r="O162" i="96" s="1"/>
  <c r="N162" i="96" a="1"/>
  <c r="N162" i="96" s="1"/>
  <c r="M162" i="96" a="1"/>
  <c r="M162" i="96" s="1"/>
  <c r="L162" i="96" a="1"/>
  <c r="L162" i="96" s="1"/>
  <c r="K162" i="96" a="1"/>
  <c r="K162" i="96" s="1"/>
  <c r="J162" i="96" a="1"/>
  <c r="J162" i="96" s="1"/>
  <c r="I162" i="96" a="1"/>
  <c r="I162" i="96" s="1"/>
  <c r="H162" i="96" a="1"/>
  <c r="H162" i="96" s="1"/>
  <c r="G162" i="96" a="1"/>
  <c r="G162" i="96" s="1"/>
  <c r="F162" i="96" a="1"/>
  <c r="F162" i="96" s="1"/>
  <c r="E162" i="96" a="1"/>
  <c r="E162" i="96" s="1"/>
  <c r="D162" i="96" a="1"/>
  <c r="D162" i="96" s="1"/>
  <c r="AH161" i="96" a="1"/>
  <c r="AH161" i="96" s="1"/>
  <c r="AG161" i="96" a="1"/>
  <c r="AG161" i="96" s="1"/>
  <c r="AF161" i="96" a="1"/>
  <c r="AF161" i="96" s="1"/>
  <c r="AE161" i="96" a="1"/>
  <c r="AE161" i="96" s="1"/>
  <c r="AD161" i="96" a="1"/>
  <c r="AD161" i="96" s="1"/>
  <c r="AC161" i="96" a="1"/>
  <c r="AC161" i="96" s="1"/>
  <c r="AB161" i="96" a="1"/>
  <c r="AB161" i="96" s="1"/>
  <c r="AA161" i="96" a="1"/>
  <c r="AA161" i="96" s="1"/>
  <c r="Z161" i="96" a="1"/>
  <c r="Z161" i="96" s="1"/>
  <c r="Y161" i="96" a="1"/>
  <c r="Y161" i="96" s="1"/>
  <c r="X161" i="96" a="1"/>
  <c r="X161" i="96" s="1"/>
  <c r="W161" i="96" a="1"/>
  <c r="W161" i="96" s="1"/>
  <c r="V161" i="96" a="1"/>
  <c r="V161" i="96" s="1"/>
  <c r="U161" i="96" a="1"/>
  <c r="U161" i="96" s="1"/>
  <c r="T161" i="96" a="1"/>
  <c r="T161" i="96" s="1"/>
  <c r="S161" i="96" a="1"/>
  <c r="S161" i="96" s="1"/>
  <c r="R161" i="96" a="1"/>
  <c r="R161" i="96" s="1"/>
  <c r="Q161" i="96" a="1"/>
  <c r="Q161" i="96" s="1"/>
  <c r="P161" i="96" a="1"/>
  <c r="P161" i="96" s="1"/>
  <c r="O161" i="96" a="1"/>
  <c r="O161" i="96" s="1"/>
  <c r="N161" i="96" a="1"/>
  <c r="N161" i="96" s="1"/>
  <c r="M161" i="96" a="1"/>
  <c r="M161" i="96" s="1"/>
  <c r="L161" i="96" a="1"/>
  <c r="L161" i="96" s="1"/>
  <c r="K161" i="96" a="1"/>
  <c r="K161" i="96" s="1"/>
  <c r="J161" i="96" a="1"/>
  <c r="J161" i="96" s="1"/>
  <c r="I161" i="96" a="1"/>
  <c r="I161" i="96" s="1"/>
  <c r="H161" i="96" a="1"/>
  <c r="H161" i="96" s="1"/>
  <c r="G161" i="96" a="1"/>
  <c r="G161" i="96" s="1"/>
  <c r="F161" i="96" a="1"/>
  <c r="F161" i="96" s="1"/>
  <c r="E161" i="96" a="1"/>
  <c r="E161" i="96" s="1"/>
  <c r="D161" i="96" a="1"/>
  <c r="D161" i="96" s="1"/>
  <c r="AH160" i="96" a="1"/>
  <c r="AH160" i="96" s="1"/>
  <c r="AG160" i="96" a="1"/>
  <c r="AG160" i="96" s="1"/>
  <c r="AF160" i="96" a="1"/>
  <c r="AF160" i="96" s="1"/>
  <c r="AE160" i="96" a="1"/>
  <c r="AE160" i="96" s="1"/>
  <c r="AD160" i="96" a="1"/>
  <c r="AD160" i="96" s="1"/>
  <c r="AC160" i="96" a="1"/>
  <c r="AC160" i="96" s="1"/>
  <c r="AB160" i="96" a="1"/>
  <c r="AB160" i="96" s="1"/>
  <c r="AA160" i="96" a="1"/>
  <c r="AA160" i="96" s="1"/>
  <c r="Z160" i="96" a="1"/>
  <c r="Z160" i="96" s="1"/>
  <c r="Y160" i="96" a="1"/>
  <c r="Y160" i="96" s="1"/>
  <c r="X160" i="96" a="1"/>
  <c r="X160" i="96" s="1"/>
  <c r="W160" i="96" a="1"/>
  <c r="W160" i="96" s="1"/>
  <c r="V160" i="96" a="1"/>
  <c r="V160" i="96" s="1"/>
  <c r="U160" i="96" a="1"/>
  <c r="U160" i="96" s="1"/>
  <c r="T160" i="96" a="1"/>
  <c r="T160" i="96" s="1"/>
  <c r="S160" i="96" a="1"/>
  <c r="S160" i="96" s="1"/>
  <c r="R160" i="96" a="1"/>
  <c r="R160" i="96" s="1"/>
  <c r="Q160" i="96" a="1"/>
  <c r="Q160" i="96" s="1"/>
  <c r="P160" i="96" a="1"/>
  <c r="P160" i="96" s="1"/>
  <c r="O160" i="96" a="1"/>
  <c r="O160" i="96" s="1"/>
  <c r="N160" i="96" a="1"/>
  <c r="N160" i="96" s="1"/>
  <c r="M160" i="96" a="1"/>
  <c r="M160" i="96" s="1"/>
  <c r="L160" i="96" a="1"/>
  <c r="L160" i="96" s="1"/>
  <c r="K160" i="96" a="1"/>
  <c r="K160" i="96" s="1"/>
  <c r="J160" i="96" a="1"/>
  <c r="J160" i="96" s="1"/>
  <c r="I160" i="96" a="1"/>
  <c r="I160" i="96" s="1"/>
  <c r="H160" i="96" a="1"/>
  <c r="H160" i="96" s="1"/>
  <c r="G160" i="96" a="1"/>
  <c r="G160" i="96" s="1"/>
  <c r="F160" i="96" a="1"/>
  <c r="F160" i="96" s="1"/>
  <c r="E160" i="96" a="1"/>
  <c r="E160" i="96" s="1"/>
  <c r="D160" i="96" a="1"/>
  <c r="D160" i="96" s="1"/>
  <c r="AH159" i="96" a="1"/>
  <c r="AH159" i="96" s="1"/>
  <c r="AG159" i="96" a="1"/>
  <c r="AG159" i="96" s="1"/>
  <c r="AF159" i="96" a="1"/>
  <c r="AF159" i="96" s="1"/>
  <c r="AE159" i="96" a="1"/>
  <c r="AE159" i="96" s="1"/>
  <c r="AD159" i="96" a="1"/>
  <c r="AD159" i="96" s="1"/>
  <c r="AC159" i="96" a="1"/>
  <c r="AC159" i="96" s="1"/>
  <c r="AB159" i="96" a="1"/>
  <c r="AB159" i="96" s="1"/>
  <c r="AA159" i="96" a="1"/>
  <c r="AA159" i="96" s="1"/>
  <c r="Z159" i="96" a="1"/>
  <c r="Z159" i="96" s="1"/>
  <c r="Y159" i="96" a="1"/>
  <c r="Y159" i="96" s="1"/>
  <c r="X159" i="96" a="1"/>
  <c r="X159" i="96" s="1"/>
  <c r="W159" i="96" a="1"/>
  <c r="W159" i="96" s="1"/>
  <c r="V159" i="96" a="1"/>
  <c r="V159" i="96" s="1"/>
  <c r="U159" i="96" a="1"/>
  <c r="U159" i="96" s="1"/>
  <c r="T159" i="96" a="1"/>
  <c r="T159" i="96" s="1"/>
  <c r="S159" i="96" a="1"/>
  <c r="S159" i="96" s="1"/>
  <c r="R159" i="96" a="1"/>
  <c r="R159" i="96" s="1"/>
  <c r="Q159" i="96" a="1"/>
  <c r="Q159" i="96" s="1"/>
  <c r="P159" i="96" a="1"/>
  <c r="P159" i="96" s="1"/>
  <c r="O159" i="96" a="1"/>
  <c r="O159" i="96" s="1"/>
  <c r="N159" i="96" a="1"/>
  <c r="N159" i="96" s="1"/>
  <c r="M159" i="96" a="1"/>
  <c r="M159" i="96" s="1"/>
  <c r="L159" i="96" a="1"/>
  <c r="L159" i="96" s="1"/>
  <c r="K159" i="96" a="1"/>
  <c r="K159" i="96" s="1"/>
  <c r="J159" i="96" a="1"/>
  <c r="J159" i="96" s="1"/>
  <c r="I159" i="96" a="1"/>
  <c r="I159" i="96" s="1"/>
  <c r="H159" i="96" a="1"/>
  <c r="H159" i="96" s="1"/>
  <c r="G159" i="96" a="1"/>
  <c r="G159" i="96" s="1"/>
  <c r="F159" i="96" a="1"/>
  <c r="F159" i="96" s="1"/>
  <c r="E159" i="96" a="1"/>
  <c r="E159" i="96" s="1"/>
  <c r="D159" i="96" a="1"/>
  <c r="D159" i="96" s="1"/>
  <c r="AH158" i="96" a="1"/>
  <c r="AH158" i="96" s="1"/>
  <c r="AG158" i="96" a="1"/>
  <c r="AG158" i="96" s="1"/>
  <c r="AF158" i="96" a="1"/>
  <c r="AF158" i="96" s="1"/>
  <c r="AE158" i="96" a="1"/>
  <c r="AE158" i="96" s="1"/>
  <c r="AD158" i="96" a="1"/>
  <c r="AD158" i="96" s="1"/>
  <c r="AC158" i="96" a="1"/>
  <c r="AC158" i="96" s="1"/>
  <c r="AB158" i="96" a="1"/>
  <c r="AB158" i="96" s="1"/>
  <c r="AA158" i="96" a="1"/>
  <c r="AA158" i="96" s="1"/>
  <c r="Z158" i="96" a="1"/>
  <c r="Z158" i="96" s="1"/>
  <c r="Y158" i="96" a="1"/>
  <c r="Y158" i="96" s="1"/>
  <c r="X158" i="96" a="1"/>
  <c r="X158" i="96" s="1"/>
  <c r="W158" i="96" a="1"/>
  <c r="W158" i="96" s="1"/>
  <c r="V158" i="96" a="1"/>
  <c r="V158" i="96" s="1"/>
  <c r="U158" i="96" a="1"/>
  <c r="U158" i="96" s="1"/>
  <c r="T158" i="96" a="1"/>
  <c r="T158" i="96" s="1"/>
  <c r="S158" i="96" a="1"/>
  <c r="S158" i="96" s="1"/>
  <c r="R158" i="96" a="1"/>
  <c r="R158" i="96" s="1"/>
  <c r="Q158" i="96" a="1"/>
  <c r="Q158" i="96" s="1"/>
  <c r="P158" i="96" a="1"/>
  <c r="P158" i="96" s="1"/>
  <c r="O158" i="96" a="1"/>
  <c r="O158" i="96" s="1"/>
  <c r="N158" i="96" a="1"/>
  <c r="N158" i="96" s="1"/>
  <c r="M158" i="96" a="1"/>
  <c r="M158" i="96" s="1"/>
  <c r="L158" i="96" a="1"/>
  <c r="L158" i="96" s="1"/>
  <c r="K158" i="96" a="1"/>
  <c r="K158" i="96" s="1"/>
  <c r="J158" i="96" a="1"/>
  <c r="J158" i="96" s="1"/>
  <c r="I158" i="96" a="1"/>
  <c r="I158" i="96" s="1"/>
  <c r="H158" i="96" a="1"/>
  <c r="H158" i="96" s="1"/>
  <c r="G158" i="96" a="1"/>
  <c r="G158" i="96" s="1"/>
  <c r="F158" i="96" a="1"/>
  <c r="F158" i="96" s="1"/>
  <c r="E158" i="96" a="1"/>
  <c r="E158" i="96" s="1"/>
  <c r="D158" i="96" a="1"/>
  <c r="D158" i="96" s="1"/>
  <c r="AH157" i="96" a="1"/>
  <c r="AH157" i="96" s="1"/>
  <c r="AG157" i="96" a="1"/>
  <c r="AG157" i="96" s="1"/>
  <c r="AF157" i="96" a="1"/>
  <c r="AF157" i="96" s="1"/>
  <c r="AE157" i="96" a="1"/>
  <c r="AE157" i="96" s="1"/>
  <c r="AD157" i="96" a="1"/>
  <c r="AD157" i="96" s="1"/>
  <c r="AC157" i="96" a="1"/>
  <c r="AC157" i="96" s="1"/>
  <c r="AB157" i="96" a="1"/>
  <c r="AB157" i="96" s="1"/>
  <c r="AA157" i="96" a="1"/>
  <c r="AA157" i="96" s="1"/>
  <c r="Z157" i="96" a="1"/>
  <c r="Z157" i="96" s="1"/>
  <c r="Y157" i="96" a="1"/>
  <c r="Y157" i="96" s="1"/>
  <c r="X157" i="96" a="1"/>
  <c r="X157" i="96" s="1"/>
  <c r="W157" i="96" a="1"/>
  <c r="W157" i="96" s="1"/>
  <c r="V157" i="96" a="1"/>
  <c r="V157" i="96" s="1"/>
  <c r="U157" i="96" a="1"/>
  <c r="U157" i="96" s="1"/>
  <c r="T157" i="96" a="1"/>
  <c r="T157" i="96" s="1"/>
  <c r="S157" i="96" a="1"/>
  <c r="S157" i="96" s="1"/>
  <c r="R157" i="96" a="1"/>
  <c r="R157" i="96" s="1"/>
  <c r="Q157" i="96" a="1"/>
  <c r="Q157" i="96" s="1"/>
  <c r="P157" i="96" a="1"/>
  <c r="P157" i="96" s="1"/>
  <c r="O157" i="96" a="1"/>
  <c r="O157" i="96" s="1"/>
  <c r="N157" i="96" a="1"/>
  <c r="N157" i="96" s="1"/>
  <c r="M157" i="96" a="1"/>
  <c r="M157" i="96" s="1"/>
  <c r="L157" i="96" a="1"/>
  <c r="L157" i="96" s="1"/>
  <c r="K157" i="96" a="1"/>
  <c r="K157" i="96" s="1"/>
  <c r="J157" i="96" a="1"/>
  <c r="J157" i="96" s="1"/>
  <c r="I157" i="96" a="1"/>
  <c r="I157" i="96" s="1"/>
  <c r="H157" i="96" a="1"/>
  <c r="H157" i="96" s="1"/>
  <c r="G157" i="96" a="1"/>
  <c r="G157" i="96" s="1"/>
  <c r="F157" i="96" a="1"/>
  <c r="F157" i="96" s="1"/>
  <c r="E157" i="96" a="1"/>
  <c r="E157" i="96" s="1"/>
  <c r="D157" i="96" a="1"/>
  <c r="D157" i="96" s="1"/>
  <c r="AH156" i="96" a="1"/>
  <c r="AH156" i="96" s="1"/>
  <c r="AG156" i="96" a="1"/>
  <c r="AG156" i="96" s="1"/>
  <c r="AF156" i="96" a="1"/>
  <c r="AF156" i="96" s="1"/>
  <c r="AE156" i="96" a="1"/>
  <c r="AE156" i="96" s="1"/>
  <c r="AD156" i="96" a="1"/>
  <c r="AD156" i="96" s="1"/>
  <c r="AC156" i="96" a="1"/>
  <c r="AC156" i="96" s="1"/>
  <c r="AB156" i="96" a="1"/>
  <c r="AB156" i="96" s="1"/>
  <c r="AA156" i="96" a="1"/>
  <c r="AA156" i="96" s="1"/>
  <c r="Z156" i="96" a="1"/>
  <c r="Z156" i="96" s="1"/>
  <c r="Y156" i="96" a="1"/>
  <c r="Y156" i="96" s="1"/>
  <c r="X156" i="96" a="1"/>
  <c r="X156" i="96" s="1"/>
  <c r="W156" i="96" a="1"/>
  <c r="W156" i="96" s="1"/>
  <c r="V156" i="96" a="1"/>
  <c r="V156" i="96" s="1"/>
  <c r="U156" i="96" a="1"/>
  <c r="U156" i="96" s="1"/>
  <c r="T156" i="96" a="1"/>
  <c r="T156" i="96" s="1"/>
  <c r="S156" i="96" a="1"/>
  <c r="S156" i="96" s="1"/>
  <c r="R156" i="96" a="1"/>
  <c r="R156" i="96" s="1"/>
  <c r="Q156" i="96" a="1"/>
  <c r="Q156" i="96" s="1"/>
  <c r="P156" i="96" a="1"/>
  <c r="P156" i="96" s="1"/>
  <c r="O156" i="96" a="1"/>
  <c r="O156" i="96" s="1"/>
  <c r="N156" i="96" a="1"/>
  <c r="N156" i="96" s="1"/>
  <c r="M156" i="96" a="1"/>
  <c r="M156" i="96" s="1"/>
  <c r="L156" i="96" a="1"/>
  <c r="L156" i="96" s="1"/>
  <c r="K156" i="96" a="1"/>
  <c r="K156" i="96" s="1"/>
  <c r="J156" i="96" a="1"/>
  <c r="J156" i="96" s="1"/>
  <c r="I156" i="96" a="1"/>
  <c r="I156" i="96" s="1"/>
  <c r="H156" i="96" a="1"/>
  <c r="H156" i="96" s="1"/>
  <c r="G156" i="96" a="1"/>
  <c r="G156" i="96" s="1"/>
  <c r="F156" i="96" a="1"/>
  <c r="F156" i="96" s="1"/>
  <c r="E156" i="96" a="1"/>
  <c r="E156" i="96" s="1"/>
  <c r="D156" i="96" a="1"/>
  <c r="D156" i="96" s="1"/>
  <c r="AH155" i="96" a="1"/>
  <c r="AH155" i="96" s="1"/>
  <c r="AG155" i="96" a="1"/>
  <c r="AG155" i="96" s="1"/>
  <c r="AF155" i="96" a="1"/>
  <c r="AF155" i="96" s="1"/>
  <c r="AE155" i="96" a="1"/>
  <c r="AE155" i="96" s="1"/>
  <c r="AD155" i="96" a="1"/>
  <c r="AD155" i="96" s="1"/>
  <c r="AC155" i="96" a="1"/>
  <c r="AC155" i="96" s="1"/>
  <c r="AB155" i="96" a="1"/>
  <c r="AB155" i="96" s="1"/>
  <c r="AA155" i="96" a="1"/>
  <c r="AA155" i="96" s="1"/>
  <c r="Z155" i="96" a="1"/>
  <c r="Z155" i="96" s="1"/>
  <c r="Y155" i="96" a="1"/>
  <c r="Y155" i="96" s="1"/>
  <c r="X155" i="96" a="1"/>
  <c r="X155" i="96" s="1"/>
  <c r="W155" i="96" a="1"/>
  <c r="W155" i="96" s="1"/>
  <c r="V155" i="96" a="1"/>
  <c r="V155" i="96" s="1"/>
  <c r="U155" i="96" a="1"/>
  <c r="U155" i="96" s="1"/>
  <c r="T155" i="96" a="1"/>
  <c r="T155" i="96" s="1"/>
  <c r="S155" i="96" a="1"/>
  <c r="S155" i="96" s="1"/>
  <c r="R155" i="96" a="1"/>
  <c r="R155" i="96" s="1"/>
  <c r="Q155" i="96" a="1"/>
  <c r="Q155" i="96" s="1"/>
  <c r="P155" i="96" a="1"/>
  <c r="P155" i="96" s="1"/>
  <c r="O155" i="96" a="1"/>
  <c r="O155" i="96" s="1"/>
  <c r="N155" i="96" a="1"/>
  <c r="N155" i="96" s="1"/>
  <c r="M155" i="96" a="1"/>
  <c r="M155" i="96" s="1"/>
  <c r="L155" i="96" a="1"/>
  <c r="L155" i="96" s="1"/>
  <c r="K155" i="96" a="1"/>
  <c r="K155" i="96" s="1"/>
  <c r="J155" i="96" a="1"/>
  <c r="J155" i="96" s="1"/>
  <c r="I155" i="96" a="1"/>
  <c r="I155" i="96" s="1"/>
  <c r="H155" i="96" a="1"/>
  <c r="H155" i="96" s="1"/>
  <c r="G155" i="96" a="1"/>
  <c r="G155" i="96" s="1"/>
  <c r="F155" i="96" a="1"/>
  <c r="F155" i="96" s="1"/>
  <c r="E155" i="96" a="1"/>
  <c r="E155" i="96" s="1"/>
  <c r="D155" i="96" a="1"/>
  <c r="D155" i="96" s="1"/>
  <c r="AH154" i="96" a="1"/>
  <c r="AH154" i="96" s="1"/>
  <c r="AG154" i="96" a="1"/>
  <c r="AG154" i="96" s="1"/>
  <c r="AF154" i="96" a="1"/>
  <c r="AF154" i="96" s="1"/>
  <c r="AE154" i="96" a="1"/>
  <c r="AE154" i="96" s="1"/>
  <c r="AD154" i="96" a="1"/>
  <c r="AD154" i="96" s="1"/>
  <c r="AC154" i="96" a="1"/>
  <c r="AC154" i="96" s="1"/>
  <c r="AB154" i="96" a="1"/>
  <c r="AB154" i="96" s="1"/>
  <c r="AA154" i="96" a="1"/>
  <c r="AA154" i="96" s="1"/>
  <c r="Z154" i="96" a="1"/>
  <c r="Z154" i="96" s="1"/>
  <c r="Y154" i="96" a="1"/>
  <c r="Y154" i="96" s="1"/>
  <c r="X154" i="96" a="1"/>
  <c r="X154" i="96" s="1"/>
  <c r="W154" i="96" a="1"/>
  <c r="W154" i="96" s="1"/>
  <c r="V154" i="96" a="1"/>
  <c r="V154" i="96" s="1"/>
  <c r="U154" i="96" a="1"/>
  <c r="U154" i="96" s="1"/>
  <c r="T154" i="96" a="1"/>
  <c r="T154" i="96" s="1"/>
  <c r="S154" i="96" a="1"/>
  <c r="S154" i="96" s="1"/>
  <c r="R154" i="96" a="1"/>
  <c r="R154" i="96" s="1"/>
  <c r="Q154" i="96" a="1"/>
  <c r="Q154" i="96" s="1"/>
  <c r="P154" i="96" a="1"/>
  <c r="P154" i="96" s="1"/>
  <c r="O154" i="96" a="1"/>
  <c r="O154" i="96" s="1"/>
  <c r="N154" i="96" a="1"/>
  <c r="N154" i="96" s="1"/>
  <c r="M154" i="96" a="1"/>
  <c r="M154" i="96" s="1"/>
  <c r="L154" i="96" a="1"/>
  <c r="L154" i="96" s="1"/>
  <c r="K154" i="96" a="1"/>
  <c r="K154" i="96" s="1"/>
  <c r="J154" i="96" a="1"/>
  <c r="J154" i="96" s="1"/>
  <c r="I154" i="96" a="1"/>
  <c r="I154" i="96" s="1"/>
  <c r="H154" i="96" a="1"/>
  <c r="H154" i="96" s="1"/>
  <c r="G154" i="96" a="1"/>
  <c r="G154" i="96" s="1"/>
  <c r="F154" i="96" a="1"/>
  <c r="F154" i="96" s="1"/>
  <c r="E154" i="96" a="1"/>
  <c r="E154" i="96" s="1"/>
  <c r="D154" i="96" a="1"/>
  <c r="D154" i="96" s="1"/>
  <c r="AH153" i="96" a="1"/>
  <c r="AH153" i="96" s="1"/>
  <c r="AG153" i="96" a="1"/>
  <c r="AG153" i="96" s="1"/>
  <c r="AF153" i="96" a="1"/>
  <c r="AF153" i="96" s="1"/>
  <c r="AE153" i="96" a="1"/>
  <c r="AE153" i="96" s="1"/>
  <c r="AD153" i="96" a="1"/>
  <c r="AD153" i="96" s="1"/>
  <c r="AC153" i="96" a="1"/>
  <c r="AC153" i="96" s="1"/>
  <c r="AB153" i="96" a="1"/>
  <c r="AB153" i="96" s="1"/>
  <c r="AA153" i="96" a="1"/>
  <c r="AA153" i="96" s="1"/>
  <c r="Z153" i="96" a="1"/>
  <c r="Z153" i="96" s="1"/>
  <c r="Y153" i="96" a="1"/>
  <c r="Y153" i="96" s="1"/>
  <c r="X153" i="96" a="1"/>
  <c r="X153" i="96" s="1"/>
  <c r="W153" i="96" a="1"/>
  <c r="W153" i="96" s="1"/>
  <c r="V153" i="96" a="1"/>
  <c r="V153" i="96" s="1"/>
  <c r="U153" i="96" a="1"/>
  <c r="U153" i="96" s="1"/>
  <c r="T153" i="96" a="1"/>
  <c r="T153" i="96" s="1"/>
  <c r="S153" i="96" a="1"/>
  <c r="S153" i="96" s="1"/>
  <c r="R153" i="96" a="1"/>
  <c r="R153" i="96" s="1"/>
  <c r="Q153" i="96" a="1"/>
  <c r="Q153" i="96" s="1"/>
  <c r="P153" i="96" a="1"/>
  <c r="P153" i="96" s="1"/>
  <c r="O153" i="96" a="1"/>
  <c r="O153" i="96" s="1"/>
  <c r="N153" i="96" a="1"/>
  <c r="N153" i="96" s="1"/>
  <c r="M153" i="96" a="1"/>
  <c r="M153" i="96" s="1"/>
  <c r="L153" i="96" a="1"/>
  <c r="L153" i="96" s="1"/>
  <c r="K153" i="96" a="1"/>
  <c r="K153" i="96" s="1"/>
  <c r="J153" i="96" a="1"/>
  <c r="J153" i="96" s="1"/>
  <c r="I153" i="96" a="1"/>
  <c r="I153" i="96" s="1"/>
  <c r="H153" i="96" a="1"/>
  <c r="H153" i="96" s="1"/>
  <c r="G153" i="96" a="1"/>
  <c r="G153" i="96" s="1"/>
  <c r="F153" i="96" a="1"/>
  <c r="F153" i="96" s="1"/>
  <c r="E153" i="96" a="1"/>
  <c r="E153" i="96" s="1"/>
  <c r="D153" i="96" a="1"/>
  <c r="D153" i="96" s="1"/>
  <c r="AH152" i="96" a="1"/>
  <c r="AH152" i="96" s="1"/>
  <c r="AG152" i="96" a="1"/>
  <c r="AG152" i="96" s="1"/>
  <c r="AF152" i="96" a="1"/>
  <c r="AF152" i="96" s="1"/>
  <c r="AE152" i="96" a="1"/>
  <c r="AE152" i="96" s="1"/>
  <c r="AD152" i="96" a="1"/>
  <c r="AD152" i="96" s="1"/>
  <c r="AC152" i="96" a="1"/>
  <c r="AC152" i="96" s="1"/>
  <c r="AB152" i="96" a="1"/>
  <c r="AB152" i="96" s="1"/>
  <c r="AA152" i="96" a="1"/>
  <c r="AA152" i="96" s="1"/>
  <c r="Z152" i="96" a="1"/>
  <c r="Z152" i="96" s="1"/>
  <c r="Y152" i="96" a="1"/>
  <c r="Y152" i="96" s="1"/>
  <c r="X152" i="96" a="1"/>
  <c r="X152" i="96" s="1"/>
  <c r="W152" i="96" a="1"/>
  <c r="W152" i="96" s="1"/>
  <c r="V152" i="96" a="1"/>
  <c r="V152" i="96" s="1"/>
  <c r="U152" i="96" a="1"/>
  <c r="U152" i="96" s="1"/>
  <c r="T152" i="96" a="1"/>
  <c r="T152" i="96" s="1"/>
  <c r="S152" i="96" a="1"/>
  <c r="S152" i="96" s="1"/>
  <c r="R152" i="96" a="1"/>
  <c r="R152" i="96" s="1"/>
  <c r="Q152" i="96" a="1"/>
  <c r="Q152" i="96" s="1"/>
  <c r="P152" i="96" a="1"/>
  <c r="P152" i="96" s="1"/>
  <c r="O152" i="96" a="1"/>
  <c r="O152" i="96" s="1"/>
  <c r="N152" i="96" a="1"/>
  <c r="N152" i="96" s="1"/>
  <c r="M152" i="96" a="1"/>
  <c r="M152" i="96" s="1"/>
  <c r="L152" i="96" a="1"/>
  <c r="L152" i="96" s="1"/>
  <c r="K152" i="96" a="1"/>
  <c r="K152" i="96" s="1"/>
  <c r="J152" i="96" a="1"/>
  <c r="J152" i="96" s="1"/>
  <c r="I152" i="96" a="1"/>
  <c r="I152" i="96" s="1"/>
  <c r="H152" i="96" a="1"/>
  <c r="H152" i="96" s="1"/>
  <c r="G152" i="96" a="1"/>
  <c r="G152" i="96" s="1"/>
  <c r="F152" i="96" a="1"/>
  <c r="F152" i="96" s="1"/>
  <c r="E152" i="96" a="1"/>
  <c r="E152" i="96" s="1"/>
  <c r="D152" i="96" a="1"/>
  <c r="D152" i="96" s="1"/>
  <c r="AH151" i="96" a="1"/>
  <c r="AH151" i="96" s="1"/>
  <c r="AG151" i="96" a="1"/>
  <c r="AG151" i="96" s="1"/>
  <c r="AF151" i="96" a="1"/>
  <c r="AF151" i="96" s="1"/>
  <c r="AE151" i="96" a="1"/>
  <c r="AE151" i="96" s="1"/>
  <c r="AD151" i="96" a="1"/>
  <c r="AD151" i="96" s="1"/>
  <c r="AC151" i="96" a="1"/>
  <c r="AC151" i="96" s="1"/>
  <c r="AB151" i="96" a="1"/>
  <c r="AB151" i="96" s="1"/>
  <c r="AA151" i="96" a="1"/>
  <c r="AA151" i="96" s="1"/>
  <c r="Z151" i="96" a="1"/>
  <c r="Z151" i="96" s="1"/>
  <c r="Y151" i="96" a="1"/>
  <c r="Y151" i="96" s="1"/>
  <c r="X151" i="96" a="1"/>
  <c r="X151" i="96" s="1"/>
  <c r="W151" i="96" a="1"/>
  <c r="W151" i="96" s="1"/>
  <c r="V151" i="96" a="1"/>
  <c r="V151" i="96" s="1"/>
  <c r="U151" i="96" a="1"/>
  <c r="U151" i="96" s="1"/>
  <c r="T151" i="96" a="1"/>
  <c r="T151" i="96" s="1"/>
  <c r="S151" i="96" a="1"/>
  <c r="S151" i="96" s="1"/>
  <c r="R151" i="96" a="1"/>
  <c r="R151" i="96" s="1"/>
  <c r="Q151" i="96" a="1"/>
  <c r="Q151" i="96" s="1"/>
  <c r="P151" i="96" a="1"/>
  <c r="P151" i="96" s="1"/>
  <c r="O151" i="96" a="1"/>
  <c r="O151" i="96" s="1"/>
  <c r="N151" i="96" a="1"/>
  <c r="N151" i="96" s="1"/>
  <c r="M151" i="96" a="1"/>
  <c r="M151" i="96" s="1"/>
  <c r="L151" i="96" a="1"/>
  <c r="L151" i="96" s="1"/>
  <c r="K151" i="96" a="1"/>
  <c r="K151" i="96" s="1"/>
  <c r="J151" i="96" a="1"/>
  <c r="J151" i="96" s="1"/>
  <c r="I151" i="96" a="1"/>
  <c r="I151" i="96" s="1"/>
  <c r="H151" i="96" a="1"/>
  <c r="H151" i="96" s="1"/>
  <c r="G151" i="96" a="1"/>
  <c r="G151" i="96" s="1"/>
  <c r="F151" i="96" a="1"/>
  <c r="F151" i="96" s="1"/>
  <c r="E151" i="96" a="1"/>
  <c r="E151" i="96" s="1"/>
  <c r="D151" i="96" a="1"/>
  <c r="D151" i="96" s="1"/>
  <c r="AH150" i="96" a="1"/>
  <c r="AH150" i="96" s="1"/>
  <c r="AG150" i="96" a="1"/>
  <c r="AG150" i="96" s="1"/>
  <c r="AF150" i="96" a="1"/>
  <c r="AF150" i="96" s="1"/>
  <c r="AE150" i="96" a="1"/>
  <c r="AE150" i="96" s="1"/>
  <c r="AD150" i="96" a="1"/>
  <c r="AD150" i="96" s="1"/>
  <c r="AC150" i="96" a="1"/>
  <c r="AC150" i="96" s="1"/>
  <c r="AB150" i="96" a="1"/>
  <c r="AB150" i="96" s="1"/>
  <c r="AA150" i="96" a="1"/>
  <c r="AA150" i="96" s="1"/>
  <c r="Z150" i="96" a="1"/>
  <c r="Z150" i="96" s="1"/>
  <c r="Y150" i="96" a="1"/>
  <c r="Y150" i="96" s="1"/>
  <c r="X150" i="96" a="1"/>
  <c r="X150" i="96" s="1"/>
  <c r="W150" i="96" a="1"/>
  <c r="W150" i="96" s="1"/>
  <c r="V150" i="96" a="1"/>
  <c r="V150" i="96" s="1"/>
  <c r="U150" i="96" a="1"/>
  <c r="U150" i="96" s="1"/>
  <c r="T150" i="96" a="1"/>
  <c r="T150" i="96" s="1"/>
  <c r="S150" i="96" a="1"/>
  <c r="S150" i="96" s="1"/>
  <c r="R150" i="96" a="1"/>
  <c r="R150" i="96" s="1"/>
  <c r="Q150" i="96" a="1"/>
  <c r="Q150" i="96" s="1"/>
  <c r="P150" i="96" a="1"/>
  <c r="P150" i="96" s="1"/>
  <c r="O150" i="96" a="1"/>
  <c r="O150" i="96" s="1"/>
  <c r="N150" i="96" a="1"/>
  <c r="N150" i="96" s="1"/>
  <c r="M150" i="96" a="1"/>
  <c r="M150" i="96" s="1"/>
  <c r="L150" i="96" a="1"/>
  <c r="L150" i="96" s="1"/>
  <c r="K150" i="96" a="1"/>
  <c r="K150" i="96" s="1"/>
  <c r="J150" i="96" a="1"/>
  <c r="J150" i="96" s="1"/>
  <c r="I150" i="96" a="1"/>
  <c r="I150" i="96" s="1"/>
  <c r="H150" i="96" a="1"/>
  <c r="H150" i="96" s="1"/>
  <c r="G150" i="96" a="1"/>
  <c r="G150" i="96" s="1"/>
  <c r="F150" i="96" a="1"/>
  <c r="F150" i="96" s="1"/>
  <c r="E150" i="96" a="1"/>
  <c r="E150" i="96" s="1"/>
  <c r="D150" i="96" a="1"/>
  <c r="D150" i="96" s="1"/>
  <c r="AH149" i="96" a="1"/>
  <c r="AH149" i="96" s="1"/>
  <c r="AG149" i="96" a="1"/>
  <c r="AG149" i="96" s="1"/>
  <c r="AF149" i="96" a="1"/>
  <c r="AF149" i="96" s="1"/>
  <c r="AE149" i="96" a="1"/>
  <c r="AE149" i="96" s="1"/>
  <c r="AD149" i="96" a="1"/>
  <c r="AD149" i="96" s="1"/>
  <c r="AC149" i="96" a="1"/>
  <c r="AC149" i="96" s="1"/>
  <c r="AB149" i="96" a="1"/>
  <c r="AB149" i="96" s="1"/>
  <c r="AA149" i="96" a="1"/>
  <c r="AA149" i="96" s="1"/>
  <c r="Z149" i="96" a="1"/>
  <c r="Z149" i="96" s="1"/>
  <c r="Y149" i="96" a="1"/>
  <c r="Y149" i="96" s="1"/>
  <c r="X149" i="96" a="1"/>
  <c r="X149" i="96" s="1"/>
  <c r="W149" i="96" a="1"/>
  <c r="W149" i="96" s="1"/>
  <c r="V149" i="96" a="1"/>
  <c r="V149" i="96" s="1"/>
  <c r="U149" i="96" a="1"/>
  <c r="U149" i="96" s="1"/>
  <c r="T149" i="96" a="1"/>
  <c r="T149" i="96" s="1"/>
  <c r="S149" i="96" a="1"/>
  <c r="S149" i="96" s="1"/>
  <c r="R149" i="96" a="1"/>
  <c r="R149" i="96" s="1"/>
  <c r="Q149" i="96" a="1"/>
  <c r="Q149" i="96" s="1"/>
  <c r="P149" i="96" a="1"/>
  <c r="P149" i="96" s="1"/>
  <c r="O149" i="96" a="1"/>
  <c r="O149" i="96" s="1"/>
  <c r="N149" i="96" a="1"/>
  <c r="N149" i="96" s="1"/>
  <c r="M149" i="96" a="1"/>
  <c r="M149" i="96" s="1"/>
  <c r="L149" i="96" a="1"/>
  <c r="L149" i="96" s="1"/>
  <c r="K149" i="96" a="1"/>
  <c r="K149" i="96" s="1"/>
  <c r="J149" i="96" a="1"/>
  <c r="J149" i="96" s="1"/>
  <c r="I149" i="96" a="1"/>
  <c r="I149" i="96" s="1"/>
  <c r="H149" i="96" a="1"/>
  <c r="H149" i="96" s="1"/>
  <c r="G149" i="96" a="1"/>
  <c r="G149" i="96" s="1"/>
  <c r="F149" i="96" a="1"/>
  <c r="F149" i="96" s="1"/>
  <c r="E149" i="96" a="1"/>
  <c r="E149" i="96" s="1"/>
  <c r="D149" i="96" a="1"/>
  <c r="D149" i="96" s="1"/>
  <c r="AH148" i="96" a="1"/>
  <c r="AH148" i="96" s="1"/>
  <c r="AG148" i="96" a="1"/>
  <c r="AG148" i="96" s="1"/>
  <c r="AF148" i="96" a="1"/>
  <c r="AF148" i="96" s="1"/>
  <c r="AE148" i="96" a="1"/>
  <c r="AE148" i="96" s="1"/>
  <c r="AD148" i="96" a="1"/>
  <c r="AD148" i="96" s="1"/>
  <c r="AC148" i="96" a="1"/>
  <c r="AC148" i="96" s="1"/>
  <c r="AB148" i="96" a="1"/>
  <c r="AB148" i="96" s="1"/>
  <c r="AA148" i="96" a="1"/>
  <c r="AA148" i="96" s="1"/>
  <c r="Z148" i="96" a="1"/>
  <c r="Z148" i="96" s="1"/>
  <c r="Y148" i="96" a="1"/>
  <c r="Y148" i="96" s="1"/>
  <c r="X148" i="96" a="1"/>
  <c r="X148" i="96" s="1"/>
  <c r="W148" i="96" a="1"/>
  <c r="W148" i="96" s="1"/>
  <c r="V148" i="96" a="1"/>
  <c r="V148" i="96" s="1"/>
  <c r="U148" i="96" a="1"/>
  <c r="U148" i="96" s="1"/>
  <c r="T148" i="96" a="1"/>
  <c r="T148" i="96" s="1"/>
  <c r="S148" i="96" a="1"/>
  <c r="S148" i="96" s="1"/>
  <c r="R148" i="96" a="1"/>
  <c r="R148" i="96" s="1"/>
  <c r="Q148" i="96" a="1"/>
  <c r="Q148" i="96" s="1"/>
  <c r="P148" i="96" a="1"/>
  <c r="P148" i="96" s="1"/>
  <c r="O148" i="96" a="1"/>
  <c r="O148" i="96" s="1"/>
  <c r="N148" i="96" a="1"/>
  <c r="N148" i="96" s="1"/>
  <c r="M148" i="96" a="1"/>
  <c r="M148" i="96" s="1"/>
  <c r="L148" i="96" a="1"/>
  <c r="L148" i="96" s="1"/>
  <c r="K148" i="96" a="1"/>
  <c r="K148" i="96" s="1"/>
  <c r="J148" i="96" a="1"/>
  <c r="J148" i="96" s="1"/>
  <c r="I148" i="96" a="1"/>
  <c r="I148" i="96" s="1"/>
  <c r="H148" i="96" a="1"/>
  <c r="H148" i="96" s="1"/>
  <c r="G148" i="96" a="1"/>
  <c r="G148" i="96" s="1"/>
  <c r="F148" i="96" a="1"/>
  <c r="F148" i="96" s="1"/>
  <c r="E148" i="96" a="1"/>
  <c r="E148" i="96" s="1"/>
  <c r="D148" i="96" a="1"/>
  <c r="D148" i="96" s="1"/>
  <c r="AH147" i="96" a="1"/>
  <c r="AH147" i="96" s="1"/>
  <c r="AG147" i="96" a="1"/>
  <c r="AG147" i="96" s="1"/>
  <c r="AF147" i="96" a="1"/>
  <c r="AF147" i="96" s="1"/>
  <c r="AE147" i="96" a="1"/>
  <c r="AE147" i="96" s="1"/>
  <c r="AD147" i="96" a="1"/>
  <c r="AD147" i="96" s="1"/>
  <c r="AC147" i="96" a="1"/>
  <c r="AC147" i="96" s="1"/>
  <c r="AB147" i="96" a="1"/>
  <c r="AB147" i="96" s="1"/>
  <c r="AA147" i="96" a="1"/>
  <c r="AA147" i="96" s="1"/>
  <c r="Z147" i="96" a="1"/>
  <c r="Z147" i="96" s="1"/>
  <c r="Y147" i="96" a="1"/>
  <c r="Y147" i="96" s="1"/>
  <c r="X147" i="96" a="1"/>
  <c r="X147" i="96" s="1"/>
  <c r="W147" i="96" a="1"/>
  <c r="W147" i="96" s="1"/>
  <c r="V147" i="96" a="1"/>
  <c r="V147" i="96" s="1"/>
  <c r="U147" i="96" a="1"/>
  <c r="U147" i="96" s="1"/>
  <c r="T147" i="96" a="1"/>
  <c r="T147" i="96" s="1"/>
  <c r="S147" i="96" a="1"/>
  <c r="S147" i="96" s="1"/>
  <c r="R147" i="96" a="1"/>
  <c r="R147" i="96" s="1"/>
  <c r="Q147" i="96" a="1"/>
  <c r="Q147" i="96" s="1"/>
  <c r="P147" i="96" a="1"/>
  <c r="P147" i="96" s="1"/>
  <c r="O147" i="96" a="1"/>
  <c r="O147" i="96" s="1"/>
  <c r="N147" i="96" a="1"/>
  <c r="N147" i="96" s="1"/>
  <c r="M147" i="96" a="1"/>
  <c r="M147" i="96" s="1"/>
  <c r="L147" i="96" a="1"/>
  <c r="L147" i="96" s="1"/>
  <c r="K147" i="96" a="1"/>
  <c r="K147" i="96" s="1"/>
  <c r="J147" i="96" a="1"/>
  <c r="J147" i="96" s="1"/>
  <c r="I147" i="96" a="1"/>
  <c r="I147" i="96" s="1"/>
  <c r="H147" i="96" a="1"/>
  <c r="H147" i="96" s="1"/>
  <c r="G147" i="96" a="1"/>
  <c r="G147" i="96" s="1"/>
  <c r="F147" i="96" a="1"/>
  <c r="F147" i="96" s="1"/>
  <c r="E147" i="96" a="1"/>
  <c r="E147" i="96" s="1"/>
  <c r="D147" i="96" a="1"/>
  <c r="D147" i="96" s="1"/>
  <c r="AH146" i="96" a="1"/>
  <c r="AH146" i="96" s="1"/>
  <c r="AG146" i="96" a="1"/>
  <c r="AG146" i="96" s="1"/>
  <c r="AF146" i="96" a="1"/>
  <c r="AF146" i="96" s="1"/>
  <c r="AE146" i="96" a="1"/>
  <c r="AE146" i="96" s="1"/>
  <c r="AD146" i="96" a="1"/>
  <c r="AD146" i="96" s="1"/>
  <c r="AC146" i="96" a="1"/>
  <c r="AC146" i="96" s="1"/>
  <c r="AB146" i="96" a="1"/>
  <c r="AB146" i="96" s="1"/>
  <c r="AA146" i="96" a="1"/>
  <c r="AA146" i="96" s="1"/>
  <c r="Z146" i="96" a="1"/>
  <c r="Z146" i="96" s="1"/>
  <c r="Y146" i="96" a="1"/>
  <c r="Y146" i="96" s="1"/>
  <c r="X146" i="96" a="1"/>
  <c r="X146" i="96" s="1"/>
  <c r="W146" i="96" a="1"/>
  <c r="W146" i="96" s="1"/>
  <c r="V146" i="96" a="1"/>
  <c r="V146" i="96" s="1"/>
  <c r="U146" i="96" a="1"/>
  <c r="U146" i="96" s="1"/>
  <c r="T146" i="96" a="1"/>
  <c r="T146" i="96" s="1"/>
  <c r="S146" i="96" a="1"/>
  <c r="S146" i="96" s="1"/>
  <c r="R146" i="96" a="1"/>
  <c r="R146" i="96" s="1"/>
  <c r="Q146" i="96" a="1"/>
  <c r="Q146" i="96" s="1"/>
  <c r="P146" i="96" a="1"/>
  <c r="P146" i="96" s="1"/>
  <c r="O146" i="96" a="1"/>
  <c r="O146" i="96" s="1"/>
  <c r="N146" i="96" a="1"/>
  <c r="N146" i="96" s="1"/>
  <c r="M146" i="96" a="1"/>
  <c r="M146" i="96" s="1"/>
  <c r="L146" i="96" a="1"/>
  <c r="L146" i="96" s="1"/>
  <c r="K146" i="96" a="1"/>
  <c r="K146" i="96" s="1"/>
  <c r="J146" i="96" a="1"/>
  <c r="J146" i="96" s="1"/>
  <c r="I146" i="96" a="1"/>
  <c r="I146" i="96" s="1"/>
  <c r="H146" i="96" a="1"/>
  <c r="H146" i="96" s="1"/>
  <c r="G146" i="96" a="1"/>
  <c r="G146" i="96" s="1"/>
  <c r="F146" i="96" a="1"/>
  <c r="F146" i="96" s="1"/>
  <c r="E146" i="96" a="1"/>
  <c r="E146" i="96" s="1"/>
  <c r="D146" i="96" a="1"/>
  <c r="D146" i="96" s="1"/>
  <c r="AH145" i="96" a="1"/>
  <c r="AH145" i="96" s="1"/>
  <c r="AG145" i="96" a="1"/>
  <c r="AG145" i="96" s="1"/>
  <c r="AF145" i="96" a="1"/>
  <c r="AF145" i="96" s="1"/>
  <c r="AE145" i="96" a="1"/>
  <c r="AE145" i="96" s="1"/>
  <c r="AD145" i="96" a="1"/>
  <c r="AD145" i="96" s="1"/>
  <c r="AC145" i="96" a="1"/>
  <c r="AC145" i="96" s="1"/>
  <c r="AB145" i="96" a="1"/>
  <c r="AB145" i="96" s="1"/>
  <c r="AA145" i="96" a="1"/>
  <c r="AA145" i="96" s="1"/>
  <c r="Z145" i="96" a="1"/>
  <c r="Z145" i="96" s="1"/>
  <c r="Y145" i="96" a="1"/>
  <c r="Y145" i="96" s="1"/>
  <c r="X145" i="96" a="1"/>
  <c r="X145" i="96" s="1"/>
  <c r="W145" i="96" a="1"/>
  <c r="W145" i="96" s="1"/>
  <c r="V145" i="96" a="1"/>
  <c r="V145" i="96" s="1"/>
  <c r="U145" i="96" a="1"/>
  <c r="U145" i="96" s="1"/>
  <c r="T145" i="96" a="1"/>
  <c r="T145" i="96" s="1"/>
  <c r="S145" i="96" a="1"/>
  <c r="S145" i="96" s="1"/>
  <c r="R145" i="96" a="1"/>
  <c r="R145" i="96" s="1"/>
  <c r="Q145" i="96" a="1"/>
  <c r="Q145" i="96" s="1"/>
  <c r="P145" i="96" a="1"/>
  <c r="P145" i="96" s="1"/>
  <c r="O145" i="96" a="1"/>
  <c r="O145" i="96" s="1"/>
  <c r="N145" i="96" a="1"/>
  <c r="N145" i="96" s="1"/>
  <c r="M145" i="96" a="1"/>
  <c r="M145" i="96" s="1"/>
  <c r="L145" i="96" a="1"/>
  <c r="L145" i="96" s="1"/>
  <c r="K145" i="96" a="1"/>
  <c r="K145" i="96" s="1"/>
  <c r="J145" i="96" a="1"/>
  <c r="J145" i="96" s="1"/>
  <c r="I145" i="96" a="1"/>
  <c r="I145" i="96" s="1"/>
  <c r="H145" i="96" a="1"/>
  <c r="H145" i="96" s="1"/>
  <c r="G145" i="96" a="1"/>
  <c r="G145" i="96" s="1"/>
  <c r="F145" i="96" a="1"/>
  <c r="F145" i="96" s="1"/>
  <c r="E145" i="96" a="1"/>
  <c r="E145" i="96" s="1"/>
  <c r="D145" i="96" a="1"/>
  <c r="D145" i="96" s="1"/>
  <c r="AH144" i="96" a="1"/>
  <c r="AH144" i="96" s="1"/>
  <c r="AG144" i="96" a="1"/>
  <c r="AG144" i="96" s="1"/>
  <c r="AF144" i="96" a="1"/>
  <c r="AF144" i="96" s="1"/>
  <c r="AE144" i="96" a="1"/>
  <c r="AE144" i="96" s="1"/>
  <c r="AD144" i="96" a="1"/>
  <c r="AD144" i="96" s="1"/>
  <c r="AC144" i="96" a="1"/>
  <c r="AC144" i="96" s="1"/>
  <c r="AB144" i="96" a="1"/>
  <c r="AB144" i="96" s="1"/>
  <c r="AA144" i="96" a="1"/>
  <c r="AA144" i="96" s="1"/>
  <c r="Z144" i="96" a="1"/>
  <c r="Z144" i="96" s="1"/>
  <c r="Y144" i="96" a="1"/>
  <c r="Y144" i="96" s="1"/>
  <c r="X144" i="96" a="1"/>
  <c r="X144" i="96" s="1"/>
  <c r="W144" i="96" a="1"/>
  <c r="W144" i="96" s="1"/>
  <c r="V144" i="96" a="1"/>
  <c r="V144" i="96" s="1"/>
  <c r="U144" i="96" a="1"/>
  <c r="U144" i="96" s="1"/>
  <c r="T144" i="96" a="1"/>
  <c r="T144" i="96" s="1"/>
  <c r="S144" i="96" a="1"/>
  <c r="S144" i="96" s="1"/>
  <c r="R144" i="96" a="1"/>
  <c r="R144" i="96" s="1"/>
  <c r="Q144" i="96" a="1"/>
  <c r="Q144" i="96" s="1"/>
  <c r="P144" i="96" a="1"/>
  <c r="P144" i="96" s="1"/>
  <c r="O144" i="96" a="1"/>
  <c r="O144" i="96" s="1"/>
  <c r="N144" i="96" a="1"/>
  <c r="N144" i="96" s="1"/>
  <c r="M144" i="96" a="1"/>
  <c r="M144" i="96" s="1"/>
  <c r="L144" i="96" a="1"/>
  <c r="L144" i="96" s="1"/>
  <c r="K144" i="96" a="1"/>
  <c r="K144" i="96" s="1"/>
  <c r="J144" i="96" a="1"/>
  <c r="J144" i="96" s="1"/>
  <c r="I144" i="96" a="1"/>
  <c r="I144" i="96" s="1"/>
  <c r="H144" i="96" a="1"/>
  <c r="H144" i="96" s="1"/>
  <c r="G144" i="96" a="1"/>
  <c r="G144" i="96" s="1"/>
  <c r="F144" i="96" a="1"/>
  <c r="F144" i="96" s="1"/>
  <c r="E144" i="96" a="1"/>
  <c r="E144" i="96" s="1"/>
  <c r="D144" i="96" a="1"/>
  <c r="D144" i="96" s="1"/>
  <c r="AH143" i="96" a="1"/>
  <c r="AH143" i="96" s="1"/>
  <c r="AG143" i="96" a="1"/>
  <c r="AG143" i="96" s="1"/>
  <c r="AF143" i="96" a="1"/>
  <c r="AF143" i="96" s="1"/>
  <c r="AE143" i="96" a="1"/>
  <c r="AE143" i="96" s="1"/>
  <c r="AD143" i="96" a="1"/>
  <c r="AD143" i="96" s="1"/>
  <c r="AC143" i="96" a="1"/>
  <c r="AC143" i="96" s="1"/>
  <c r="AB143" i="96" a="1"/>
  <c r="AB143" i="96" s="1"/>
  <c r="AA143" i="96" a="1"/>
  <c r="AA143" i="96" s="1"/>
  <c r="Z143" i="96" a="1"/>
  <c r="Z143" i="96" s="1"/>
  <c r="Y143" i="96" a="1"/>
  <c r="Y143" i="96" s="1"/>
  <c r="X143" i="96" a="1"/>
  <c r="X143" i="96" s="1"/>
  <c r="W143" i="96" a="1"/>
  <c r="W143" i="96" s="1"/>
  <c r="V143" i="96" a="1"/>
  <c r="V143" i="96" s="1"/>
  <c r="U143" i="96" a="1"/>
  <c r="U143" i="96" s="1"/>
  <c r="T143" i="96" a="1"/>
  <c r="T143" i="96" s="1"/>
  <c r="S143" i="96" a="1"/>
  <c r="S143" i="96" s="1"/>
  <c r="R143" i="96" a="1"/>
  <c r="R143" i="96" s="1"/>
  <c r="Q143" i="96" a="1"/>
  <c r="Q143" i="96" s="1"/>
  <c r="P143" i="96" a="1"/>
  <c r="P143" i="96" s="1"/>
  <c r="O143" i="96" a="1"/>
  <c r="O143" i="96" s="1"/>
  <c r="N143" i="96" a="1"/>
  <c r="N143" i="96" s="1"/>
  <c r="M143" i="96" a="1"/>
  <c r="M143" i="96" s="1"/>
  <c r="L143" i="96" a="1"/>
  <c r="L143" i="96" s="1"/>
  <c r="K143" i="96" a="1"/>
  <c r="K143" i="96" s="1"/>
  <c r="J143" i="96" a="1"/>
  <c r="J143" i="96" s="1"/>
  <c r="I143" i="96" a="1"/>
  <c r="I143" i="96" s="1"/>
  <c r="H143" i="96" a="1"/>
  <c r="H143" i="96" s="1"/>
  <c r="G143" i="96" a="1"/>
  <c r="G143" i="96" s="1"/>
  <c r="F143" i="96" a="1"/>
  <c r="F143" i="96" s="1"/>
  <c r="E143" i="96" a="1"/>
  <c r="E143" i="96" s="1"/>
  <c r="D143" i="96" a="1"/>
  <c r="D143" i="96" s="1"/>
  <c r="AH142" i="96" a="1"/>
  <c r="AH142" i="96" s="1"/>
  <c r="AG142" i="96" a="1"/>
  <c r="AG142" i="96" s="1"/>
  <c r="AF142" i="96" a="1"/>
  <c r="AF142" i="96" s="1"/>
  <c r="AE142" i="96" a="1"/>
  <c r="AE142" i="96" s="1"/>
  <c r="AD142" i="96" a="1"/>
  <c r="AD142" i="96" s="1"/>
  <c r="AC142" i="96" a="1"/>
  <c r="AC142" i="96" s="1"/>
  <c r="AB142" i="96" a="1"/>
  <c r="AB142" i="96" s="1"/>
  <c r="AA142" i="96" a="1"/>
  <c r="AA142" i="96" s="1"/>
  <c r="Z142" i="96" a="1"/>
  <c r="Z142" i="96" s="1"/>
  <c r="Y142" i="96" a="1"/>
  <c r="Y142" i="96" s="1"/>
  <c r="X142" i="96" a="1"/>
  <c r="X142" i="96" s="1"/>
  <c r="W142" i="96" a="1"/>
  <c r="W142" i="96" s="1"/>
  <c r="V142" i="96" a="1"/>
  <c r="V142" i="96" s="1"/>
  <c r="U142" i="96" a="1"/>
  <c r="U142" i="96" s="1"/>
  <c r="T142" i="96" a="1"/>
  <c r="T142" i="96" s="1"/>
  <c r="S142" i="96" a="1"/>
  <c r="S142" i="96" s="1"/>
  <c r="R142" i="96" a="1"/>
  <c r="R142" i="96" s="1"/>
  <c r="Q142" i="96" a="1"/>
  <c r="Q142" i="96" s="1"/>
  <c r="P142" i="96" a="1"/>
  <c r="P142" i="96" s="1"/>
  <c r="O142" i="96" a="1"/>
  <c r="O142" i="96" s="1"/>
  <c r="N142" i="96" a="1"/>
  <c r="N142" i="96" s="1"/>
  <c r="M142" i="96" a="1"/>
  <c r="M142" i="96" s="1"/>
  <c r="L142" i="96" a="1"/>
  <c r="L142" i="96" s="1"/>
  <c r="K142" i="96" a="1"/>
  <c r="K142" i="96" s="1"/>
  <c r="J142" i="96" a="1"/>
  <c r="J142" i="96" s="1"/>
  <c r="I142" i="96" a="1"/>
  <c r="I142" i="96" s="1"/>
  <c r="H142" i="96" a="1"/>
  <c r="H142" i="96" s="1"/>
  <c r="G142" i="96" a="1"/>
  <c r="G142" i="96" s="1"/>
  <c r="F142" i="96" a="1"/>
  <c r="F142" i="96" s="1"/>
  <c r="E142" i="96" a="1"/>
  <c r="E142" i="96" s="1"/>
  <c r="D142" i="96" a="1"/>
  <c r="D142" i="96" s="1"/>
  <c r="AH141" i="96" a="1"/>
  <c r="AH141" i="96" s="1"/>
  <c r="AG141" i="96" a="1"/>
  <c r="AG141" i="96" s="1"/>
  <c r="AF141" i="96" a="1"/>
  <c r="AF141" i="96" s="1"/>
  <c r="AE141" i="96" a="1"/>
  <c r="AE141" i="96" s="1"/>
  <c r="AD141" i="96" a="1"/>
  <c r="AD141" i="96" s="1"/>
  <c r="AC141" i="96" a="1"/>
  <c r="AC141" i="96" s="1"/>
  <c r="AB141" i="96" a="1"/>
  <c r="AB141" i="96" s="1"/>
  <c r="AA141" i="96" a="1"/>
  <c r="AA141" i="96" s="1"/>
  <c r="Z141" i="96" a="1"/>
  <c r="Z141" i="96" s="1"/>
  <c r="Y141" i="96" a="1"/>
  <c r="Y141" i="96" s="1"/>
  <c r="X141" i="96" a="1"/>
  <c r="X141" i="96" s="1"/>
  <c r="W141" i="96" a="1"/>
  <c r="W141" i="96" s="1"/>
  <c r="V141" i="96" a="1"/>
  <c r="V141" i="96" s="1"/>
  <c r="U141" i="96" a="1"/>
  <c r="U141" i="96" s="1"/>
  <c r="T141" i="96" a="1"/>
  <c r="T141" i="96" s="1"/>
  <c r="S141" i="96" a="1"/>
  <c r="S141" i="96" s="1"/>
  <c r="R141" i="96" a="1"/>
  <c r="R141" i="96" s="1"/>
  <c r="Q141" i="96" a="1"/>
  <c r="Q141" i="96" s="1"/>
  <c r="P141" i="96" a="1"/>
  <c r="P141" i="96" s="1"/>
  <c r="O141" i="96" a="1"/>
  <c r="O141" i="96" s="1"/>
  <c r="N141" i="96" a="1"/>
  <c r="N141" i="96" s="1"/>
  <c r="M141" i="96" a="1"/>
  <c r="M141" i="96" s="1"/>
  <c r="L141" i="96" a="1"/>
  <c r="L141" i="96" s="1"/>
  <c r="K141" i="96" a="1"/>
  <c r="K141" i="96" s="1"/>
  <c r="J141" i="96" a="1"/>
  <c r="J141" i="96" s="1"/>
  <c r="I141" i="96" a="1"/>
  <c r="I141" i="96" s="1"/>
  <c r="H141" i="96" a="1"/>
  <c r="H141" i="96" s="1"/>
  <c r="G141" i="96" a="1"/>
  <c r="G141" i="96" s="1"/>
  <c r="F141" i="96" a="1"/>
  <c r="F141" i="96" s="1"/>
  <c r="E141" i="96" a="1"/>
  <c r="E141" i="96" s="1"/>
  <c r="D141" i="96" a="1"/>
  <c r="D141" i="96" s="1"/>
  <c r="AH140" i="96" a="1"/>
  <c r="AH140" i="96" s="1"/>
  <c r="AG140" i="96" a="1"/>
  <c r="AG140" i="96" s="1"/>
  <c r="AF140" i="96" a="1"/>
  <c r="AF140" i="96" s="1"/>
  <c r="AE140" i="96" a="1"/>
  <c r="AE140" i="96" s="1"/>
  <c r="AD140" i="96" a="1"/>
  <c r="AD140" i="96" s="1"/>
  <c r="AC140" i="96" a="1"/>
  <c r="AC140" i="96" s="1"/>
  <c r="AB140" i="96" a="1"/>
  <c r="AB140" i="96" s="1"/>
  <c r="AA140" i="96" a="1"/>
  <c r="AA140" i="96" s="1"/>
  <c r="Z140" i="96" a="1"/>
  <c r="Z140" i="96" s="1"/>
  <c r="Y140" i="96" a="1"/>
  <c r="Y140" i="96" s="1"/>
  <c r="X140" i="96" a="1"/>
  <c r="X140" i="96" s="1"/>
  <c r="W140" i="96" a="1"/>
  <c r="W140" i="96" s="1"/>
  <c r="V140" i="96" a="1"/>
  <c r="V140" i="96" s="1"/>
  <c r="U140" i="96" a="1"/>
  <c r="U140" i="96" s="1"/>
  <c r="T140" i="96" a="1"/>
  <c r="T140" i="96" s="1"/>
  <c r="S140" i="96" a="1"/>
  <c r="S140" i="96" s="1"/>
  <c r="R140" i="96" a="1"/>
  <c r="R140" i="96" s="1"/>
  <c r="Q140" i="96" a="1"/>
  <c r="Q140" i="96" s="1"/>
  <c r="P140" i="96" a="1"/>
  <c r="P140" i="96" s="1"/>
  <c r="O140" i="96" a="1"/>
  <c r="O140" i="96" s="1"/>
  <c r="N140" i="96" a="1"/>
  <c r="N140" i="96" s="1"/>
  <c r="M140" i="96" a="1"/>
  <c r="M140" i="96" s="1"/>
  <c r="L140" i="96" a="1"/>
  <c r="L140" i="96" s="1"/>
  <c r="K140" i="96" a="1"/>
  <c r="K140" i="96" s="1"/>
  <c r="J140" i="96" a="1"/>
  <c r="J140" i="96" s="1"/>
  <c r="I140" i="96" a="1"/>
  <c r="I140" i="96" s="1"/>
  <c r="H140" i="96" a="1"/>
  <c r="H140" i="96" s="1"/>
  <c r="G140" i="96" a="1"/>
  <c r="G140" i="96" s="1"/>
  <c r="F140" i="96" a="1"/>
  <c r="F140" i="96" s="1"/>
  <c r="E140" i="96" a="1"/>
  <c r="E140" i="96" s="1"/>
  <c r="D140" i="96" a="1"/>
  <c r="D140" i="96" s="1"/>
  <c r="AH139" i="96" a="1"/>
  <c r="AH139" i="96" s="1"/>
  <c r="AG139" i="96" a="1"/>
  <c r="AG139" i="96" s="1"/>
  <c r="AF139" i="96" a="1"/>
  <c r="AF139" i="96" s="1"/>
  <c r="AE139" i="96" a="1"/>
  <c r="AE139" i="96" s="1"/>
  <c r="AD139" i="96" a="1"/>
  <c r="AD139" i="96" s="1"/>
  <c r="AC139" i="96" a="1"/>
  <c r="AC139" i="96" s="1"/>
  <c r="AB139" i="96" a="1"/>
  <c r="AB139" i="96" s="1"/>
  <c r="AA139" i="96" a="1"/>
  <c r="AA139" i="96" s="1"/>
  <c r="Z139" i="96" a="1"/>
  <c r="Z139" i="96" s="1"/>
  <c r="Y139" i="96" a="1"/>
  <c r="Y139" i="96" s="1"/>
  <c r="X139" i="96" a="1"/>
  <c r="X139" i="96" s="1"/>
  <c r="W139" i="96" a="1"/>
  <c r="W139" i="96" s="1"/>
  <c r="V139" i="96" a="1"/>
  <c r="V139" i="96" s="1"/>
  <c r="U139" i="96" a="1"/>
  <c r="U139" i="96" s="1"/>
  <c r="T139" i="96" a="1"/>
  <c r="T139" i="96" s="1"/>
  <c r="S139" i="96" a="1"/>
  <c r="S139" i="96" s="1"/>
  <c r="R139" i="96" a="1"/>
  <c r="R139" i="96" s="1"/>
  <c r="Q139" i="96" a="1"/>
  <c r="Q139" i="96" s="1"/>
  <c r="P139" i="96" a="1"/>
  <c r="P139" i="96" s="1"/>
  <c r="O139" i="96" a="1"/>
  <c r="O139" i="96" s="1"/>
  <c r="N139" i="96" a="1"/>
  <c r="N139" i="96" s="1"/>
  <c r="M139" i="96" a="1"/>
  <c r="M139" i="96" s="1"/>
  <c r="L139" i="96" a="1"/>
  <c r="L139" i="96" s="1"/>
  <c r="K139" i="96" a="1"/>
  <c r="K139" i="96" s="1"/>
  <c r="J139" i="96" a="1"/>
  <c r="J139" i="96" s="1"/>
  <c r="I139" i="96" a="1"/>
  <c r="I139" i="96" s="1"/>
  <c r="H139" i="96" a="1"/>
  <c r="H139" i="96" s="1"/>
  <c r="G139" i="96" a="1"/>
  <c r="G139" i="96" s="1"/>
  <c r="F139" i="96" a="1"/>
  <c r="F139" i="96" s="1"/>
  <c r="E139" i="96" a="1"/>
  <c r="E139" i="96" s="1"/>
  <c r="D139" i="96" a="1"/>
  <c r="D139" i="96" s="1"/>
  <c r="AH138" i="96" a="1"/>
  <c r="AH138" i="96" s="1"/>
  <c r="AG138" i="96" a="1"/>
  <c r="AG138" i="96" s="1"/>
  <c r="AF138" i="96" a="1"/>
  <c r="AF138" i="96" s="1"/>
  <c r="AE138" i="96" a="1"/>
  <c r="AE138" i="96" s="1"/>
  <c r="AD138" i="96" a="1"/>
  <c r="AD138" i="96" s="1"/>
  <c r="AC138" i="96" a="1"/>
  <c r="AC138" i="96" s="1"/>
  <c r="AB138" i="96" a="1"/>
  <c r="AB138" i="96" s="1"/>
  <c r="AA138" i="96" a="1"/>
  <c r="AA138" i="96" s="1"/>
  <c r="Z138" i="96" a="1"/>
  <c r="Z138" i="96" s="1"/>
  <c r="Y138" i="96" a="1"/>
  <c r="Y138" i="96" s="1"/>
  <c r="X138" i="96" a="1"/>
  <c r="X138" i="96" s="1"/>
  <c r="W138" i="96" a="1"/>
  <c r="W138" i="96" s="1"/>
  <c r="V138" i="96" a="1"/>
  <c r="V138" i="96" s="1"/>
  <c r="U138" i="96" a="1"/>
  <c r="U138" i="96" s="1"/>
  <c r="T138" i="96" a="1"/>
  <c r="T138" i="96" s="1"/>
  <c r="S138" i="96" a="1"/>
  <c r="S138" i="96" s="1"/>
  <c r="R138" i="96" a="1"/>
  <c r="R138" i="96" s="1"/>
  <c r="Q138" i="96" a="1"/>
  <c r="Q138" i="96" s="1"/>
  <c r="P138" i="96" a="1"/>
  <c r="P138" i="96" s="1"/>
  <c r="O138" i="96" a="1"/>
  <c r="O138" i="96" s="1"/>
  <c r="N138" i="96" a="1"/>
  <c r="N138" i="96" s="1"/>
  <c r="M138" i="96" a="1"/>
  <c r="M138" i="96" s="1"/>
  <c r="L138" i="96" a="1"/>
  <c r="L138" i="96" s="1"/>
  <c r="K138" i="96" a="1"/>
  <c r="K138" i="96" s="1"/>
  <c r="J138" i="96" a="1"/>
  <c r="J138" i="96" s="1"/>
  <c r="I138" i="96" a="1"/>
  <c r="I138" i="96" s="1"/>
  <c r="H138" i="96" a="1"/>
  <c r="H138" i="96" s="1"/>
  <c r="G138" i="96" a="1"/>
  <c r="G138" i="96" s="1"/>
  <c r="F138" i="96" a="1"/>
  <c r="F138" i="96" s="1"/>
  <c r="E138" i="96" a="1"/>
  <c r="E138" i="96" s="1"/>
  <c r="D138" i="96" a="1"/>
  <c r="D138" i="96" s="1"/>
  <c r="AH137" i="96" a="1"/>
  <c r="AH137" i="96" s="1"/>
  <c r="AG137" i="96" a="1"/>
  <c r="AG137" i="96" s="1"/>
  <c r="AF137" i="96" a="1"/>
  <c r="AF137" i="96" s="1"/>
  <c r="AE137" i="96" a="1"/>
  <c r="AE137" i="96" s="1"/>
  <c r="AD137" i="96" a="1"/>
  <c r="AD137" i="96" s="1"/>
  <c r="AC137" i="96" a="1"/>
  <c r="AC137" i="96" s="1"/>
  <c r="AB137" i="96" a="1"/>
  <c r="AB137" i="96" s="1"/>
  <c r="AA137" i="96" a="1"/>
  <c r="AA137" i="96" s="1"/>
  <c r="Z137" i="96" a="1"/>
  <c r="Z137" i="96" s="1"/>
  <c r="Y137" i="96" a="1"/>
  <c r="Y137" i="96" s="1"/>
  <c r="X137" i="96" a="1"/>
  <c r="X137" i="96" s="1"/>
  <c r="W137" i="96" a="1"/>
  <c r="W137" i="96" s="1"/>
  <c r="V137" i="96" a="1"/>
  <c r="V137" i="96" s="1"/>
  <c r="U137" i="96" a="1"/>
  <c r="U137" i="96" s="1"/>
  <c r="T137" i="96" a="1"/>
  <c r="T137" i="96" s="1"/>
  <c r="S137" i="96" a="1"/>
  <c r="S137" i="96" s="1"/>
  <c r="R137" i="96" a="1"/>
  <c r="R137" i="96" s="1"/>
  <c r="Q137" i="96" a="1"/>
  <c r="Q137" i="96" s="1"/>
  <c r="P137" i="96" a="1"/>
  <c r="P137" i="96" s="1"/>
  <c r="O137" i="96" a="1"/>
  <c r="O137" i="96" s="1"/>
  <c r="N137" i="96" a="1"/>
  <c r="N137" i="96" s="1"/>
  <c r="M137" i="96" a="1"/>
  <c r="M137" i="96" s="1"/>
  <c r="L137" i="96" a="1"/>
  <c r="L137" i="96" s="1"/>
  <c r="K137" i="96" a="1"/>
  <c r="K137" i="96" s="1"/>
  <c r="J137" i="96" a="1"/>
  <c r="J137" i="96" s="1"/>
  <c r="I137" i="96" a="1"/>
  <c r="I137" i="96" s="1"/>
  <c r="H137" i="96" a="1"/>
  <c r="H137" i="96" s="1"/>
  <c r="G137" i="96" a="1"/>
  <c r="G137" i="96" s="1"/>
  <c r="F137" i="96" a="1"/>
  <c r="F137" i="96" s="1"/>
  <c r="E137" i="96" a="1"/>
  <c r="E137" i="96" s="1"/>
  <c r="D137" i="96" a="1"/>
  <c r="D137" i="96" s="1"/>
  <c r="AH136" i="96" a="1"/>
  <c r="AH136" i="96" s="1"/>
  <c r="AG136" i="96" a="1"/>
  <c r="AG136" i="96" s="1"/>
  <c r="AF136" i="96" a="1"/>
  <c r="AF136" i="96" s="1"/>
  <c r="AE136" i="96" a="1"/>
  <c r="AE136" i="96" s="1"/>
  <c r="AD136" i="96" a="1"/>
  <c r="AD136" i="96" s="1"/>
  <c r="AC136" i="96" a="1"/>
  <c r="AC136" i="96" s="1"/>
  <c r="AB136" i="96" a="1"/>
  <c r="AB136" i="96" s="1"/>
  <c r="AA136" i="96" a="1"/>
  <c r="AA136" i="96" s="1"/>
  <c r="Z136" i="96" a="1"/>
  <c r="Z136" i="96" s="1"/>
  <c r="Y136" i="96" a="1"/>
  <c r="Y136" i="96" s="1"/>
  <c r="X136" i="96" a="1"/>
  <c r="X136" i="96" s="1"/>
  <c r="W136" i="96" a="1"/>
  <c r="W136" i="96" s="1"/>
  <c r="V136" i="96" a="1"/>
  <c r="V136" i="96" s="1"/>
  <c r="U136" i="96" a="1"/>
  <c r="U136" i="96" s="1"/>
  <c r="T136" i="96" a="1"/>
  <c r="T136" i="96" s="1"/>
  <c r="S136" i="96" a="1"/>
  <c r="S136" i="96" s="1"/>
  <c r="R136" i="96" a="1"/>
  <c r="R136" i="96" s="1"/>
  <c r="Q136" i="96" a="1"/>
  <c r="Q136" i="96" s="1"/>
  <c r="P136" i="96" a="1"/>
  <c r="P136" i="96" s="1"/>
  <c r="O136" i="96" a="1"/>
  <c r="O136" i="96" s="1"/>
  <c r="N136" i="96" a="1"/>
  <c r="N136" i="96" s="1"/>
  <c r="M136" i="96" a="1"/>
  <c r="M136" i="96" s="1"/>
  <c r="L136" i="96" a="1"/>
  <c r="L136" i="96" s="1"/>
  <c r="K136" i="96" a="1"/>
  <c r="K136" i="96" s="1"/>
  <c r="J136" i="96" a="1"/>
  <c r="J136" i="96" s="1"/>
  <c r="I136" i="96" a="1"/>
  <c r="I136" i="96" s="1"/>
  <c r="H136" i="96" a="1"/>
  <c r="H136" i="96" s="1"/>
  <c r="G136" i="96" a="1"/>
  <c r="G136" i="96" s="1"/>
  <c r="F136" i="96" a="1"/>
  <c r="F136" i="96" s="1"/>
  <c r="E136" i="96" a="1"/>
  <c r="E136" i="96" s="1"/>
  <c r="D136" i="96" a="1"/>
  <c r="D136" i="96" s="1"/>
  <c r="AH135" i="96" a="1"/>
  <c r="AH135" i="96" s="1"/>
  <c r="AG135" i="96" a="1"/>
  <c r="AG135" i="96" s="1"/>
  <c r="AF135" i="96" a="1"/>
  <c r="AF135" i="96" s="1"/>
  <c r="AE135" i="96" a="1"/>
  <c r="AE135" i="96" s="1"/>
  <c r="AD135" i="96" a="1"/>
  <c r="AD135" i="96" s="1"/>
  <c r="AC135" i="96" a="1"/>
  <c r="AC135" i="96" s="1"/>
  <c r="AB135" i="96" a="1"/>
  <c r="AB135" i="96" s="1"/>
  <c r="AA135" i="96" a="1"/>
  <c r="AA135" i="96" s="1"/>
  <c r="Z135" i="96" a="1"/>
  <c r="Z135" i="96" s="1"/>
  <c r="Y135" i="96" a="1"/>
  <c r="Y135" i="96" s="1"/>
  <c r="X135" i="96" a="1"/>
  <c r="X135" i="96" s="1"/>
  <c r="W135" i="96" a="1"/>
  <c r="W135" i="96" s="1"/>
  <c r="V135" i="96" a="1"/>
  <c r="V135" i="96" s="1"/>
  <c r="U135" i="96" a="1"/>
  <c r="U135" i="96" s="1"/>
  <c r="T135" i="96" a="1"/>
  <c r="T135" i="96" s="1"/>
  <c r="S135" i="96" a="1"/>
  <c r="S135" i="96" s="1"/>
  <c r="R135" i="96" a="1"/>
  <c r="R135" i="96" s="1"/>
  <c r="Q135" i="96" a="1"/>
  <c r="Q135" i="96" s="1"/>
  <c r="P135" i="96" a="1"/>
  <c r="P135" i="96" s="1"/>
  <c r="O135" i="96" a="1"/>
  <c r="O135" i="96" s="1"/>
  <c r="N135" i="96" a="1"/>
  <c r="N135" i="96" s="1"/>
  <c r="M135" i="96" a="1"/>
  <c r="M135" i="96" s="1"/>
  <c r="L135" i="96" a="1"/>
  <c r="L135" i="96" s="1"/>
  <c r="K135" i="96" a="1"/>
  <c r="K135" i="96" s="1"/>
  <c r="J135" i="96" a="1"/>
  <c r="J135" i="96" s="1"/>
  <c r="I135" i="96" a="1"/>
  <c r="I135" i="96" s="1"/>
  <c r="H135" i="96" a="1"/>
  <c r="H135" i="96" s="1"/>
  <c r="G135" i="96" a="1"/>
  <c r="G135" i="96" s="1"/>
  <c r="F135" i="96" a="1"/>
  <c r="F135" i="96" s="1"/>
  <c r="E135" i="96" a="1"/>
  <c r="E135" i="96" s="1"/>
  <c r="D135" i="96" a="1"/>
  <c r="D135" i="96" s="1"/>
  <c r="AH134" i="96" a="1"/>
  <c r="AH134" i="96" s="1"/>
  <c r="AG134" i="96" a="1"/>
  <c r="AG134" i="96" s="1"/>
  <c r="AF134" i="96" a="1"/>
  <c r="AF134" i="96" s="1"/>
  <c r="AE134" i="96" a="1"/>
  <c r="AE134" i="96" s="1"/>
  <c r="AD134" i="96" a="1"/>
  <c r="AD134" i="96" s="1"/>
  <c r="AC134" i="96" a="1"/>
  <c r="AC134" i="96" s="1"/>
  <c r="AB134" i="96" a="1"/>
  <c r="AB134" i="96" s="1"/>
  <c r="AA134" i="96" a="1"/>
  <c r="AA134" i="96" s="1"/>
  <c r="Z134" i="96" a="1"/>
  <c r="Z134" i="96" s="1"/>
  <c r="Y134" i="96" a="1"/>
  <c r="Y134" i="96" s="1"/>
  <c r="X134" i="96" a="1"/>
  <c r="X134" i="96" s="1"/>
  <c r="W134" i="96" a="1"/>
  <c r="W134" i="96" s="1"/>
  <c r="V134" i="96" a="1"/>
  <c r="V134" i="96" s="1"/>
  <c r="U134" i="96" a="1"/>
  <c r="U134" i="96" s="1"/>
  <c r="T134" i="96" a="1"/>
  <c r="T134" i="96" s="1"/>
  <c r="S134" i="96" a="1"/>
  <c r="S134" i="96" s="1"/>
  <c r="R134" i="96" a="1"/>
  <c r="R134" i="96" s="1"/>
  <c r="Q134" i="96" a="1"/>
  <c r="Q134" i="96" s="1"/>
  <c r="P134" i="96" a="1"/>
  <c r="P134" i="96" s="1"/>
  <c r="O134" i="96" a="1"/>
  <c r="O134" i="96" s="1"/>
  <c r="N134" i="96" a="1"/>
  <c r="N134" i="96" s="1"/>
  <c r="M134" i="96" a="1"/>
  <c r="M134" i="96" s="1"/>
  <c r="L134" i="96" a="1"/>
  <c r="L134" i="96" s="1"/>
  <c r="K134" i="96" a="1"/>
  <c r="K134" i="96" s="1"/>
  <c r="J134" i="96" a="1"/>
  <c r="J134" i="96" s="1"/>
  <c r="I134" i="96" a="1"/>
  <c r="I134" i="96" s="1"/>
  <c r="H134" i="96" a="1"/>
  <c r="H134" i="96" s="1"/>
  <c r="G134" i="96" a="1"/>
  <c r="G134" i="96" s="1"/>
  <c r="F134" i="96" a="1"/>
  <c r="F134" i="96" s="1"/>
  <c r="E134" i="96" a="1"/>
  <c r="E134" i="96" s="1"/>
  <c r="D134" i="96" a="1"/>
  <c r="D134" i="96" s="1"/>
  <c r="AH133" i="96" a="1"/>
  <c r="AH133" i="96" s="1"/>
  <c r="AG133" i="96" a="1"/>
  <c r="AG133" i="96" s="1"/>
  <c r="AF133" i="96" a="1"/>
  <c r="AF133" i="96" s="1"/>
  <c r="AE133" i="96" a="1"/>
  <c r="AE133" i="96" s="1"/>
  <c r="AD133" i="96" a="1"/>
  <c r="AD133" i="96" s="1"/>
  <c r="AC133" i="96" a="1"/>
  <c r="AC133" i="96" s="1"/>
  <c r="AB133" i="96" a="1"/>
  <c r="AB133" i="96" s="1"/>
  <c r="AA133" i="96" a="1"/>
  <c r="AA133" i="96" s="1"/>
  <c r="Z133" i="96" a="1"/>
  <c r="Z133" i="96" s="1"/>
  <c r="Y133" i="96" a="1"/>
  <c r="Y133" i="96" s="1"/>
  <c r="X133" i="96" a="1"/>
  <c r="X133" i="96" s="1"/>
  <c r="W133" i="96" a="1"/>
  <c r="W133" i="96" s="1"/>
  <c r="V133" i="96" a="1"/>
  <c r="V133" i="96" s="1"/>
  <c r="U133" i="96" a="1"/>
  <c r="U133" i="96" s="1"/>
  <c r="T133" i="96" a="1"/>
  <c r="T133" i="96" s="1"/>
  <c r="S133" i="96" a="1"/>
  <c r="S133" i="96" s="1"/>
  <c r="R133" i="96" a="1"/>
  <c r="R133" i="96" s="1"/>
  <c r="Q133" i="96" a="1"/>
  <c r="Q133" i="96" s="1"/>
  <c r="P133" i="96" a="1"/>
  <c r="P133" i="96" s="1"/>
  <c r="O133" i="96" a="1"/>
  <c r="O133" i="96" s="1"/>
  <c r="N133" i="96" a="1"/>
  <c r="N133" i="96" s="1"/>
  <c r="M133" i="96" a="1"/>
  <c r="M133" i="96" s="1"/>
  <c r="L133" i="96" a="1"/>
  <c r="L133" i="96" s="1"/>
  <c r="K133" i="96" a="1"/>
  <c r="K133" i="96" s="1"/>
  <c r="J133" i="96" a="1"/>
  <c r="J133" i="96" s="1"/>
  <c r="I133" i="96" a="1"/>
  <c r="I133" i="96" s="1"/>
  <c r="H133" i="96" a="1"/>
  <c r="H133" i="96" s="1"/>
  <c r="G133" i="96" a="1"/>
  <c r="G133" i="96" s="1"/>
  <c r="F133" i="96" a="1"/>
  <c r="F133" i="96" s="1"/>
  <c r="E133" i="96" a="1"/>
  <c r="E133" i="96" s="1"/>
  <c r="D133" i="96" a="1"/>
  <c r="D133" i="96" s="1"/>
  <c r="AH132" i="96" a="1"/>
  <c r="AH132" i="96" s="1"/>
  <c r="AG132" i="96" a="1"/>
  <c r="AG132" i="96" s="1"/>
  <c r="AF132" i="96" a="1"/>
  <c r="AF132" i="96" s="1"/>
  <c r="AE132" i="96" a="1"/>
  <c r="AE132" i="96" s="1"/>
  <c r="AD132" i="96" a="1"/>
  <c r="AD132" i="96" s="1"/>
  <c r="AC132" i="96" a="1"/>
  <c r="AC132" i="96" s="1"/>
  <c r="AB132" i="96" a="1"/>
  <c r="AB132" i="96" s="1"/>
  <c r="AA132" i="96" a="1"/>
  <c r="AA132" i="96" s="1"/>
  <c r="Z132" i="96" a="1"/>
  <c r="Z132" i="96" s="1"/>
  <c r="Y132" i="96" a="1"/>
  <c r="Y132" i="96" s="1"/>
  <c r="X132" i="96" a="1"/>
  <c r="X132" i="96" s="1"/>
  <c r="W132" i="96" a="1"/>
  <c r="W132" i="96" s="1"/>
  <c r="V132" i="96" a="1"/>
  <c r="V132" i="96" s="1"/>
  <c r="U132" i="96" a="1"/>
  <c r="U132" i="96" s="1"/>
  <c r="T132" i="96" a="1"/>
  <c r="T132" i="96" s="1"/>
  <c r="S132" i="96" a="1"/>
  <c r="S132" i="96" s="1"/>
  <c r="R132" i="96" a="1"/>
  <c r="R132" i="96" s="1"/>
  <c r="Q132" i="96" a="1"/>
  <c r="Q132" i="96" s="1"/>
  <c r="P132" i="96" a="1"/>
  <c r="P132" i="96" s="1"/>
  <c r="O132" i="96" a="1"/>
  <c r="O132" i="96" s="1"/>
  <c r="N132" i="96" a="1"/>
  <c r="N132" i="96" s="1"/>
  <c r="M132" i="96" a="1"/>
  <c r="M132" i="96" s="1"/>
  <c r="L132" i="96" a="1"/>
  <c r="L132" i="96" s="1"/>
  <c r="K132" i="96" a="1"/>
  <c r="K132" i="96" s="1"/>
  <c r="J132" i="96" a="1"/>
  <c r="J132" i="96" s="1"/>
  <c r="I132" i="96" a="1"/>
  <c r="I132" i="96" s="1"/>
  <c r="H132" i="96" a="1"/>
  <c r="H132" i="96" s="1"/>
  <c r="G132" i="96" a="1"/>
  <c r="G132" i="96" s="1"/>
  <c r="F132" i="96" a="1"/>
  <c r="F132" i="96" s="1"/>
  <c r="E132" i="96" a="1"/>
  <c r="E132" i="96" s="1"/>
  <c r="D132" i="96" a="1"/>
  <c r="D132" i="96" s="1"/>
  <c r="AH131" i="96" a="1"/>
  <c r="AH131" i="96" s="1"/>
  <c r="AG131" i="96" a="1"/>
  <c r="AG131" i="96" s="1"/>
  <c r="AF131" i="96" a="1"/>
  <c r="AF131" i="96" s="1"/>
  <c r="AE131" i="96" a="1"/>
  <c r="AE131" i="96" s="1"/>
  <c r="AD131" i="96" a="1"/>
  <c r="AD131" i="96" s="1"/>
  <c r="AC131" i="96" a="1"/>
  <c r="AC131" i="96" s="1"/>
  <c r="AB131" i="96" a="1"/>
  <c r="AB131" i="96" s="1"/>
  <c r="AA131" i="96" a="1"/>
  <c r="AA131" i="96" s="1"/>
  <c r="Z131" i="96" a="1"/>
  <c r="Z131" i="96" s="1"/>
  <c r="Y131" i="96" a="1"/>
  <c r="Y131" i="96" s="1"/>
  <c r="X131" i="96" a="1"/>
  <c r="X131" i="96" s="1"/>
  <c r="W131" i="96" a="1"/>
  <c r="W131" i="96" s="1"/>
  <c r="V131" i="96" a="1"/>
  <c r="V131" i="96" s="1"/>
  <c r="U131" i="96" a="1"/>
  <c r="U131" i="96" s="1"/>
  <c r="T131" i="96" a="1"/>
  <c r="T131" i="96" s="1"/>
  <c r="S131" i="96" a="1"/>
  <c r="S131" i="96" s="1"/>
  <c r="R131" i="96" a="1"/>
  <c r="R131" i="96" s="1"/>
  <c r="Q131" i="96" a="1"/>
  <c r="Q131" i="96" s="1"/>
  <c r="P131" i="96" a="1"/>
  <c r="P131" i="96" s="1"/>
  <c r="O131" i="96" a="1"/>
  <c r="O131" i="96" s="1"/>
  <c r="N131" i="96" a="1"/>
  <c r="N131" i="96" s="1"/>
  <c r="M131" i="96" a="1"/>
  <c r="M131" i="96" s="1"/>
  <c r="L131" i="96" a="1"/>
  <c r="L131" i="96" s="1"/>
  <c r="K131" i="96" a="1"/>
  <c r="K131" i="96" s="1"/>
  <c r="J131" i="96" a="1"/>
  <c r="J131" i="96" s="1"/>
  <c r="I131" i="96" a="1"/>
  <c r="I131" i="96" s="1"/>
  <c r="H131" i="96" a="1"/>
  <c r="H131" i="96" s="1"/>
  <c r="G131" i="96" a="1"/>
  <c r="G131" i="96" s="1"/>
  <c r="F131" i="96" a="1"/>
  <c r="F131" i="96" s="1"/>
  <c r="E131" i="96" a="1"/>
  <c r="E131" i="96" s="1"/>
  <c r="D131" i="96" a="1"/>
  <c r="D131" i="96" s="1"/>
  <c r="AH130" i="96" a="1"/>
  <c r="AH130" i="96" s="1"/>
  <c r="AG130" i="96" a="1"/>
  <c r="AG130" i="96" s="1"/>
  <c r="AF130" i="96" a="1"/>
  <c r="AF130" i="96" s="1"/>
  <c r="AE130" i="96" a="1"/>
  <c r="AE130" i="96" s="1"/>
  <c r="AD130" i="96" a="1"/>
  <c r="AD130" i="96" s="1"/>
  <c r="AC130" i="96" a="1"/>
  <c r="AC130" i="96" s="1"/>
  <c r="AB130" i="96" a="1"/>
  <c r="AB130" i="96" s="1"/>
  <c r="AA130" i="96" a="1"/>
  <c r="AA130" i="96" s="1"/>
  <c r="Z130" i="96" a="1"/>
  <c r="Z130" i="96" s="1"/>
  <c r="Y130" i="96" a="1"/>
  <c r="Y130" i="96" s="1"/>
  <c r="X130" i="96" a="1"/>
  <c r="X130" i="96" s="1"/>
  <c r="W130" i="96" a="1"/>
  <c r="W130" i="96" s="1"/>
  <c r="V130" i="96" a="1"/>
  <c r="V130" i="96" s="1"/>
  <c r="U130" i="96" a="1"/>
  <c r="U130" i="96" s="1"/>
  <c r="T130" i="96" a="1"/>
  <c r="T130" i="96" s="1"/>
  <c r="S130" i="96" a="1"/>
  <c r="S130" i="96" s="1"/>
  <c r="R130" i="96" a="1"/>
  <c r="R130" i="96" s="1"/>
  <c r="Q130" i="96" a="1"/>
  <c r="Q130" i="96" s="1"/>
  <c r="P130" i="96" a="1"/>
  <c r="P130" i="96" s="1"/>
  <c r="O130" i="96" a="1"/>
  <c r="O130" i="96" s="1"/>
  <c r="N130" i="96" a="1"/>
  <c r="N130" i="96" s="1"/>
  <c r="M130" i="96" a="1"/>
  <c r="M130" i="96" s="1"/>
  <c r="L130" i="96" a="1"/>
  <c r="L130" i="96" s="1"/>
  <c r="K130" i="96" a="1"/>
  <c r="K130" i="96" s="1"/>
  <c r="J130" i="96" a="1"/>
  <c r="J130" i="96" s="1"/>
  <c r="I130" i="96" a="1"/>
  <c r="I130" i="96" s="1"/>
  <c r="H130" i="96" a="1"/>
  <c r="H130" i="96" s="1"/>
  <c r="G130" i="96" a="1"/>
  <c r="G130" i="96" s="1"/>
  <c r="F130" i="96" a="1"/>
  <c r="F130" i="96" s="1"/>
  <c r="E130" i="96" a="1"/>
  <c r="E130" i="96" s="1"/>
  <c r="D130" i="96" a="1"/>
  <c r="D130" i="96" s="1"/>
  <c r="AH129" i="96" a="1"/>
  <c r="AH129" i="96" s="1"/>
  <c r="AG129" i="96" a="1"/>
  <c r="AG129" i="96" s="1"/>
  <c r="AF129" i="96" a="1"/>
  <c r="AF129" i="96" s="1"/>
  <c r="AE129" i="96" a="1"/>
  <c r="AE129" i="96" s="1"/>
  <c r="AD129" i="96" a="1"/>
  <c r="AD129" i="96" s="1"/>
  <c r="AC129" i="96" a="1"/>
  <c r="AC129" i="96" s="1"/>
  <c r="AB129" i="96" a="1"/>
  <c r="AB129" i="96" s="1"/>
  <c r="AA129" i="96" a="1"/>
  <c r="AA129" i="96" s="1"/>
  <c r="Z129" i="96" a="1"/>
  <c r="Z129" i="96" s="1"/>
  <c r="Y129" i="96" a="1"/>
  <c r="Y129" i="96" s="1"/>
  <c r="X129" i="96" a="1"/>
  <c r="X129" i="96" s="1"/>
  <c r="W129" i="96" a="1"/>
  <c r="W129" i="96" s="1"/>
  <c r="V129" i="96" a="1"/>
  <c r="V129" i="96" s="1"/>
  <c r="U129" i="96" a="1"/>
  <c r="U129" i="96" s="1"/>
  <c r="T129" i="96" a="1"/>
  <c r="T129" i="96" s="1"/>
  <c r="S129" i="96" a="1"/>
  <c r="S129" i="96" s="1"/>
  <c r="R129" i="96" a="1"/>
  <c r="R129" i="96" s="1"/>
  <c r="Q129" i="96" a="1"/>
  <c r="Q129" i="96" s="1"/>
  <c r="P129" i="96" a="1"/>
  <c r="P129" i="96" s="1"/>
  <c r="O129" i="96" a="1"/>
  <c r="O129" i="96" s="1"/>
  <c r="N129" i="96" a="1"/>
  <c r="N129" i="96" s="1"/>
  <c r="M129" i="96" a="1"/>
  <c r="M129" i="96" s="1"/>
  <c r="L129" i="96" a="1"/>
  <c r="L129" i="96" s="1"/>
  <c r="K129" i="96" a="1"/>
  <c r="K129" i="96" s="1"/>
  <c r="J129" i="96" a="1"/>
  <c r="J129" i="96" s="1"/>
  <c r="I129" i="96" a="1"/>
  <c r="I129" i="96" s="1"/>
  <c r="H129" i="96" a="1"/>
  <c r="H129" i="96" s="1"/>
  <c r="G129" i="96" a="1"/>
  <c r="G129" i="96" s="1"/>
  <c r="F129" i="96" a="1"/>
  <c r="F129" i="96" s="1"/>
  <c r="E129" i="96" a="1"/>
  <c r="E129" i="96" s="1"/>
  <c r="D129" i="96" a="1"/>
  <c r="D129" i="96" s="1"/>
  <c r="AH128" i="96" a="1"/>
  <c r="AH128" i="96" s="1"/>
  <c r="AG128" i="96" a="1"/>
  <c r="AG128" i="96" s="1"/>
  <c r="AF128" i="96" a="1"/>
  <c r="AF128" i="96" s="1"/>
  <c r="AE128" i="96" a="1"/>
  <c r="AE128" i="96" s="1"/>
  <c r="AD128" i="96" a="1"/>
  <c r="AD128" i="96" s="1"/>
  <c r="AC128" i="96" a="1"/>
  <c r="AC128" i="96" s="1"/>
  <c r="AB128" i="96" a="1"/>
  <c r="AB128" i="96" s="1"/>
  <c r="AA128" i="96" a="1"/>
  <c r="AA128" i="96" s="1"/>
  <c r="Z128" i="96" a="1"/>
  <c r="Z128" i="96" s="1"/>
  <c r="Y128" i="96" a="1"/>
  <c r="Y128" i="96" s="1"/>
  <c r="X128" i="96" a="1"/>
  <c r="X128" i="96" s="1"/>
  <c r="W128" i="96" a="1"/>
  <c r="W128" i="96" s="1"/>
  <c r="V128" i="96" a="1"/>
  <c r="V128" i="96" s="1"/>
  <c r="U128" i="96" a="1"/>
  <c r="U128" i="96" s="1"/>
  <c r="T128" i="96" a="1"/>
  <c r="T128" i="96" s="1"/>
  <c r="S128" i="96" a="1"/>
  <c r="S128" i="96" s="1"/>
  <c r="R128" i="96" a="1"/>
  <c r="R128" i="96" s="1"/>
  <c r="Q128" i="96" a="1"/>
  <c r="Q128" i="96" s="1"/>
  <c r="P128" i="96" a="1"/>
  <c r="P128" i="96" s="1"/>
  <c r="O128" i="96" a="1"/>
  <c r="O128" i="96" s="1"/>
  <c r="N128" i="96" a="1"/>
  <c r="N128" i="96" s="1"/>
  <c r="M128" i="96" a="1"/>
  <c r="M128" i="96" s="1"/>
  <c r="L128" i="96" a="1"/>
  <c r="L128" i="96" s="1"/>
  <c r="K128" i="96" a="1"/>
  <c r="K128" i="96" s="1"/>
  <c r="J128" i="96" a="1"/>
  <c r="J128" i="96" s="1"/>
  <c r="I128" i="96" a="1"/>
  <c r="I128" i="96" s="1"/>
  <c r="H128" i="96" a="1"/>
  <c r="H128" i="96" s="1"/>
  <c r="G128" i="96" a="1"/>
  <c r="G128" i="96" s="1"/>
  <c r="F128" i="96" a="1"/>
  <c r="F128" i="96" s="1"/>
  <c r="E128" i="96" a="1"/>
  <c r="E128" i="96" s="1"/>
  <c r="D128" i="96" a="1"/>
  <c r="D128" i="96" s="1"/>
  <c r="AH127" i="96" a="1"/>
  <c r="AH127" i="96" s="1"/>
  <c r="AG127" i="96" a="1"/>
  <c r="AG127" i="96" s="1"/>
  <c r="AF127" i="96" a="1"/>
  <c r="AF127" i="96" s="1"/>
  <c r="AE127" i="96" a="1"/>
  <c r="AE127" i="96" s="1"/>
  <c r="AD127" i="96" a="1"/>
  <c r="AD127" i="96" s="1"/>
  <c r="AC127" i="96" a="1"/>
  <c r="AC127" i="96" s="1"/>
  <c r="AB127" i="96" a="1"/>
  <c r="AB127" i="96" s="1"/>
  <c r="AA127" i="96" a="1"/>
  <c r="AA127" i="96" s="1"/>
  <c r="Z127" i="96" a="1"/>
  <c r="Z127" i="96" s="1"/>
  <c r="Y127" i="96" a="1"/>
  <c r="Y127" i="96" s="1"/>
  <c r="X127" i="96" a="1"/>
  <c r="X127" i="96" s="1"/>
  <c r="W127" i="96" a="1"/>
  <c r="W127" i="96" s="1"/>
  <c r="V127" i="96" a="1"/>
  <c r="V127" i="96" s="1"/>
  <c r="U127" i="96" a="1"/>
  <c r="U127" i="96" s="1"/>
  <c r="T127" i="96" a="1"/>
  <c r="T127" i="96" s="1"/>
  <c r="S127" i="96" a="1"/>
  <c r="S127" i="96" s="1"/>
  <c r="R127" i="96" a="1"/>
  <c r="R127" i="96" s="1"/>
  <c r="Q127" i="96" a="1"/>
  <c r="Q127" i="96" s="1"/>
  <c r="P127" i="96" a="1"/>
  <c r="P127" i="96" s="1"/>
  <c r="O127" i="96" a="1"/>
  <c r="O127" i="96" s="1"/>
  <c r="N127" i="96" a="1"/>
  <c r="N127" i="96" s="1"/>
  <c r="M127" i="96" a="1"/>
  <c r="M127" i="96" s="1"/>
  <c r="L127" i="96" a="1"/>
  <c r="L127" i="96" s="1"/>
  <c r="K127" i="96" a="1"/>
  <c r="K127" i="96" s="1"/>
  <c r="J127" i="96" a="1"/>
  <c r="J127" i="96" s="1"/>
  <c r="I127" i="96" a="1"/>
  <c r="I127" i="96" s="1"/>
  <c r="H127" i="96" a="1"/>
  <c r="H127" i="96" s="1"/>
  <c r="G127" i="96" a="1"/>
  <c r="G127" i="96" s="1"/>
  <c r="F127" i="96" a="1"/>
  <c r="F127" i="96" s="1"/>
  <c r="E127" i="96" a="1"/>
  <c r="E127" i="96" s="1"/>
  <c r="D127" i="96" a="1"/>
  <c r="D127" i="96" s="1"/>
  <c r="AH126" i="96" a="1"/>
  <c r="AH126" i="96" s="1"/>
  <c r="AG126" i="96" a="1"/>
  <c r="AG126" i="96" s="1"/>
  <c r="AF126" i="96" a="1"/>
  <c r="AF126" i="96" s="1"/>
  <c r="AE126" i="96" a="1"/>
  <c r="AE126" i="96" s="1"/>
  <c r="AD126" i="96" a="1"/>
  <c r="AD126" i="96" s="1"/>
  <c r="AC126" i="96" a="1"/>
  <c r="AC126" i="96" s="1"/>
  <c r="AB126" i="96" a="1"/>
  <c r="AB126" i="96" s="1"/>
  <c r="AA126" i="96" a="1"/>
  <c r="AA126" i="96" s="1"/>
  <c r="Z126" i="96" a="1"/>
  <c r="Z126" i="96" s="1"/>
  <c r="Y126" i="96" a="1"/>
  <c r="Y126" i="96" s="1"/>
  <c r="X126" i="96" a="1"/>
  <c r="X126" i="96" s="1"/>
  <c r="W126" i="96" a="1"/>
  <c r="W126" i="96" s="1"/>
  <c r="V126" i="96" a="1"/>
  <c r="V126" i="96" s="1"/>
  <c r="U126" i="96" a="1"/>
  <c r="U126" i="96" s="1"/>
  <c r="T126" i="96" a="1"/>
  <c r="T126" i="96" s="1"/>
  <c r="S126" i="96" a="1"/>
  <c r="S126" i="96" s="1"/>
  <c r="R126" i="96" a="1"/>
  <c r="R126" i="96" s="1"/>
  <c r="Q126" i="96" a="1"/>
  <c r="Q126" i="96" s="1"/>
  <c r="P126" i="96" a="1"/>
  <c r="P126" i="96" s="1"/>
  <c r="O126" i="96" a="1"/>
  <c r="O126" i="96" s="1"/>
  <c r="N126" i="96" a="1"/>
  <c r="N126" i="96" s="1"/>
  <c r="M126" i="96" a="1"/>
  <c r="M126" i="96" s="1"/>
  <c r="L126" i="96" a="1"/>
  <c r="L126" i="96" s="1"/>
  <c r="K126" i="96" a="1"/>
  <c r="K126" i="96" s="1"/>
  <c r="J126" i="96" a="1"/>
  <c r="J126" i="96" s="1"/>
  <c r="I126" i="96" a="1"/>
  <c r="I126" i="96" s="1"/>
  <c r="H126" i="96" a="1"/>
  <c r="H126" i="96" s="1"/>
  <c r="G126" i="96" a="1"/>
  <c r="G126" i="96" s="1"/>
  <c r="F126" i="96" a="1"/>
  <c r="F126" i="96" s="1"/>
  <c r="E126" i="96" a="1"/>
  <c r="E126" i="96" s="1"/>
  <c r="D126" i="96" a="1"/>
  <c r="D126" i="96" s="1"/>
  <c r="AH125" i="96" a="1"/>
  <c r="AH125" i="96" s="1"/>
  <c r="AG125" i="96" a="1"/>
  <c r="AG125" i="96" s="1"/>
  <c r="AF125" i="96" a="1"/>
  <c r="AF125" i="96" s="1"/>
  <c r="AE125" i="96" a="1"/>
  <c r="AE125" i="96" s="1"/>
  <c r="AD125" i="96" a="1"/>
  <c r="AD125" i="96" s="1"/>
  <c r="AC125" i="96" a="1"/>
  <c r="AC125" i="96" s="1"/>
  <c r="AB125" i="96" a="1"/>
  <c r="AB125" i="96" s="1"/>
  <c r="AA125" i="96" a="1"/>
  <c r="AA125" i="96" s="1"/>
  <c r="Z125" i="96" a="1"/>
  <c r="Z125" i="96" s="1"/>
  <c r="Y125" i="96" a="1"/>
  <c r="Y125" i="96" s="1"/>
  <c r="X125" i="96" a="1"/>
  <c r="X125" i="96" s="1"/>
  <c r="W125" i="96" a="1"/>
  <c r="W125" i="96" s="1"/>
  <c r="V125" i="96" a="1"/>
  <c r="V125" i="96" s="1"/>
  <c r="U125" i="96" a="1"/>
  <c r="U125" i="96" s="1"/>
  <c r="T125" i="96" a="1"/>
  <c r="T125" i="96" s="1"/>
  <c r="S125" i="96" a="1"/>
  <c r="S125" i="96" s="1"/>
  <c r="R125" i="96" a="1"/>
  <c r="R125" i="96" s="1"/>
  <c r="Q125" i="96" a="1"/>
  <c r="Q125" i="96" s="1"/>
  <c r="P125" i="96" a="1"/>
  <c r="P125" i="96" s="1"/>
  <c r="O125" i="96" a="1"/>
  <c r="O125" i="96" s="1"/>
  <c r="N125" i="96" a="1"/>
  <c r="N125" i="96" s="1"/>
  <c r="M125" i="96" a="1"/>
  <c r="M125" i="96" s="1"/>
  <c r="L125" i="96" a="1"/>
  <c r="L125" i="96" s="1"/>
  <c r="K125" i="96" a="1"/>
  <c r="K125" i="96" s="1"/>
  <c r="J125" i="96" a="1"/>
  <c r="J125" i="96" s="1"/>
  <c r="I125" i="96" a="1"/>
  <c r="I125" i="96" s="1"/>
  <c r="H125" i="96" a="1"/>
  <c r="H125" i="96" s="1"/>
  <c r="G125" i="96" a="1"/>
  <c r="G125" i="96" s="1"/>
  <c r="F125" i="96" a="1"/>
  <c r="F125" i="96" s="1"/>
  <c r="E125" i="96" a="1"/>
  <c r="E125" i="96" s="1"/>
  <c r="D125" i="96" a="1"/>
  <c r="D125" i="96" s="1"/>
  <c r="AH124" i="96" a="1"/>
  <c r="AH124" i="96" s="1"/>
  <c r="AG124" i="96" a="1"/>
  <c r="AG124" i="96" s="1"/>
  <c r="AF124" i="96" a="1"/>
  <c r="AF124" i="96" s="1"/>
  <c r="AE124" i="96" a="1"/>
  <c r="AE124" i="96" s="1"/>
  <c r="AD124" i="96" a="1"/>
  <c r="AD124" i="96" s="1"/>
  <c r="AC124" i="96" a="1"/>
  <c r="AC124" i="96" s="1"/>
  <c r="AB124" i="96" a="1"/>
  <c r="AB124" i="96" s="1"/>
  <c r="AA124" i="96" a="1"/>
  <c r="AA124" i="96" s="1"/>
  <c r="Z124" i="96" a="1"/>
  <c r="Z124" i="96" s="1"/>
  <c r="Y124" i="96" a="1"/>
  <c r="Y124" i="96" s="1"/>
  <c r="X124" i="96" a="1"/>
  <c r="X124" i="96" s="1"/>
  <c r="W124" i="96" a="1"/>
  <c r="W124" i="96" s="1"/>
  <c r="V124" i="96" a="1"/>
  <c r="V124" i="96" s="1"/>
  <c r="U124" i="96" a="1"/>
  <c r="U124" i="96" s="1"/>
  <c r="T124" i="96" a="1"/>
  <c r="T124" i="96" s="1"/>
  <c r="S124" i="96" a="1"/>
  <c r="S124" i="96" s="1"/>
  <c r="R124" i="96" a="1"/>
  <c r="R124" i="96" s="1"/>
  <c r="Q124" i="96" a="1"/>
  <c r="Q124" i="96" s="1"/>
  <c r="P124" i="96" a="1"/>
  <c r="P124" i="96" s="1"/>
  <c r="O124" i="96" a="1"/>
  <c r="O124" i="96" s="1"/>
  <c r="N124" i="96" a="1"/>
  <c r="N124" i="96" s="1"/>
  <c r="M124" i="96" a="1"/>
  <c r="M124" i="96" s="1"/>
  <c r="L124" i="96" a="1"/>
  <c r="L124" i="96" s="1"/>
  <c r="K124" i="96" a="1"/>
  <c r="K124" i="96" s="1"/>
  <c r="J124" i="96" a="1"/>
  <c r="J124" i="96" s="1"/>
  <c r="I124" i="96" a="1"/>
  <c r="I124" i="96" s="1"/>
  <c r="H124" i="96" a="1"/>
  <c r="H124" i="96" s="1"/>
  <c r="G124" i="96" a="1"/>
  <c r="G124" i="96" s="1"/>
  <c r="F124" i="96" a="1"/>
  <c r="F124" i="96" s="1"/>
  <c r="E124" i="96" a="1"/>
  <c r="E124" i="96" s="1"/>
  <c r="D124" i="96" a="1"/>
  <c r="D124" i="96" s="1"/>
  <c r="AH123" i="96" a="1"/>
  <c r="AH123" i="96" s="1"/>
  <c r="AG123" i="96" a="1"/>
  <c r="AG123" i="96" s="1"/>
  <c r="AF123" i="96" a="1"/>
  <c r="AF123" i="96" s="1"/>
  <c r="AE123" i="96" a="1"/>
  <c r="AE123" i="96" s="1"/>
  <c r="AD123" i="96" a="1"/>
  <c r="AD123" i="96" s="1"/>
  <c r="AC123" i="96" a="1"/>
  <c r="AC123" i="96" s="1"/>
  <c r="AB123" i="96" a="1"/>
  <c r="AB123" i="96" s="1"/>
  <c r="AA123" i="96" a="1"/>
  <c r="AA123" i="96" s="1"/>
  <c r="Z123" i="96" a="1"/>
  <c r="Z123" i="96" s="1"/>
  <c r="Y123" i="96" a="1"/>
  <c r="Y123" i="96" s="1"/>
  <c r="X123" i="96" a="1"/>
  <c r="X123" i="96" s="1"/>
  <c r="W123" i="96" a="1"/>
  <c r="W123" i="96" s="1"/>
  <c r="V123" i="96" a="1"/>
  <c r="V123" i="96" s="1"/>
  <c r="U123" i="96" a="1"/>
  <c r="U123" i="96" s="1"/>
  <c r="T123" i="96" a="1"/>
  <c r="T123" i="96" s="1"/>
  <c r="S123" i="96" a="1"/>
  <c r="S123" i="96" s="1"/>
  <c r="R123" i="96" a="1"/>
  <c r="R123" i="96" s="1"/>
  <c r="Q123" i="96" a="1"/>
  <c r="Q123" i="96" s="1"/>
  <c r="P123" i="96" a="1"/>
  <c r="P123" i="96" s="1"/>
  <c r="O123" i="96" a="1"/>
  <c r="O123" i="96" s="1"/>
  <c r="N123" i="96" a="1"/>
  <c r="N123" i="96" s="1"/>
  <c r="M123" i="96" a="1"/>
  <c r="M123" i="96" s="1"/>
  <c r="L123" i="96" a="1"/>
  <c r="L123" i="96" s="1"/>
  <c r="K123" i="96" a="1"/>
  <c r="K123" i="96" s="1"/>
  <c r="J123" i="96" a="1"/>
  <c r="J123" i="96" s="1"/>
  <c r="I123" i="96" a="1"/>
  <c r="I123" i="96" s="1"/>
  <c r="H123" i="96" a="1"/>
  <c r="H123" i="96" s="1"/>
  <c r="G123" i="96" a="1"/>
  <c r="G123" i="96" s="1"/>
  <c r="F123" i="96" a="1"/>
  <c r="F123" i="96" s="1"/>
  <c r="E123" i="96" a="1"/>
  <c r="E123" i="96" s="1"/>
  <c r="D123" i="96" a="1"/>
  <c r="D123" i="96" s="1"/>
  <c r="AH122" i="96" a="1"/>
  <c r="AH122" i="96" s="1"/>
  <c r="AG122" i="96" a="1"/>
  <c r="AG122" i="96" s="1"/>
  <c r="AF122" i="96" a="1"/>
  <c r="AF122" i="96" s="1"/>
  <c r="AE122" i="96" a="1"/>
  <c r="AE122" i="96" s="1"/>
  <c r="AD122" i="96" a="1"/>
  <c r="AD122" i="96" s="1"/>
  <c r="AC122" i="96" a="1"/>
  <c r="AC122" i="96" s="1"/>
  <c r="AB122" i="96" a="1"/>
  <c r="AB122" i="96" s="1"/>
  <c r="AA122" i="96" a="1"/>
  <c r="AA122" i="96" s="1"/>
  <c r="Z122" i="96" a="1"/>
  <c r="Z122" i="96" s="1"/>
  <c r="Y122" i="96" a="1"/>
  <c r="Y122" i="96" s="1"/>
  <c r="X122" i="96" a="1"/>
  <c r="X122" i="96" s="1"/>
  <c r="W122" i="96" a="1"/>
  <c r="W122" i="96" s="1"/>
  <c r="V122" i="96" a="1"/>
  <c r="V122" i="96" s="1"/>
  <c r="U122" i="96" a="1"/>
  <c r="U122" i="96" s="1"/>
  <c r="T122" i="96" a="1"/>
  <c r="T122" i="96" s="1"/>
  <c r="S122" i="96" a="1"/>
  <c r="S122" i="96" s="1"/>
  <c r="R122" i="96" a="1"/>
  <c r="R122" i="96" s="1"/>
  <c r="Q122" i="96" a="1"/>
  <c r="Q122" i="96" s="1"/>
  <c r="P122" i="96" a="1"/>
  <c r="P122" i="96" s="1"/>
  <c r="O122" i="96" a="1"/>
  <c r="O122" i="96" s="1"/>
  <c r="N122" i="96" a="1"/>
  <c r="N122" i="96" s="1"/>
  <c r="M122" i="96" a="1"/>
  <c r="M122" i="96" s="1"/>
  <c r="L122" i="96" a="1"/>
  <c r="L122" i="96" s="1"/>
  <c r="K122" i="96" a="1"/>
  <c r="K122" i="96" s="1"/>
  <c r="J122" i="96" a="1"/>
  <c r="J122" i="96" s="1"/>
  <c r="I122" i="96" a="1"/>
  <c r="I122" i="96" s="1"/>
  <c r="H122" i="96" a="1"/>
  <c r="H122" i="96" s="1"/>
  <c r="G122" i="96" a="1"/>
  <c r="G122" i="96" s="1"/>
  <c r="F122" i="96" a="1"/>
  <c r="F122" i="96" s="1"/>
  <c r="E122" i="96" a="1"/>
  <c r="E122" i="96" s="1"/>
  <c r="D122" i="96" a="1"/>
  <c r="D122" i="96" s="1"/>
  <c r="AH121" i="96" a="1"/>
  <c r="AH121" i="96" s="1"/>
  <c r="AG121" i="96" a="1"/>
  <c r="AG121" i="96" s="1"/>
  <c r="AF121" i="96" a="1"/>
  <c r="AF121" i="96" s="1"/>
  <c r="AE121" i="96" a="1"/>
  <c r="AE121" i="96" s="1"/>
  <c r="AD121" i="96" a="1"/>
  <c r="AD121" i="96" s="1"/>
  <c r="AC121" i="96" a="1"/>
  <c r="AC121" i="96" s="1"/>
  <c r="AB121" i="96" a="1"/>
  <c r="AB121" i="96" s="1"/>
  <c r="AA121" i="96" a="1"/>
  <c r="AA121" i="96" s="1"/>
  <c r="Z121" i="96" a="1"/>
  <c r="Z121" i="96" s="1"/>
  <c r="Y121" i="96" a="1"/>
  <c r="Y121" i="96" s="1"/>
  <c r="X121" i="96" a="1"/>
  <c r="X121" i="96" s="1"/>
  <c r="W121" i="96" a="1"/>
  <c r="W121" i="96" s="1"/>
  <c r="V121" i="96" a="1"/>
  <c r="V121" i="96" s="1"/>
  <c r="U121" i="96" a="1"/>
  <c r="U121" i="96" s="1"/>
  <c r="T121" i="96" a="1"/>
  <c r="T121" i="96" s="1"/>
  <c r="S121" i="96" a="1"/>
  <c r="S121" i="96" s="1"/>
  <c r="R121" i="96" a="1"/>
  <c r="R121" i="96" s="1"/>
  <c r="Q121" i="96" a="1"/>
  <c r="Q121" i="96" s="1"/>
  <c r="P121" i="96" a="1"/>
  <c r="P121" i="96" s="1"/>
  <c r="O121" i="96" a="1"/>
  <c r="O121" i="96" s="1"/>
  <c r="N121" i="96" a="1"/>
  <c r="N121" i="96" s="1"/>
  <c r="M121" i="96" a="1"/>
  <c r="M121" i="96" s="1"/>
  <c r="L121" i="96" a="1"/>
  <c r="L121" i="96" s="1"/>
  <c r="K121" i="96" a="1"/>
  <c r="K121" i="96" s="1"/>
  <c r="J121" i="96" a="1"/>
  <c r="J121" i="96" s="1"/>
  <c r="I121" i="96" a="1"/>
  <c r="I121" i="96" s="1"/>
  <c r="H121" i="96" a="1"/>
  <c r="H121" i="96" s="1"/>
  <c r="G121" i="96" a="1"/>
  <c r="G121" i="96" s="1"/>
  <c r="F121" i="96" a="1"/>
  <c r="F121" i="96" s="1"/>
  <c r="E121" i="96" a="1"/>
  <c r="E121" i="96" s="1"/>
  <c r="D121" i="96" a="1"/>
  <c r="D121" i="96" s="1"/>
  <c r="AH120" i="96" a="1"/>
  <c r="AH120" i="96" s="1"/>
  <c r="AG120" i="96" a="1"/>
  <c r="AG120" i="96" s="1"/>
  <c r="AF120" i="96" a="1"/>
  <c r="AF120" i="96" s="1"/>
  <c r="AE120" i="96" a="1"/>
  <c r="AE120" i="96" s="1"/>
  <c r="AD120" i="96" a="1"/>
  <c r="AD120" i="96" s="1"/>
  <c r="AC120" i="96" a="1"/>
  <c r="AC120" i="96" s="1"/>
  <c r="AB120" i="96" a="1"/>
  <c r="AB120" i="96" s="1"/>
  <c r="AA120" i="96" a="1"/>
  <c r="AA120" i="96" s="1"/>
  <c r="Z120" i="96" a="1"/>
  <c r="Z120" i="96" s="1"/>
  <c r="Y120" i="96" a="1"/>
  <c r="Y120" i="96" s="1"/>
  <c r="X120" i="96" a="1"/>
  <c r="X120" i="96" s="1"/>
  <c r="W120" i="96" a="1"/>
  <c r="W120" i="96" s="1"/>
  <c r="V120" i="96" a="1"/>
  <c r="V120" i="96" s="1"/>
  <c r="U120" i="96" a="1"/>
  <c r="U120" i="96" s="1"/>
  <c r="T120" i="96" a="1"/>
  <c r="T120" i="96" s="1"/>
  <c r="S120" i="96" a="1"/>
  <c r="S120" i="96" s="1"/>
  <c r="R120" i="96" a="1"/>
  <c r="R120" i="96" s="1"/>
  <c r="Q120" i="96" a="1"/>
  <c r="Q120" i="96" s="1"/>
  <c r="P120" i="96" a="1"/>
  <c r="P120" i="96" s="1"/>
  <c r="O120" i="96" a="1"/>
  <c r="O120" i="96" s="1"/>
  <c r="N120" i="96" a="1"/>
  <c r="N120" i="96" s="1"/>
  <c r="M120" i="96" a="1"/>
  <c r="M120" i="96" s="1"/>
  <c r="L120" i="96" a="1"/>
  <c r="L120" i="96" s="1"/>
  <c r="K120" i="96" a="1"/>
  <c r="K120" i="96" s="1"/>
  <c r="J120" i="96" a="1"/>
  <c r="J120" i="96" s="1"/>
  <c r="I120" i="96" a="1"/>
  <c r="I120" i="96" s="1"/>
  <c r="H120" i="96" a="1"/>
  <c r="H120" i="96" s="1"/>
  <c r="G120" i="96" a="1"/>
  <c r="G120" i="96" s="1"/>
  <c r="F120" i="96" a="1"/>
  <c r="F120" i="96" s="1"/>
  <c r="E120" i="96" a="1"/>
  <c r="E120" i="96" s="1"/>
  <c r="D120" i="96" a="1"/>
  <c r="D120" i="96" s="1"/>
  <c r="AH119" i="96" a="1"/>
  <c r="AH119" i="96" s="1"/>
  <c r="AG119" i="96" a="1"/>
  <c r="AG119" i="96" s="1"/>
  <c r="AF119" i="96" a="1"/>
  <c r="AF119" i="96" s="1"/>
  <c r="AE119" i="96" a="1"/>
  <c r="AE119" i="96" s="1"/>
  <c r="AD119" i="96" a="1"/>
  <c r="AD119" i="96" s="1"/>
  <c r="AC119" i="96" a="1"/>
  <c r="AC119" i="96" s="1"/>
  <c r="AB119" i="96" a="1"/>
  <c r="AB119" i="96" s="1"/>
  <c r="AA119" i="96" a="1"/>
  <c r="AA119" i="96" s="1"/>
  <c r="Z119" i="96" a="1"/>
  <c r="Z119" i="96" s="1"/>
  <c r="Y119" i="96" a="1"/>
  <c r="Y119" i="96" s="1"/>
  <c r="X119" i="96" a="1"/>
  <c r="X119" i="96" s="1"/>
  <c r="W119" i="96" a="1"/>
  <c r="W119" i="96" s="1"/>
  <c r="V119" i="96" a="1"/>
  <c r="V119" i="96" s="1"/>
  <c r="U119" i="96" a="1"/>
  <c r="U119" i="96" s="1"/>
  <c r="T119" i="96" a="1"/>
  <c r="T119" i="96" s="1"/>
  <c r="S119" i="96" a="1"/>
  <c r="S119" i="96" s="1"/>
  <c r="R119" i="96" a="1"/>
  <c r="R119" i="96" s="1"/>
  <c r="Q119" i="96" a="1"/>
  <c r="Q119" i="96" s="1"/>
  <c r="P119" i="96" a="1"/>
  <c r="P119" i="96" s="1"/>
  <c r="O119" i="96" a="1"/>
  <c r="O119" i="96" s="1"/>
  <c r="N119" i="96" a="1"/>
  <c r="N119" i="96" s="1"/>
  <c r="M119" i="96" a="1"/>
  <c r="M119" i="96" s="1"/>
  <c r="L119" i="96" a="1"/>
  <c r="L119" i="96" s="1"/>
  <c r="K119" i="96" a="1"/>
  <c r="K119" i="96" s="1"/>
  <c r="J119" i="96" a="1"/>
  <c r="J119" i="96" s="1"/>
  <c r="I119" i="96" a="1"/>
  <c r="I119" i="96" s="1"/>
  <c r="H119" i="96" a="1"/>
  <c r="H119" i="96" s="1"/>
  <c r="G119" i="96" a="1"/>
  <c r="G119" i="96" s="1"/>
  <c r="F119" i="96" a="1"/>
  <c r="F119" i="96" s="1"/>
  <c r="E119" i="96" a="1"/>
  <c r="E119" i="96" s="1"/>
  <c r="D119" i="96" a="1"/>
  <c r="D119" i="96" s="1"/>
  <c r="AH118" i="96" a="1"/>
  <c r="AH118" i="96" s="1"/>
  <c r="AG118" i="96" a="1"/>
  <c r="AG118" i="96" s="1"/>
  <c r="AF118" i="96" a="1"/>
  <c r="AF118" i="96" s="1"/>
  <c r="AE118" i="96" a="1"/>
  <c r="AE118" i="96" s="1"/>
  <c r="AD118" i="96" a="1"/>
  <c r="AD118" i="96" s="1"/>
  <c r="AC118" i="96" a="1"/>
  <c r="AC118" i="96" s="1"/>
  <c r="AB118" i="96" a="1"/>
  <c r="AB118" i="96" s="1"/>
  <c r="AA118" i="96" a="1"/>
  <c r="AA118" i="96" s="1"/>
  <c r="Z118" i="96" a="1"/>
  <c r="Z118" i="96" s="1"/>
  <c r="Y118" i="96" a="1"/>
  <c r="Y118" i="96" s="1"/>
  <c r="X118" i="96" a="1"/>
  <c r="X118" i="96" s="1"/>
  <c r="W118" i="96" a="1"/>
  <c r="W118" i="96" s="1"/>
  <c r="V118" i="96" a="1"/>
  <c r="V118" i="96" s="1"/>
  <c r="U118" i="96" a="1"/>
  <c r="U118" i="96" s="1"/>
  <c r="T118" i="96" a="1"/>
  <c r="T118" i="96" s="1"/>
  <c r="S118" i="96" a="1"/>
  <c r="S118" i="96" s="1"/>
  <c r="R118" i="96" a="1"/>
  <c r="R118" i="96" s="1"/>
  <c r="Q118" i="96" a="1"/>
  <c r="Q118" i="96" s="1"/>
  <c r="P118" i="96" a="1"/>
  <c r="P118" i="96" s="1"/>
  <c r="O118" i="96" a="1"/>
  <c r="O118" i="96" s="1"/>
  <c r="N118" i="96" a="1"/>
  <c r="N118" i="96" s="1"/>
  <c r="M118" i="96" a="1"/>
  <c r="M118" i="96" s="1"/>
  <c r="L118" i="96" a="1"/>
  <c r="L118" i="96" s="1"/>
  <c r="K118" i="96" a="1"/>
  <c r="K118" i="96" s="1"/>
  <c r="J118" i="96" a="1"/>
  <c r="J118" i="96" s="1"/>
  <c r="I118" i="96" a="1"/>
  <c r="I118" i="96" s="1"/>
  <c r="H118" i="96" a="1"/>
  <c r="H118" i="96" s="1"/>
  <c r="G118" i="96" a="1"/>
  <c r="G118" i="96" s="1"/>
  <c r="F118" i="96" a="1"/>
  <c r="F118" i="96" s="1"/>
  <c r="E118" i="96" a="1"/>
  <c r="E118" i="96" s="1"/>
  <c r="D118" i="96" a="1"/>
  <c r="D118" i="96" s="1"/>
  <c r="AH117" i="96" a="1"/>
  <c r="AH117" i="96" s="1"/>
  <c r="AG117" i="96" a="1"/>
  <c r="AG117" i="96" s="1"/>
  <c r="AF117" i="96" a="1"/>
  <c r="AF117" i="96" s="1"/>
  <c r="AE117" i="96" a="1"/>
  <c r="AE117" i="96" s="1"/>
  <c r="AD117" i="96" a="1"/>
  <c r="AD117" i="96" s="1"/>
  <c r="AC117" i="96" a="1"/>
  <c r="AC117" i="96" s="1"/>
  <c r="AB117" i="96" a="1"/>
  <c r="AB117" i="96" s="1"/>
  <c r="AA117" i="96" a="1"/>
  <c r="AA117" i="96" s="1"/>
  <c r="Z117" i="96" a="1"/>
  <c r="Z117" i="96" s="1"/>
  <c r="Y117" i="96" a="1"/>
  <c r="Y117" i="96" s="1"/>
  <c r="X117" i="96" a="1"/>
  <c r="X117" i="96" s="1"/>
  <c r="W117" i="96" a="1"/>
  <c r="W117" i="96" s="1"/>
  <c r="V117" i="96" a="1"/>
  <c r="V117" i="96" s="1"/>
  <c r="U117" i="96" a="1"/>
  <c r="U117" i="96" s="1"/>
  <c r="T117" i="96" a="1"/>
  <c r="T117" i="96" s="1"/>
  <c r="S117" i="96" a="1"/>
  <c r="S117" i="96" s="1"/>
  <c r="R117" i="96" a="1"/>
  <c r="R117" i="96" s="1"/>
  <c r="Q117" i="96" a="1"/>
  <c r="Q117" i="96" s="1"/>
  <c r="P117" i="96" a="1"/>
  <c r="P117" i="96" s="1"/>
  <c r="O117" i="96" a="1"/>
  <c r="O117" i="96" s="1"/>
  <c r="N117" i="96" a="1"/>
  <c r="N117" i="96" s="1"/>
  <c r="M117" i="96" a="1"/>
  <c r="M117" i="96" s="1"/>
  <c r="L117" i="96" a="1"/>
  <c r="L117" i="96" s="1"/>
  <c r="K117" i="96" a="1"/>
  <c r="K117" i="96" s="1"/>
  <c r="J117" i="96" a="1"/>
  <c r="J117" i="96" s="1"/>
  <c r="I117" i="96" a="1"/>
  <c r="I117" i="96" s="1"/>
  <c r="H117" i="96" a="1"/>
  <c r="H117" i="96" s="1"/>
  <c r="G117" i="96" a="1"/>
  <c r="G117" i="96" s="1"/>
  <c r="F117" i="96" a="1"/>
  <c r="F117" i="96" s="1"/>
  <c r="E117" i="96" a="1"/>
  <c r="E117" i="96" s="1"/>
  <c r="D117" i="96" a="1"/>
  <c r="D117" i="96" s="1"/>
  <c r="AH116" i="96" a="1"/>
  <c r="AH116" i="96" s="1"/>
  <c r="AG116" i="96" a="1"/>
  <c r="AG116" i="96" s="1"/>
  <c r="AF116" i="96" a="1"/>
  <c r="AF116" i="96" s="1"/>
  <c r="AE116" i="96" a="1"/>
  <c r="AE116" i="96" s="1"/>
  <c r="AD116" i="96" a="1"/>
  <c r="AD116" i="96" s="1"/>
  <c r="AC116" i="96" a="1"/>
  <c r="AC116" i="96" s="1"/>
  <c r="AB116" i="96" a="1"/>
  <c r="AB116" i="96" s="1"/>
  <c r="AA116" i="96" a="1"/>
  <c r="AA116" i="96" s="1"/>
  <c r="Z116" i="96" a="1"/>
  <c r="Z116" i="96" s="1"/>
  <c r="Y116" i="96" a="1"/>
  <c r="Y116" i="96" s="1"/>
  <c r="X116" i="96" a="1"/>
  <c r="X116" i="96" s="1"/>
  <c r="W116" i="96" a="1"/>
  <c r="W116" i="96" s="1"/>
  <c r="V116" i="96" a="1"/>
  <c r="V116" i="96" s="1"/>
  <c r="U116" i="96" a="1"/>
  <c r="U116" i="96" s="1"/>
  <c r="T116" i="96" a="1"/>
  <c r="T116" i="96" s="1"/>
  <c r="S116" i="96" a="1"/>
  <c r="S116" i="96" s="1"/>
  <c r="R116" i="96" a="1"/>
  <c r="R116" i="96" s="1"/>
  <c r="Q116" i="96" a="1"/>
  <c r="Q116" i="96" s="1"/>
  <c r="P116" i="96" a="1"/>
  <c r="P116" i="96" s="1"/>
  <c r="O116" i="96" a="1"/>
  <c r="O116" i="96" s="1"/>
  <c r="N116" i="96" a="1"/>
  <c r="N116" i="96" s="1"/>
  <c r="M116" i="96" a="1"/>
  <c r="M116" i="96" s="1"/>
  <c r="L116" i="96" a="1"/>
  <c r="L116" i="96" s="1"/>
  <c r="K116" i="96" a="1"/>
  <c r="K116" i="96" s="1"/>
  <c r="J116" i="96" a="1"/>
  <c r="J116" i="96" s="1"/>
  <c r="I116" i="96" a="1"/>
  <c r="I116" i="96" s="1"/>
  <c r="H116" i="96" a="1"/>
  <c r="H116" i="96" s="1"/>
  <c r="G116" i="96" a="1"/>
  <c r="G116" i="96" s="1"/>
  <c r="F116" i="96" a="1"/>
  <c r="F116" i="96" s="1"/>
  <c r="E116" i="96" a="1"/>
  <c r="E116" i="96" s="1"/>
  <c r="D116" i="96" a="1"/>
  <c r="D116" i="96" s="1"/>
  <c r="AH115" i="96" a="1"/>
  <c r="AH115" i="96" s="1"/>
  <c r="AG115" i="96" a="1"/>
  <c r="AG115" i="96" s="1"/>
  <c r="AF115" i="96" a="1"/>
  <c r="AF115" i="96" s="1"/>
  <c r="AE115" i="96" a="1"/>
  <c r="AE115" i="96" s="1"/>
  <c r="AD115" i="96" a="1"/>
  <c r="AD115" i="96" s="1"/>
  <c r="AC115" i="96" a="1"/>
  <c r="AC115" i="96" s="1"/>
  <c r="AB115" i="96" a="1"/>
  <c r="AB115" i="96" s="1"/>
  <c r="AA115" i="96" a="1"/>
  <c r="AA115" i="96" s="1"/>
  <c r="Z115" i="96" a="1"/>
  <c r="Z115" i="96" s="1"/>
  <c r="Y115" i="96" a="1"/>
  <c r="Y115" i="96" s="1"/>
  <c r="X115" i="96" a="1"/>
  <c r="X115" i="96" s="1"/>
  <c r="W115" i="96" a="1"/>
  <c r="W115" i="96" s="1"/>
  <c r="V115" i="96" a="1"/>
  <c r="V115" i="96" s="1"/>
  <c r="U115" i="96" a="1"/>
  <c r="U115" i="96" s="1"/>
  <c r="T115" i="96" a="1"/>
  <c r="T115" i="96" s="1"/>
  <c r="S115" i="96" a="1"/>
  <c r="S115" i="96" s="1"/>
  <c r="R115" i="96" a="1"/>
  <c r="R115" i="96" s="1"/>
  <c r="Q115" i="96" a="1"/>
  <c r="Q115" i="96" s="1"/>
  <c r="P115" i="96" a="1"/>
  <c r="P115" i="96" s="1"/>
  <c r="O115" i="96" a="1"/>
  <c r="O115" i="96" s="1"/>
  <c r="N115" i="96" a="1"/>
  <c r="N115" i="96" s="1"/>
  <c r="M115" i="96" a="1"/>
  <c r="M115" i="96" s="1"/>
  <c r="L115" i="96" a="1"/>
  <c r="L115" i="96" s="1"/>
  <c r="K115" i="96" a="1"/>
  <c r="K115" i="96" s="1"/>
  <c r="J115" i="96" a="1"/>
  <c r="J115" i="96" s="1"/>
  <c r="I115" i="96" a="1"/>
  <c r="I115" i="96" s="1"/>
  <c r="H115" i="96" a="1"/>
  <c r="H115" i="96" s="1"/>
  <c r="G115" i="96" a="1"/>
  <c r="G115" i="96" s="1"/>
  <c r="F115" i="96" a="1"/>
  <c r="F115" i="96" s="1"/>
  <c r="E115" i="96" a="1"/>
  <c r="E115" i="96" s="1"/>
  <c r="D115" i="96" a="1"/>
  <c r="D115" i="96" s="1"/>
  <c r="AH114" i="96" a="1"/>
  <c r="AH114" i="96" s="1"/>
  <c r="AG114" i="96" a="1"/>
  <c r="AG114" i="96" s="1"/>
  <c r="AF114" i="96" a="1"/>
  <c r="AF114" i="96" s="1"/>
  <c r="AE114" i="96" a="1"/>
  <c r="AE114" i="96" s="1"/>
  <c r="AD114" i="96" a="1"/>
  <c r="AD114" i="96" s="1"/>
  <c r="AC114" i="96" a="1"/>
  <c r="AC114" i="96" s="1"/>
  <c r="AB114" i="96" a="1"/>
  <c r="AB114" i="96" s="1"/>
  <c r="AA114" i="96" a="1"/>
  <c r="AA114" i="96" s="1"/>
  <c r="Z114" i="96" a="1"/>
  <c r="Z114" i="96" s="1"/>
  <c r="Y114" i="96" a="1"/>
  <c r="Y114" i="96" s="1"/>
  <c r="X114" i="96" a="1"/>
  <c r="X114" i="96" s="1"/>
  <c r="W114" i="96" a="1"/>
  <c r="W114" i="96" s="1"/>
  <c r="V114" i="96" a="1"/>
  <c r="V114" i="96" s="1"/>
  <c r="U114" i="96" a="1"/>
  <c r="U114" i="96" s="1"/>
  <c r="T114" i="96" a="1"/>
  <c r="T114" i="96" s="1"/>
  <c r="S114" i="96" a="1"/>
  <c r="S114" i="96" s="1"/>
  <c r="R114" i="96" a="1"/>
  <c r="R114" i="96" s="1"/>
  <c r="Q114" i="96" a="1"/>
  <c r="Q114" i="96" s="1"/>
  <c r="P114" i="96" a="1"/>
  <c r="P114" i="96" s="1"/>
  <c r="O114" i="96" a="1"/>
  <c r="O114" i="96" s="1"/>
  <c r="N114" i="96" a="1"/>
  <c r="N114" i="96" s="1"/>
  <c r="M114" i="96" a="1"/>
  <c r="M114" i="96" s="1"/>
  <c r="L114" i="96" a="1"/>
  <c r="L114" i="96" s="1"/>
  <c r="K114" i="96" a="1"/>
  <c r="K114" i="96" s="1"/>
  <c r="J114" i="96" a="1"/>
  <c r="J114" i="96" s="1"/>
  <c r="I114" i="96" a="1"/>
  <c r="I114" i="96" s="1"/>
  <c r="H114" i="96" a="1"/>
  <c r="H114" i="96" s="1"/>
  <c r="G114" i="96" a="1"/>
  <c r="G114" i="96" s="1"/>
  <c r="F114" i="96" a="1"/>
  <c r="F114" i="96" s="1"/>
  <c r="E114" i="96" a="1"/>
  <c r="E114" i="96" s="1"/>
  <c r="D114" i="96" a="1"/>
  <c r="D114" i="96" s="1"/>
  <c r="AH113" i="96" a="1"/>
  <c r="AH113" i="96" s="1"/>
  <c r="AG113" i="96" a="1"/>
  <c r="AG113" i="96" s="1"/>
  <c r="AF113" i="96" a="1"/>
  <c r="AF113" i="96" s="1"/>
  <c r="AE113" i="96" a="1"/>
  <c r="AE113" i="96" s="1"/>
  <c r="AD113" i="96" a="1"/>
  <c r="AD113" i="96" s="1"/>
  <c r="AC113" i="96" a="1"/>
  <c r="AC113" i="96" s="1"/>
  <c r="AB113" i="96" a="1"/>
  <c r="AB113" i="96" s="1"/>
  <c r="AA113" i="96" a="1"/>
  <c r="AA113" i="96" s="1"/>
  <c r="Z113" i="96" a="1"/>
  <c r="Z113" i="96" s="1"/>
  <c r="Y113" i="96" a="1"/>
  <c r="Y113" i="96" s="1"/>
  <c r="X113" i="96" a="1"/>
  <c r="X113" i="96" s="1"/>
  <c r="W113" i="96" a="1"/>
  <c r="W113" i="96" s="1"/>
  <c r="V113" i="96" a="1"/>
  <c r="V113" i="96" s="1"/>
  <c r="U113" i="96" a="1"/>
  <c r="U113" i="96" s="1"/>
  <c r="T113" i="96" a="1"/>
  <c r="T113" i="96" s="1"/>
  <c r="S113" i="96" a="1"/>
  <c r="S113" i="96" s="1"/>
  <c r="R113" i="96" a="1"/>
  <c r="R113" i="96" s="1"/>
  <c r="Q113" i="96" a="1"/>
  <c r="Q113" i="96" s="1"/>
  <c r="P113" i="96" a="1"/>
  <c r="P113" i="96" s="1"/>
  <c r="O113" i="96" a="1"/>
  <c r="O113" i="96" s="1"/>
  <c r="N113" i="96" a="1"/>
  <c r="N113" i="96" s="1"/>
  <c r="M113" i="96" a="1"/>
  <c r="M113" i="96" s="1"/>
  <c r="L113" i="96" a="1"/>
  <c r="L113" i="96" s="1"/>
  <c r="K113" i="96" a="1"/>
  <c r="K113" i="96" s="1"/>
  <c r="J113" i="96" a="1"/>
  <c r="J113" i="96" s="1"/>
  <c r="I113" i="96" a="1"/>
  <c r="I113" i="96" s="1"/>
  <c r="H113" i="96" a="1"/>
  <c r="H113" i="96" s="1"/>
  <c r="G113" i="96" a="1"/>
  <c r="G113" i="96" s="1"/>
  <c r="F113" i="96" a="1"/>
  <c r="F113" i="96" s="1"/>
  <c r="E113" i="96" a="1"/>
  <c r="E113" i="96" s="1"/>
  <c r="D113" i="96" a="1"/>
  <c r="D113" i="96" s="1"/>
  <c r="AH112" i="96" a="1"/>
  <c r="AH112" i="96" s="1"/>
  <c r="AG112" i="96" a="1"/>
  <c r="AG112" i="96" s="1"/>
  <c r="AF112" i="96" a="1"/>
  <c r="AF112" i="96" s="1"/>
  <c r="AE112" i="96" a="1"/>
  <c r="AE112" i="96" s="1"/>
  <c r="AD112" i="96" a="1"/>
  <c r="AD112" i="96" s="1"/>
  <c r="AC112" i="96" a="1"/>
  <c r="AC112" i="96" s="1"/>
  <c r="AB112" i="96" a="1"/>
  <c r="AB112" i="96" s="1"/>
  <c r="AA112" i="96" a="1"/>
  <c r="AA112" i="96" s="1"/>
  <c r="Z112" i="96" a="1"/>
  <c r="Z112" i="96" s="1"/>
  <c r="Y112" i="96" a="1"/>
  <c r="Y112" i="96" s="1"/>
  <c r="X112" i="96" a="1"/>
  <c r="X112" i="96" s="1"/>
  <c r="W112" i="96" a="1"/>
  <c r="W112" i="96" s="1"/>
  <c r="V112" i="96" a="1"/>
  <c r="V112" i="96" s="1"/>
  <c r="U112" i="96" a="1"/>
  <c r="U112" i="96" s="1"/>
  <c r="T112" i="96" a="1"/>
  <c r="T112" i="96" s="1"/>
  <c r="S112" i="96" a="1"/>
  <c r="S112" i="96" s="1"/>
  <c r="R112" i="96" a="1"/>
  <c r="R112" i="96" s="1"/>
  <c r="Q112" i="96" a="1"/>
  <c r="Q112" i="96" s="1"/>
  <c r="P112" i="96" a="1"/>
  <c r="P112" i="96" s="1"/>
  <c r="O112" i="96" a="1"/>
  <c r="O112" i="96" s="1"/>
  <c r="N112" i="96" a="1"/>
  <c r="N112" i="96" s="1"/>
  <c r="M112" i="96" a="1"/>
  <c r="M112" i="96" s="1"/>
  <c r="L112" i="96" a="1"/>
  <c r="L112" i="96" s="1"/>
  <c r="K112" i="96" a="1"/>
  <c r="K112" i="96" s="1"/>
  <c r="J112" i="96" a="1"/>
  <c r="J112" i="96" s="1"/>
  <c r="I112" i="96" a="1"/>
  <c r="I112" i="96" s="1"/>
  <c r="H112" i="96" a="1"/>
  <c r="H112" i="96" s="1"/>
  <c r="G112" i="96" a="1"/>
  <c r="G112" i="96" s="1"/>
  <c r="F112" i="96" a="1"/>
  <c r="F112" i="96" s="1"/>
  <c r="E112" i="96" a="1"/>
  <c r="E112" i="96" s="1"/>
  <c r="D112" i="96" a="1"/>
  <c r="D112" i="96" s="1"/>
  <c r="AH111" i="96" a="1"/>
  <c r="AH111" i="96" s="1"/>
  <c r="AG111" i="96" a="1"/>
  <c r="AG111" i="96" s="1"/>
  <c r="AF111" i="96" a="1"/>
  <c r="AF111" i="96" s="1"/>
  <c r="AE111" i="96" a="1"/>
  <c r="AE111" i="96" s="1"/>
  <c r="AD111" i="96" a="1"/>
  <c r="AD111" i="96" s="1"/>
  <c r="AC111" i="96" a="1"/>
  <c r="AC111" i="96" s="1"/>
  <c r="AB111" i="96" a="1"/>
  <c r="AB111" i="96" s="1"/>
  <c r="AA111" i="96" a="1"/>
  <c r="AA111" i="96" s="1"/>
  <c r="Z111" i="96" a="1"/>
  <c r="Z111" i="96" s="1"/>
  <c r="Y111" i="96" a="1"/>
  <c r="Y111" i="96" s="1"/>
  <c r="X111" i="96" a="1"/>
  <c r="X111" i="96" s="1"/>
  <c r="W111" i="96" a="1"/>
  <c r="W111" i="96" s="1"/>
  <c r="V111" i="96" a="1"/>
  <c r="V111" i="96" s="1"/>
  <c r="U111" i="96" a="1"/>
  <c r="U111" i="96" s="1"/>
  <c r="T111" i="96" a="1"/>
  <c r="T111" i="96" s="1"/>
  <c r="S111" i="96" a="1"/>
  <c r="S111" i="96" s="1"/>
  <c r="R111" i="96" a="1"/>
  <c r="R111" i="96" s="1"/>
  <c r="Q111" i="96" a="1"/>
  <c r="Q111" i="96" s="1"/>
  <c r="P111" i="96" a="1"/>
  <c r="P111" i="96" s="1"/>
  <c r="O111" i="96" a="1"/>
  <c r="O111" i="96" s="1"/>
  <c r="N111" i="96" a="1"/>
  <c r="N111" i="96" s="1"/>
  <c r="M111" i="96" a="1"/>
  <c r="M111" i="96" s="1"/>
  <c r="L111" i="96" a="1"/>
  <c r="L111" i="96" s="1"/>
  <c r="K111" i="96" a="1"/>
  <c r="K111" i="96" s="1"/>
  <c r="J111" i="96" a="1"/>
  <c r="J111" i="96" s="1"/>
  <c r="I111" i="96" a="1"/>
  <c r="I111" i="96" s="1"/>
  <c r="H111" i="96" a="1"/>
  <c r="H111" i="96" s="1"/>
  <c r="G111" i="96" a="1"/>
  <c r="G111" i="96" s="1"/>
  <c r="F111" i="96" a="1"/>
  <c r="F111" i="96" s="1"/>
  <c r="E111" i="96" a="1"/>
  <c r="E111" i="96" s="1"/>
  <c r="D111" i="96" a="1"/>
  <c r="D111" i="96" s="1"/>
  <c r="AH110" i="96" a="1"/>
  <c r="AH110" i="96" s="1"/>
  <c r="AG110" i="96" a="1"/>
  <c r="AG110" i="96" s="1"/>
  <c r="AF110" i="96" a="1"/>
  <c r="AF110" i="96" s="1"/>
  <c r="AE110" i="96" a="1"/>
  <c r="AE110" i="96" s="1"/>
  <c r="AD110" i="96" a="1"/>
  <c r="AD110" i="96" s="1"/>
  <c r="AC110" i="96" a="1"/>
  <c r="AC110" i="96" s="1"/>
  <c r="AB110" i="96" a="1"/>
  <c r="AB110" i="96" s="1"/>
  <c r="AA110" i="96" a="1"/>
  <c r="AA110" i="96" s="1"/>
  <c r="Z110" i="96" a="1"/>
  <c r="Z110" i="96" s="1"/>
  <c r="Y110" i="96" a="1"/>
  <c r="Y110" i="96" s="1"/>
  <c r="X110" i="96" a="1"/>
  <c r="X110" i="96" s="1"/>
  <c r="W110" i="96" a="1"/>
  <c r="W110" i="96" s="1"/>
  <c r="V110" i="96" a="1"/>
  <c r="V110" i="96" s="1"/>
  <c r="U110" i="96" a="1"/>
  <c r="U110" i="96" s="1"/>
  <c r="T110" i="96" a="1"/>
  <c r="T110" i="96" s="1"/>
  <c r="S110" i="96" a="1"/>
  <c r="S110" i="96" s="1"/>
  <c r="R110" i="96" a="1"/>
  <c r="R110" i="96" s="1"/>
  <c r="Q110" i="96" a="1"/>
  <c r="Q110" i="96" s="1"/>
  <c r="P110" i="96" a="1"/>
  <c r="P110" i="96" s="1"/>
  <c r="O110" i="96" a="1"/>
  <c r="O110" i="96" s="1"/>
  <c r="N110" i="96" a="1"/>
  <c r="N110" i="96" s="1"/>
  <c r="M110" i="96" a="1"/>
  <c r="M110" i="96" s="1"/>
  <c r="L110" i="96" a="1"/>
  <c r="L110" i="96" s="1"/>
  <c r="K110" i="96" a="1"/>
  <c r="K110" i="96" s="1"/>
  <c r="J110" i="96" a="1"/>
  <c r="J110" i="96" s="1"/>
  <c r="I110" i="96" a="1"/>
  <c r="I110" i="96" s="1"/>
  <c r="H110" i="96" a="1"/>
  <c r="H110" i="96" s="1"/>
  <c r="G110" i="96" a="1"/>
  <c r="G110" i="96" s="1"/>
  <c r="F110" i="96" a="1"/>
  <c r="F110" i="96" s="1"/>
  <c r="E110" i="96" a="1"/>
  <c r="E110" i="96" s="1"/>
  <c r="D110" i="96" a="1"/>
  <c r="D110" i="96" s="1"/>
  <c r="AH109" i="96" a="1"/>
  <c r="AH109" i="96" s="1"/>
  <c r="AG109" i="96" a="1"/>
  <c r="AG109" i="96" s="1"/>
  <c r="AF109" i="96" a="1"/>
  <c r="AF109" i="96" s="1"/>
  <c r="AE109" i="96" a="1"/>
  <c r="AE109" i="96" s="1"/>
  <c r="AD109" i="96" a="1"/>
  <c r="AD109" i="96" s="1"/>
  <c r="AC109" i="96" a="1"/>
  <c r="AC109" i="96" s="1"/>
  <c r="AB109" i="96" a="1"/>
  <c r="AB109" i="96" s="1"/>
  <c r="AA109" i="96" a="1"/>
  <c r="AA109" i="96" s="1"/>
  <c r="Z109" i="96" a="1"/>
  <c r="Z109" i="96" s="1"/>
  <c r="Y109" i="96" a="1"/>
  <c r="Y109" i="96" s="1"/>
  <c r="X109" i="96" a="1"/>
  <c r="X109" i="96" s="1"/>
  <c r="W109" i="96" a="1"/>
  <c r="W109" i="96" s="1"/>
  <c r="V109" i="96" a="1"/>
  <c r="V109" i="96" s="1"/>
  <c r="U109" i="96" a="1"/>
  <c r="U109" i="96" s="1"/>
  <c r="T109" i="96" a="1"/>
  <c r="T109" i="96" s="1"/>
  <c r="S109" i="96" a="1"/>
  <c r="S109" i="96" s="1"/>
  <c r="R109" i="96" a="1"/>
  <c r="R109" i="96" s="1"/>
  <c r="Q109" i="96" a="1"/>
  <c r="Q109" i="96" s="1"/>
  <c r="P109" i="96" a="1"/>
  <c r="P109" i="96" s="1"/>
  <c r="O109" i="96" a="1"/>
  <c r="O109" i="96" s="1"/>
  <c r="N109" i="96" a="1"/>
  <c r="N109" i="96" s="1"/>
  <c r="M109" i="96" a="1"/>
  <c r="M109" i="96" s="1"/>
  <c r="L109" i="96" a="1"/>
  <c r="L109" i="96" s="1"/>
  <c r="K109" i="96" a="1"/>
  <c r="K109" i="96" s="1"/>
  <c r="J109" i="96" a="1"/>
  <c r="J109" i="96" s="1"/>
  <c r="I109" i="96" a="1"/>
  <c r="I109" i="96" s="1"/>
  <c r="H109" i="96" a="1"/>
  <c r="H109" i="96" s="1"/>
  <c r="G109" i="96" a="1"/>
  <c r="G109" i="96" s="1"/>
  <c r="F109" i="96" a="1"/>
  <c r="F109" i="96" s="1"/>
  <c r="E109" i="96" a="1"/>
  <c r="E109" i="96" s="1"/>
  <c r="D109" i="96" a="1"/>
  <c r="D109" i="96" s="1"/>
  <c r="AH108" i="96" a="1"/>
  <c r="AH108" i="96" s="1"/>
  <c r="AG108" i="96" a="1"/>
  <c r="AG108" i="96" s="1"/>
  <c r="AF108" i="96" a="1"/>
  <c r="AF108" i="96" s="1"/>
  <c r="AE108" i="96" a="1"/>
  <c r="AE108" i="96" s="1"/>
  <c r="AD108" i="96" a="1"/>
  <c r="AD108" i="96" s="1"/>
  <c r="AC108" i="96" a="1"/>
  <c r="AC108" i="96" s="1"/>
  <c r="AB108" i="96" a="1"/>
  <c r="AB108" i="96" s="1"/>
  <c r="AA108" i="96" a="1"/>
  <c r="AA108" i="96" s="1"/>
  <c r="Z108" i="96" a="1"/>
  <c r="Z108" i="96" s="1"/>
  <c r="Y108" i="96" a="1"/>
  <c r="Y108" i="96" s="1"/>
  <c r="X108" i="96" a="1"/>
  <c r="X108" i="96" s="1"/>
  <c r="W108" i="96" a="1"/>
  <c r="W108" i="96" s="1"/>
  <c r="V108" i="96" a="1"/>
  <c r="V108" i="96" s="1"/>
  <c r="U108" i="96" a="1"/>
  <c r="U108" i="96" s="1"/>
  <c r="T108" i="96" a="1"/>
  <c r="T108" i="96" s="1"/>
  <c r="S108" i="96" a="1"/>
  <c r="S108" i="96" s="1"/>
  <c r="R108" i="96" a="1"/>
  <c r="R108" i="96" s="1"/>
  <c r="Q108" i="96" a="1"/>
  <c r="Q108" i="96" s="1"/>
  <c r="P108" i="96" a="1"/>
  <c r="P108" i="96" s="1"/>
  <c r="O108" i="96" a="1"/>
  <c r="O108" i="96" s="1"/>
  <c r="N108" i="96" a="1"/>
  <c r="N108" i="96" s="1"/>
  <c r="M108" i="96" a="1"/>
  <c r="M108" i="96" s="1"/>
  <c r="L108" i="96" a="1"/>
  <c r="L108" i="96" s="1"/>
  <c r="K108" i="96" a="1"/>
  <c r="K108" i="96" s="1"/>
  <c r="J108" i="96" a="1"/>
  <c r="J108" i="96" s="1"/>
  <c r="I108" i="96" a="1"/>
  <c r="I108" i="96" s="1"/>
  <c r="H108" i="96" a="1"/>
  <c r="H108" i="96" s="1"/>
  <c r="G108" i="96" a="1"/>
  <c r="G108" i="96" s="1"/>
  <c r="F108" i="96" a="1"/>
  <c r="F108" i="96" s="1"/>
  <c r="E108" i="96" a="1"/>
  <c r="E108" i="96" s="1"/>
  <c r="D108" i="96" a="1"/>
  <c r="D108" i="96" s="1"/>
  <c r="AH107" i="96" a="1"/>
  <c r="AH107" i="96" s="1"/>
  <c r="AG107" i="96" a="1"/>
  <c r="AG107" i="96" s="1"/>
  <c r="AF107" i="96" a="1"/>
  <c r="AF107" i="96" s="1"/>
  <c r="AE107" i="96" a="1"/>
  <c r="AE107" i="96" s="1"/>
  <c r="AD107" i="96" a="1"/>
  <c r="AD107" i="96" s="1"/>
  <c r="AC107" i="96" a="1"/>
  <c r="AC107" i="96" s="1"/>
  <c r="AB107" i="96" a="1"/>
  <c r="AB107" i="96" s="1"/>
  <c r="AA107" i="96" a="1"/>
  <c r="AA107" i="96" s="1"/>
  <c r="Z107" i="96" a="1"/>
  <c r="Z107" i="96" s="1"/>
  <c r="Y107" i="96" a="1"/>
  <c r="Y107" i="96" s="1"/>
  <c r="X107" i="96" a="1"/>
  <c r="X107" i="96" s="1"/>
  <c r="W107" i="96" a="1"/>
  <c r="W107" i="96" s="1"/>
  <c r="V107" i="96" a="1"/>
  <c r="V107" i="96" s="1"/>
  <c r="U107" i="96" a="1"/>
  <c r="U107" i="96" s="1"/>
  <c r="T107" i="96" a="1"/>
  <c r="T107" i="96" s="1"/>
  <c r="S107" i="96" a="1"/>
  <c r="S107" i="96" s="1"/>
  <c r="R107" i="96" a="1"/>
  <c r="R107" i="96" s="1"/>
  <c r="Q107" i="96" a="1"/>
  <c r="Q107" i="96" s="1"/>
  <c r="P107" i="96" a="1"/>
  <c r="P107" i="96" s="1"/>
  <c r="O107" i="96" a="1"/>
  <c r="O107" i="96" s="1"/>
  <c r="N107" i="96" a="1"/>
  <c r="N107" i="96" s="1"/>
  <c r="M107" i="96" a="1"/>
  <c r="M107" i="96" s="1"/>
  <c r="L107" i="96" a="1"/>
  <c r="L107" i="96" s="1"/>
  <c r="K107" i="96" a="1"/>
  <c r="K107" i="96" s="1"/>
  <c r="J107" i="96" a="1"/>
  <c r="J107" i="96" s="1"/>
  <c r="I107" i="96" a="1"/>
  <c r="I107" i="96" s="1"/>
  <c r="H107" i="96" a="1"/>
  <c r="H107" i="96" s="1"/>
  <c r="G107" i="96" a="1"/>
  <c r="G107" i="96" s="1"/>
  <c r="F107" i="96" a="1"/>
  <c r="F107" i="96" s="1"/>
  <c r="E107" i="96" a="1"/>
  <c r="E107" i="96" s="1"/>
  <c r="D107" i="96" a="1"/>
  <c r="D107" i="96" s="1"/>
  <c r="AH106" i="96" a="1"/>
  <c r="AH106" i="96" s="1"/>
  <c r="AG106" i="96" a="1"/>
  <c r="AG106" i="96" s="1"/>
  <c r="AF106" i="96" a="1"/>
  <c r="AF106" i="96" s="1"/>
  <c r="AE106" i="96" a="1"/>
  <c r="AE106" i="96" s="1"/>
  <c r="AD106" i="96" a="1"/>
  <c r="AD106" i="96" s="1"/>
  <c r="AC106" i="96" a="1"/>
  <c r="AC106" i="96" s="1"/>
  <c r="AB106" i="96" a="1"/>
  <c r="AB106" i="96" s="1"/>
  <c r="AA106" i="96" a="1"/>
  <c r="AA106" i="96" s="1"/>
  <c r="Z106" i="96" a="1"/>
  <c r="Z106" i="96" s="1"/>
  <c r="Y106" i="96" a="1"/>
  <c r="Y106" i="96" s="1"/>
  <c r="X106" i="96" a="1"/>
  <c r="X106" i="96" s="1"/>
  <c r="W106" i="96" a="1"/>
  <c r="W106" i="96" s="1"/>
  <c r="V106" i="96" a="1"/>
  <c r="V106" i="96" s="1"/>
  <c r="U106" i="96" a="1"/>
  <c r="U106" i="96" s="1"/>
  <c r="T106" i="96" a="1"/>
  <c r="T106" i="96" s="1"/>
  <c r="S106" i="96" a="1"/>
  <c r="S106" i="96" s="1"/>
  <c r="R106" i="96" a="1"/>
  <c r="R106" i="96" s="1"/>
  <c r="Q106" i="96" a="1"/>
  <c r="Q106" i="96" s="1"/>
  <c r="P106" i="96" a="1"/>
  <c r="P106" i="96" s="1"/>
  <c r="O106" i="96" a="1"/>
  <c r="O106" i="96" s="1"/>
  <c r="N106" i="96" a="1"/>
  <c r="N106" i="96" s="1"/>
  <c r="M106" i="96" a="1"/>
  <c r="M106" i="96" s="1"/>
  <c r="L106" i="96" a="1"/>
  <c r="L106" i="96" s="1"/>
  <c r="K106" i="96" a="1"/>
  <c r="K106" i="96" s="1"/>
  <c r="J106" i="96" a="1"/>
  <c r="J106" i="96" s="1"/>
  <c r="I106" i="96" a="1"/>
  <c r="I106" i="96" s="1"/>
  <c r="H106" i="96" a="1"/>
  <c r="H106" i="96" s="1"/>
  <c r="G106" i="96" a="1"/>
  <c r="G106" i="96" s="1"/>
  <c r="F106" i="96" a="1"/>
  <c r="F106" i="96" s="1"/>
  <c r="E106" i="96" a="1"/>
  <c r="E106" i="96" s="1"/>
  <c r="D106" i="96" a="1"/>
  <c r="D106" i="96" s="1"/>
  <c r="AH105" i="96" a="1"/>
  <c r="AH105" i="96" s="1"/>
  <c r="AG105" i="96" a="1"/>
  <c r="AG105" i="96" s="1"/>
  <c r="AF105" i="96" a="1"/>
  <c r="AF105" i="96" s="1"/>
  <c r="AE105" i="96" a="1"/>
  <c r="AE105" i="96" s="1"/>
  <c r="AD105" i="96" a="1"/>
  <c r="AD105" i="96" s="1"/>
  <c r="AC105" i="96" a="1"/>
  <c r="AC105" i="96" s="1"/>
  <c r="AB105" i="96" a="1"/>
  <c r="AB105" i="96" s="1"/>
  <c r="AA105" i="96" a="1"/>
  <c r="AA105" i="96" s="1"/>
  <c r="Z105" i="96" a="1"/>
  <c r="Z105" i="96" s="1"/>
  <c r="Y105" i="96" a="1"/>
  <c r="Y105" i="96" s="1"/>
  <c r="X105" i="96" a="1"/>
  <c r="X105" i="96" s="1"/>
  <c r="W105" i="96" a="1"/>
  <c r="W105" i="96" s="1"/>
  <c r="V105" i="96" a="1"/>
  <c r="V105" i="96" s="1"/>
  <c r="U105" i="96" a="1"/>
  <c r="U105" i="96" s="1"/>
  <c r="T105" i="96" a="1"/>
  <c r="T105" i="96" s="1"/>
  <c r="S105" i="96" a="1"/>
  <c r="S105" i="96" s="1"/>
  <c r="R105" i="96" a="1"/>
  <c r="R105" i="96" s="1"/>
  <c r="Q105" i="96" a="1"/>
  <c r="Q105" i="96" s="1"/>
  <c r="P105" i="96" a="1"/>
  <c r="P105" i="96" s="1"/>
  <c r="O105" i="96" a="1"/>
  <c r="O105" i="96" s="1"/>
  <c r="N105" i="96" a="1"/>
  <c r="N105" i="96" s="1"/>
  <c r="M105" i="96" a="1"/>
  <c r="M105" i="96" s="1"/>
  <c r="L105" i="96" a="1"/>
  <c r="L105" i="96" s="1"/>
  <c r="K105" i="96" a="1"/>
  <c r="K105" i="96" s="1"/>
  <c r="J105" i="96" a="1"/>
  <c r="J105" i="96" s="1"/>
  <c r="I105" i="96" a="1"/>
  <c r="I105" i="96" s="1"/>
  <c r="H105" i="96" a="1"/>
  <c r="H105" i="96" s="1"/>
  <c r="G105" i="96" a="1"/>
  <c r="G105" i="96" s="1"/>
  <c r="F105" i="96" a="1"/>
  <c r="F105" i="96" s="1"/>
  <c r="E105" i="96" a="1"/>
  <c r="E105" i="96" s="1"/>
  <c r="D105" i="96" a="1"/>
  <c r="D105" i="96" s="1"/>
  <c r="AH104" i="96" a="1"/>
  <c r="AH104" i="96" s="1"/>
  <c r="AG104" i="96" a="1"/>
  <c r="AG104" i="96" s="1"/>
  <c r="AF104" i="96" a="1"/>
  <c r="AF104" i="96" s="1"/>
  <c r="AE104" i="96" a="1"/>
  <c r="AE104" i="96" s="1"/>
  <c r="AD104" i="96" a="1"/>
  <c r="AD104" i="96" s="1"/>
  <c r="AC104" i="96" a="1"/>
  <c r="AC104" i="96" s="1"/>
  <c r="AB104" i="96" a="1"/>
  <c r="AB104" i="96" s="1"/>
  <c r="AA104" i="96" a="1"/>
  <c r="AA104" i="96" s="1"/>
  <c r="Z104" i="96" a="1"/>
  <c r="Z104" i="96" s="1"/>
  <c r="Y104" i="96" a="1"/>
  <c r="Y104" i="96" s="1"/>
  <c r="X104" i="96" a="1"/>
  <c r="X104" i="96" s="1"/>
  <c r="W104" i="96" a="1"/>
  <c r="W104" i="96" s="1"/>
  <c r="V104" i="96" a="1"/>
  <c r="V104" i="96" s="1"/>
  <c r="U104" i="96" a="1"/>
  <c r="U104" i="96" s="1"/>
  <c r="T104" i="96" a="1"/>
  <c r="T104" i="96" s="1"/>
  <c r="S104" i="96" a="1"/>
  <c r="S104" i="96" s="1"/>
  <c r="R104" i="96" a="1"/>
  <c r="R104" i="96" s="1"/>
  <c r="Q104" i="96" a="1"/>
  <c r="Q104" i="96" s="1"/>
  <c r="P104" i="96" a="1"/>
  <c r="P104" i="96" s="1"/>
  <c r="O104" i="96" a="1"/>
  <c r="O104" i="96" s="1"/>
  <c r="N104" i="96" a="1"/>
  <c r="N104" i="96" s="1"/>
  <c r="M104" i="96" a="1"/>
  <c r="M104" i="96" s="1"/>
  <c r="L104" i="96" a="1"/>
  <c r="L104" i="96" s="1"/>
  <c r="K104" i="96" a="1"/>
  <c r="K104" i="96" s="1"/>
  <c r="J104" i="96" a="1"/>
  <c r="J104" i="96" s="1"/>
  <c r="I104" i="96" a="1"/>
  <c r="I104" i="96" s="1"/>
  <c r="H104" i="96" a="1"/>
  <c r="H104" i="96" s="1"/>
  <c r="G104" i="96" a="1"/>
  <c r="G104" i="96" s="1"/>
  <c r="F104" i="96" a="1"/>
  <c r="F104" i="96" s="1"/>
  <c r="E104" i="96" a="1"/>
  <c r="E104" i="96" s="1"/>
  <c r="D104" i="96" a="1"/>
  <c r="D104" i="96" s="1"/>
  <c r="AH103" i="96" a="1"/>
  <c r="AH103" i="96" s="1"/>
  <c r="AG103" i="96" a="1"/>
  <c r="AG103" i="96" s="1"/>
  <c r="AF103" i="96" a="1"/>
  <c r="AF103" i="96" s="1"/>
  <c r="AE103" i="96" a="1"/>
  <c r="AE103" i="96" s="1"/>
  <c r="AD103" i="96" a="1"/>
  <c r="AD103" i="96" s="1"/>
  <c r="AC103" i="96" a="1"/>
  <c r="AC103" i="96" s="1"/>
  <c r="AB103" i="96" a="1"/>
  <c r="AB103" i="96" s="1"/>
  <c r="AA103" i="96" a="1"/>
  <c r="AA103" i="96" s="1"/>
  <c r="Z103" i="96" a="1"/>
  <c r="Z103" i="96" s="1"/>
  <c r="Y103" i="96" a="1"/>
  <c r="Y103" i="96" s="1"/>
  <c r="X103" i="96" a="1"/>
  <c r="X103" i="96" s="1"/>
  <c r="W103" i="96" a="1"/>
  <c r="W103" i="96" s="1"/>
  <c r="V103" i="96" a="1"/>
  <c r="V103" i="96" s="1"/>
  <c r="U103" i="96" a="1"/>
  <c r="U103" i="96" s="1"/>
  <c r="T103" i="96" a="1"/>
  <c r="T103" i="96" s="1"/>
  <c r="S103" i="96" a="1"/>
  <c r="S103" i="96" s="1"/>
  <c r="R103" i="96" a="1"/>
  <c r="R103" i="96" s="1"/>
  <c r="Q103" i="96" a="1"/>
  <c r="Q103" i="96" s="1"/>
  <c r="P103" i="96" a="1"/>
  <c r="P103" i="96" s="1"/>
  <c r="O103" i="96" a="1"/>
  <c r="O103" i="96" s="1"/>
  <c r="N103" i="96" a="1"/>
  <c r="N103" i="96" s="1"/>
  <c r="M103" i="96" a="1"/>
  <c r="M103" i="96" s="1"/>
  <c r="L103" i="96" a="1"/>
  <c r="L103" i="96" s="1"/>
  <c r="K103" i="96" a="1"/>
  <c r="K103" i="96" s="1"/>
  <c r="J103" i="96" a="1"/>
  <c r="J103" i="96" s="1"/>
  <c r="I103" i="96" a="1"/>
  <c r="I103" i="96" s="1"/>
  <c r="H103" i="96" a="1"/>
  <c r="H103" i="96" s="1"/>
  <c r="G103" i="96" a="1"/>
  <c r="G103" i="96" s="1"/>
  <c r="F103" i="96" a="1"/>
  <c r="F103" i="96" s="1"/>
  <c r="E103" i="96" a="1"/>
  <c r="E103" i="96" s="1"/>
  <c r="D103" i="96" a="1"/>
  <c r="D103" i="96" s="1"/>
  <c r="AH102" i="96" a="1"/>
  <c r="AH102" i="96" s="1"/>
  <c r="AG102" i="96" a="1"/>
  <c r="AG102" i="96" s="1"/>
  <c r="AF102" i="96" a="1"/>
  <c r="AF102" i="96" s="1"/>
  <c r="AE102" i="96" a="1"/>
  <c r="AE102" i="96" s="1"/>
  <c r="AD102" i="96" a="1"/>
  <c r="AD102" i="96" s="1"/>
  <c r="AC102" i="96" a="1"/>
  <c r="AC102" i="96" s="1"/>
  <c r="AB102" i="96" a="1"/>
  <c r="AB102" i="96" s="1"/>
  <c r="AA102" i="96" a="1"/>
  <c r="AA102" i="96" s="1"/>
  <c r="Z102" i="96" a="1"/>
  <c r="Z102" i="96" s="1"/>
  <c r="Y102" i="96" a="1"/>
  <c r="Y102" i="96" s="1"/>
  <c r="X102" i="96" a="1"/>
  <c r="X102" i="96" s="1"/>
  <c r="W102" i="96" a="1"/>
  <c r="W102" i="96" s="1"/>
  <c r="V102" i="96" a="1"/>
  <c r="V102" i="96" s="1"/>
  <c r="U102" i="96" a="1"/>
  <c r="U102" i="96" s="1"/>
  <c r="T102" i="96" a="1"/>
  <c r="T102" i="96" s="1"/>
  <c r="S102" i="96" a="1"/>
  <c r="S102" i="96" s="1"/>
  <c r="R102" i="96" a="1"/>
  <c r="R102" i="96" s="1"/>
  <c r="Q102" i="96" a="1"/>
  <c r="Q102" i="96" s="1"/>
  <c r="P102" i="96" a="1"/>
  <c r="P102" i="96" s="1"/>
  <c r="O102" i="96" a="1"/>
  <c r="O102" i="96" s="1"/>
  <c r="N102" i="96" a="1"/>
  <c r="N102" i="96" s="1"/>
  <c r="M102" i="96" a="1"/>
  <c r="M102" i="96" s="1"/>
  <c r="L102" i="96" a="1"/>
  <c r="L102" i="96" s="1"/>
  <c r="K102" i="96" a="1"/>
  <c r="K102" i="96" s="1"/>
  <c r="J102" i="96" a="1"/>
  <c r="J102" i="96" s="1"/>
  <c r="I102" i="96" a="1"/>
  <c r="I102" i="96" s="1"/>
  <c r="H102" i="96" a="1"/>
  <c r="H102" i="96" s="1"/>
  <c r="G102" i="96" a="1"/>
  <c r="G102" i="96" s="1"/>
  <c r="F102" i="96" a="1"/>
  <c r="F102" i="96" s="1"/>
  <c r="E102" i="96" a="1"/>
  <c r="E102" i="96" s="1"/>
  <c r="D102" i="96" a="1"/>
  <c r="D102" i="96" s="1"/>
  <c r="AH101" i="96" a="1"/>
  <c r="AH101" i="96" s="1"/>
  <c r="AG101" i="96" a="1"/>
  <c r="AG101" i="96" s="1"/>
  <c r="AF101" i="96" a="1"/>
  <c r="AF101" i="96" s="1"/>
  <c r="AE101" i="96" a="1"/>
  <c r="AE101" i="96" s="1"/>
  <c r="AD101" i="96" a="1"/>
  <c r="AD101" i="96" s="1"/>
  <c r="AC101" i="96" a="1"/>
  <c r="AC101" i="96" s="1"/>
  <c r="AB101" i="96" a="1"/>
  <c r="AB101" i="96" s="1"/>
  <c r="AA101" i="96" a="1"/>
  <c r="AA101" i="96" s="1"/>
  <c r="Z101" i="96" a="1"/>
  <c r="Z101" i="96" s="1"/>
  <c r="Y101" i="96" a="1"/>
  <c r="Y101" i="96" s="1"/>
  <c r="X101" i="96" a="1"/>
  <c r="X101" i="96" s="1"/>
  <c r="W101" i="96" a="1"/>
  <c r="W101" i="96" s="1"/>
  <c r="V101" i="96" a="1"/>
  <c r="V101" i="96" s="1"/>
  <c r="U101" i="96" a="1"/>
  <c r="U101" i="96" s="1"/>
  <c r="T101" i="96" a="1"/>
  <c r="T101" i="96" s="1"/>
  <c r="S101" i="96" a="1"/>
  <c r="S101" i="96" s="1"/>
  <c r="R101" i="96" a="1"/>
  <c r="R101" i="96" s="1"/>
  <c r="Q101" i="96" a="1"/>
  <c r="Q101" i="96" s="1"/>
  <c r="P101" i="96" a="1"/>
  <c r="P101" i="96" s="1"/>
  <c r="O101" i="96" a="1"/>
  <c r="O101" i="96" s="1"/>
  <c r="N101" i="96" a="1"/>
  <c r="N101" i="96" s="1"/>
  <c r="M101" i="96" a="1"/>
  <c r="M101" i="96" s="1"/>
  <c r="L101" i="96" a="1"/>
  <c r="L101" i="96" s="1"/>
  <c r="K101" i="96" a="1"/>
  <c r="K101" i="96" s="1"/>
  <c r="J101" i="96" a="1"/>
  <c r="J101" i="96" s="1"/>
  <c r="I101" i="96" a="1"/>
  <c r="I101" i="96" s="1"/>
  <c r="H101" i="96" a="1"/>
  <c r="H101" i="96" s="1"/>
  <c r="G101" i="96" a="1"/>
  <c r="G101" i="96" s="1"/>
  <c r="F101" i="96" a="1"/>
  <c r="F101" i="96" s="1"/>
  <c r="E101" i="96" a="1"/>
  <c r="E101" i="96" s="1"/>
  <c r="D101" i="96" a="1"/>
  <c r="D101" i="96" s="1"/>
  <c r="AH100" i="96" a="1"/>
  <c r="AH100" i="96" s="1"/>
  <c r="AG100" i="96" a="1"/>
  <c r="AG100" i="96" s="1"/>
  <c r="AF100" i="96" a="1"/>
  <c r="AF100" i="96" s="1"/>
  <c r="AE100" i="96" a="1"/>
  <c r="AE100" i="96" s="1"/>
  <c r="AD100" i="96" a="1"/>
  <c r="AD100" i="96" s="1"/>
  <c r="AC100" i="96" a="1"/>
  <c r="AC100" i="96" s="1"/>
  <c r="AB100" i="96" a="1"/>
  <c r="AB100" i="96" s="1"/>
  <c r="AA100" i="96" a="1"/>
  <c r="AA100" i="96" s="1"/>
  <c r="Z100" i="96" a="1"/>
  <c r="Z100" i="96" s="1"/>
  <c r="Y100" i="96" a="1"/>
  <c r="Y100" i="96" s="1"/>
  <c r="X100" i="96" a="1"/>
  <c r="X100" i="96" s="1"/>
  <c r="W100" i="96" a="1"/>
  <c r="W100" i="96" s="1"/>
  <c r="V100" i="96" a="1"/>
  <c r="V100" i="96" s="1"/>
  <c r="U100" i="96" a="1"/>
  <c r="U100" i="96" s="1"/>
  <c r="T100" i="96" a="1"/>
  <c r="T100" i="96" s="1"/>
  <c r="S100" i="96" a="1"/>
  <c r="S100" i="96" s="1"/>
  <c r="R100" i="96" a="1"/>
  <c r="R100" i="96" s="1"/>
  <c r="Q100" i="96" a="1"/>
  <c r="Q100" i="96" s="1"/>
  <c r="P100" i="96" a="1"/>
  <c r="P100" i="96" s="1"/>
  <c r="O100" i="96" a="1"/>
  <c r="O100" i="96" s="1"/>
  <c r="N100" i="96" a="1"/>
  <c r="N100" i="96" s="1"/>
  <c r="M100" i="96" a="1"/>
  <c r="M100" i="96" s="1"/>
  <c r="L100" i="96" a="1"/>
  <c r="L100" i="96" s="1"/>
  <c r="K100" i="96" a="1"/>
  <c r="K100" i="96" s="1"/>
  <c r="J100" i="96" a="1"/>
  <c r="J100" i="96" s="1"/>
  <c r="I100" i="96" a="1"/>
  <c r="I100" i="96" s="1"/>
  <c r="H100" i="96" a="1"/>
  <c r="H100" i="96" s="1"/>
  <c r="G100" i="96" a="1"/>
  <c r="G100" i="96" s="1"/>
  <c r="F100" i="96" a="1"/>
  <c r="F100" i="96" s="1"/>
  <c r="E100" i="96" a="1"/>
  <c r="E100" i="96" s="1"/>
  <c r="D100" i="96" a="1"/>
  <c r="D100" i="96" s="1"/>
  <c r="AH99" i="96" a="1"/>
  <c r="AH99" i="96" s="1"/>
  <c r="AG99" i="96" a="1"/>
  <c r="AG99" i="96" s="1"/>
  <c r="AF99" i="96" a="1"/>
  <c r="AF99" i="96" s="1"/>
  <c r="AE99" i="96" a="1"/>
  <c r="AE99" i="96" s="1"/>
  <c r="AD99" i="96" a="1"/>
  <c r="AD99" i="96" s="1"/>
  <c r="AC99" i="96" a="1"/>
  <c r="AC99" i="96" s="1"/>
  <c r="AB99" i="96" a="1"/>
  <c r="AB99" i="96" s="1"/>
  <c r="AA99" i="96" a="1"/>
  <c r="AA99" i="96" s="1"/>
  <c r="Z99" i="96" a="1"/>
  <c r="Z99" i="96" s="1"/>
  <c r="Y99" i="96" a="1"/>
  <c r="Y99" i="96" s="1"/>
  <c r="X99" i="96" a="1"/>
  <c r="X99" i="96" s="1"/>
  <c r="W99" i="96" a="1"/>
  <c r="W99" i="96" s="1"/>
  <c r="V99" i="96" a="1"/>
  <c r="V99" i="96" s="1"/>
  <c r="U99" i="96" a="1"/>
  <c r="U99" i="96" s="1"/>
  <c r="T99" i="96" a="1"/>
  <c r="T99" i="96" s="1"/>
  <c r="S99" i="96" a="1"/>
  <c r="S99" i="96" s="1"/>
  <c r="R99" i="96" a="1"/>
  <c r="R99" i="96" s="1"/>
  <c r="Q99" i="96" a="1"/>
  <c r="Q99" i="96" s="1"/>
  <c r="P99" i="96" a="1"/>
  <c r="P99" i="96" s="1"/>
  <c r="O99" i="96" a="1"/>
  <c r="O99" i="96" s="1"/>
  <c r="N99" i="96" a="1"/>
  <c r="N99" i="96" s="1"/>
  <c r="M99" i="96" a="1"/>
  <c r="M99" i="96" s="1"/>
  <c r="L99" i="96" a="1"/>
  <c r="L99" i="96" s="1"/>
  <c r="K99" i="96" a="1"/>
  <c r="K99" i="96" s="1"/>
  <c r="J99" i="96" a="1"/>
  <c r="J99" i="96" s="1"/>
  <c r="I99" i="96" a="1"/>
  <c r="I99" i="96" s="1"/>
  <c r="H99" i="96" a="1"/>
  <c r="H99" i="96" s="1"/>
  <c r="G99" i="96" a="1"/>
  <c r="G99" i="96" s="1"/>
  <c r="F99" i="96" a="1"/>
  <c r="F99" i="96" s="1"/>
  <c r="E99" i="96" a="1"/>
  <c r="E99" i="96" s="1"/>
  <c r="D99" i="96" a="1"/>
  <c r="D99" i="96" s="1"/>
  <c r="AH98" i="96" a="1"/>
  <c r="AH98" i="96" s="1"/>
  <c r="AG98" i="96" a="1"/>
  <c r="AG98" i="96" s="1"/>
  <c r="AF98" i="96" a="1"/>
  <c r="AF98" i="96" s="1"/>
  <c r="AE98" i="96" a="1"/>
  <c r="AE98" i="96" s="1"/>
  <c r="AD98" i="96" a="1"/>
  <c r="AD98" i="96" s="1"/>
  <c r="AC98" i="96" a="1"/>
  <c r="AC98" i="96" s="1"/>
  <c r="AB98" i="96" a="1"/>
  <c r="AB98" i="96" s="1"/>
  <c r="AA98" i="96" a="1"/>
  <c r="AA98" i="96" s="1"/>
  <c r="Z98" i="96" a="1"/>
  <c r="Z98" i="96" s="1"/>
  <c r="Y98" i="96" a="1"/>
  <c r="Y98" i="96" s="1"/>
  <c r="X98" i="96" a="1"/>
  <c r="X98" i="96" s="1"/>
  <c r="W98" i="96" a="1"/>
  <c r="W98" i="96" s="1"/>
  <c r="V98" i="96" a="1"/>
  <c r="V98" i="96" s="1"/>
  <c r="U98" i="96" a="1"/>
  <c r="U98" i="96" s="1"/>
  <c r="T98" i="96" a="1"/>
  <c r="T98" i="96" s="1"/>
  <c r="S98" i="96" a="1"/>
  <c r="S98" i="96" s="1"/>
  <c r="R98" i="96" a="1"/>
  <c r="R98" i="96" s="1"/>
  <c r="Q98" i="96" a="1"/>
  <c r="Q98" i="96" s="1"/>
  <c r="P98" i="96" a="1"/>
  <c r="P98" i="96" s="1"/>
  <c r="O98" i="96" a="1"/>
  <c r="O98" i="96" s="1"/>
  <c r="N98" i="96" a="1"/>
  <c r="N98" i="96" s="1"/>
  <c r="M98" i="96" a="1"/>
  <c r="M98" i="96" s="1"/>
  <c r="L98" i="96" a="1"/>
  <c r="L98" i="96" s="1"/>
  <c r="K98" i="96" a="1"/>
  <c r="K98" i="96" s="1"/>
  <c r="J98" i="96" a="1"/>
  <c r="J98" i="96" s="1"/>
  <c r="I98" i="96" a="1"/>
  <c r="I98" i="96" s="1"/>
  <c r="H98" i="96" a="1"/>
  <c r="H98" i="96" s="1"/>
  <c r="G98" i="96" a="1"/>
  <c r="G98" i="96" s="1"/>
  <c r="F98" i="96" a="1"/>
  <c r="F98" i="96" s="1"/>
  <c r="E98" i="96" a="1"/>
  <c r="E98" i="96" s="1"/>
  <c r="D98" i="96" a="1"/>
  <c r="D98" i="96" s="1"/>
  <c r="AH97" i="96" a="1"/>
  <c r="AH97" i="96" s="1"/>
  <c r="AG97" i="96" a="1"/>
  <c r="AG97" i="96" s="1"/>
  <c r="AF97" i="96" a="1"/>
  <c r="AF97" i="96" s="1"/>
  <c r="AE97" i="96" a="1"/>
  <c r="AE97" i="96" s="1"/>
  <c r="AD97" i="96" a="1"/>
  <c r="AD97" i="96" s="1"/>
  <c r="AC97" i="96" a="1"/>
  <c r="AC97" i="96" s="1"/>
  <c r="AB97" i="96" a="1"/>
  <c r="AB97" i="96" s="1"/>
  <c r="AA97" i="96" a="1"/>
  <c r="AA97" i="96" s="1"/>
  <c r="Z97" i="96" a="1"/>
  <c r="Z97" i="96" s="1"/>
  <c r="Y97" i="96" a="1"/>
  <c r="Y97" i="96" s="1"/>
  <c r="X97" i="96" a="1"/>
  <c r="X97" i="96" s="1"/>
  <c r="W97" i="96" a="1"/>
  <c r="W97" i="96" s="1"/>
  <c r="V97" i="96" a="1"/>
  <c r="V97" i="96" s="1"/>
  <c r="U97" i="96" a="1"/>
  <c r="U97" i="96" s="1"/>
  <c r="T97" i="96" a="1"/>
  <c r="T97" i="96" s="1"/>
  <c r="S97" i="96" a="1"/>
  <c r="S97" i="96" s="1"/>
  <c r="R97" i="96" a="1"/>
  <c r="R97" i="96" s="1"/>
  <c r="Q97" i="96" a="1"/>
  <c r="Q97" i="96" s="1"/>
  <c r="P97" i="96" a="1"/>
  <c r="P97" i="96" s="1"/>
  <c r="O97" i="96" a="1"/>
  <c r="O97" i="96" s="1"/>
  <c r="N97" i="96" a="1"/>
  <c r="N97" i="96" s="1"/>
  <c r="M97" i="96" a="1"/>
  <c r="M97" i="96" s="1"/>
  <c r="L97" i="96" a="1"/>
  <c r="L97" i="96" s="1"/>
  <c r="K97" i="96" a="1"/>
  <c r="K97" i="96" s="1"/>
  <c r="J97" i="96" a="1"/>
  <c r="J97" i="96" s="1"/>
  <c r="I97" i="96" a="1"/>
  <c r="I97" i="96" s="1"/>
  <c r="H97" i="96" a="1"/>
  <c r="H97" i="96" s="1"/>
  <c r="G97" i="96" a="1"/>
  <c r="G97" i="96" s="1"/>
  <c r="F97" i="96" a="1"/>
  <c r="F97" i="96" s="1"/>
  <c r="E97" i="96" a="1"/>
  <c r="E97" i="96" s="1"/>
  <c r="D97" i="96" a="1"/>
  <c r="D97" i="96" s="1"/>
  <c r="AH96" i="96" a="1"/>
  <c r="AH96" i="96" s="1"/>
  <c r="AG96" i="96" a="1"/>
  <c r="AG96" i="96" s="1"/>
  <c r="AF96" i="96" a="1"/>
  <c r="AF96" i="96" s="1"/>
  <c r="AE96" i="96" a="1"/>
  <c r="AE96" i="96" s="1"/>
  <c r="AD96" i="96" a="1"/>
  <c r="AD96" i="96" s="1"/>
  <c r="AC96" i="96" a="1"/>
  <c r="AC96" i="96" s="1"/>
  <c r="AB96" i="96" a="1"/>
  <c r="AB96" i="96" s="1"/>
  <c r="AA96" i="96" a="1"/>
  <c r="AA96" i="96" s="1"/>
  <c r="Z96" i="96" a="1"/>
  <c r="Z96" i="96" s="1"/>
  <c r="Y96" i="96" a="1"/>
  <c r="Y96" i="96" s="1"/>
  <c r="X96" i="96" a="1"/>
  <c r="X96" i="96" s="1"/>
  <c r="W96" i="96" a="1"/>
  <c r="W96" i="96" s="1"/>
  <c r="V96" i="96" a="1"/>
  <c r="V96" i="96" s="1"/>
  <c r="U96" i="96" a="1"/>
  <c r="U96" i="96" s="1"/>
  <c r="T96" i="96" a="1"/>
  <c r="T96" i="96" s="1"/>
  <c r="S96" i="96" a="1"/>
  <c r="S96" i="96" s="1"/>
  <c r="R96" i="96" a="1"/>
  <c r="R96" i="96" s="1"/>
  <c r="Q96" i="96" a="1"/>
  <c r="Q96" i="96" s="1"/>
  <c r="P96" i="96" a="1"/>
  <c r="P96" i="96" s="1"/>
  <c r="O96" i="96" a="1"/>
  <c r="O96" i="96" s="1"/>
  <c r="N96" i="96" a="1"/>
  <c r="N96" i="96" s="1"/>
  <c r="M96" i="96" a="1"/>
  <c r="M96" i="96" s="1"/>
  <c r="L96" i="96" a="1"/>
  <c r="L96" i="96" s="1"/>
  <c r="K96" i="96" a="1"/>
  <c r="K96" i="96" s="1"/>
  <c r="J96" i="96" a="1"/>
  <c r="J96" i="96" s="1"/>
  <c r="I96" i="96" a="1"/>
  <c r="I96" i="96" s="1"/>
  <c r="H96" i="96" a="1"/>
  <c r="H96" i="96" s="1"/>
  <c r="G96" i="96" a="1"/>
  <c r="G96" i="96" s="1"/>
  <c r="F96" i="96" a="1"/>
  <c r="F96" i="96" s="1"/>
  <c r="E96" i="96" a="1"/>
  <c r="E96" i="96" s="1"/>
  <c r="D96" i="96" a="1"/>
  <c r="D96" i="96" s="1"/>
  <c r="AH95" i="96" a="1"/>
  <c r="AH95" i="96" s="1"/>
  <c r="AG95" i="96" a="1"/>
  <c r="AG95" i="96" s="1"/>
  <c r="AF95" i="96" a="1"/>
  <c r="AF95" i="96" s="1"/>
  <c r="AE95" i="96" a="1"/>
  <c r="AE95" i="96" s="1"/>
  <c r="AD95" i="96" a="1"/>
  <c r="AD95" i="96" s="1"/>
  <c r="AC95" i="96" a="1"/>
  <c r="AC95" i="96" s="1"/>
  <c r="AB95" i="96" a="1"/>
  <c r="AB95" i="96" s="1"/>
  <c r="AA95" i="96" a="1"/>
  <c r="AA95" i="96" s="1"/>
  <c r="Z95" i="96" a="1"/>
  <c r="Z95" i="96" s="1"/>
  <c r="Y95" i="96" a="1"/>
  <c r="Y95" i="96" s="1"/>
  <c r="X95" i="96" a="1"/>
  <c r="X95" i="96" s="1"/>
  <c r="W95" i="96" a="1"/>
  <c r="W95" i="96" s="1"/>
  <c r="V95" i="96" a="1"/>
  <c r="V95" i="96" s="1"/>
  <c r="U95" i="96" a="1"/>
  <c r="U95" i="96" s="1"/>
  <c r="T95" i="96" a="1"/>
  <c r="T95" i="96" s="1"/>
  <c r="S95" i="96" a="1"/>
  <c r="S95" i="96" s="1"/>
  <c r="R95" i="96" a="1"/>
  <c r="R95" i="96" s="1"/>
  <c r="Q95" i="96" a="1"/>
  <c r="Q95" i="96" s="1"/>
  <c r="P95" i="96" a="1"/>
  <c r="P95" i="96" s="1"/>
  <c r="O95" i="96" a="1"/>
  <c r="O95" i="96" s="1"/>
  <c r="N95" i="96" a="1"/>
  <c r="N95" i="96" s="1"/>
  <c r="M95" i="96" a="1"/>
  <c r="M95" i="96" s="1"/>
  <c r="L95" i="96" a="1"/>
  <c r="L95" i="96" s="1"/>
  <c r="K95" i="96" a="1"/>
  <c r="K95" i="96" s="1"/>
  <c r="J95" i="96" a="1"/>
  <c r="J95" i="96" s="1"/>
  <c r="I95" i="96" a="1"/>
  <c r="I95" i="96" s="1"/>
  <c r="H95" i="96" a="1"/>
  <c r="H95" i="96" s="1"/>
  <c r="G95" i="96" a="1"/>
  <c r="G95" i="96" s="1"/>
  <c r="F95" i="96" a="1"/>
  <c r="F95" i="96" s="1"/>
  <c r="E95" i="96" a="1"/>
  <c r="E95" i="96" s="1"/>
  <c r="D95" i="96" a="1"/>
  <c r="D95" i="96" s="1"/>
  <c r="AH94" i="96" a="1"/>
  <c r="AH94" i="96" s="1"/>
  <c r="AG94" i="96" a="1"/>
  <c r="AG94" i="96" s="1"/>
  <c r="AF94" i="96" a="1"/>
  <c r="AF94" i="96" s="1"/>
  <c r="AE94" i="96" a="1"/>
  <c r="AE94" i="96" s="1"/>
  <c r="AD94" i="96" a="1"/>
  <c r="AD94" i="96" s="1"/>
  <c r="AC94" i="96" a="1"/>
  <c r="AC94" i="96" s="1"/>
  <c r="AB94" i="96" a="1"/>
  <c r="AB94" i="96" s="1"/>
  <c r="AA94" i="96" a="1"/>
  <c r="AA94" i="96" s="1"/>
  <c r="Z94" i="96" a="1"/>
  <c r="Z94" i="96" s="1"/>
  <c r="Y94" i="96" a="1"/>
  <c r="Y94" i="96" s="1"/>
  <c r="X94" i="96" a="1"/>
  <c r="X94" i="96" s="1"/>
  <c r="W94" i="96" a="1"/>
  <c r="W94" i="96" s="1"/>
  <c r="V94" i="96" a="1"/>
  <c r="V94" i="96" s="1"/>
  <c r="U94" i="96" a="1"/>
  <c r="U94" i="96" s="1"/>
  <c r="T94" i="96" a="1"/>
  <c r="T94" i="96" s="1"/>
  <c r="S94" i="96" a="1"/>
  <c r="S94" i="96" s="1"/>
  <c r="R94" i="96" a="1"/>
  <c r="R94" i="96" s="1"/>
  <c r="Q94" i="96" a="1"/>
  <c r="Q94" i="96" s="1"/>
  <c r="P94" i="96" a="1"/>
  <c r="P94" i="96" s="1"/>
  <c r="O94" i="96" a="1"/>
  <c r="O94" i="96" s="1"/>
  <c r="N94" i="96" a="1"/>
  <c r="N94" i="96" s="1"/>
  <c r="M94" i="96" a="1"/>
  <c r="M94" i="96" s="1"/>
  <c r="L94" i="96" a="1"/>
  <c r="L94" i="96" s="1"/>
  <c r="K94" i="96" a="1"/>
  <c r="K94" i="96" s="1"/>
  <c r="J94" i="96" a="1"/>
  <c r="J94" i="96" s="1"/>
  <c r="I94" i="96" a="1"/>
  <c r="I94" i="96" s="1"/>
  <c r="H94" i="96" a="1"/>
  <c r="H94" i="96" s="1"/>
  <c r="G94" i="96" a="1"/>
  <c r="G94" i="96" s="1"/>
  <c r="F94" i="96" a="1"/>
  <c r="F94" i="96" s="1"/>
  <c r="E94" i="96" a="1"/>
  <c r="E94" i="96" s="1"/>
  <c r="D94" i="96" a="1"/>
  <c r="D94" i="96" s="1"/>
  <c r="AH93" i="96" a="1"/>
  <c r="AH93" i="96" s="1"/>
  <c r="AG93" i="96" a="1"/>
  <c r="AG93" i="96" s="1"/>
  <c r="AF93" i="96" a="1"/>
  <c r="AF93" i="96" s="1"/>
  <c r="AE93" i="96" a="1"/>
  <c r="AE93" i="96" s="1"/>
  <c r="AD93" i="96" a="1"/>
  <c r="AD93" i="96" s="1"/>
  <c r="AC93" i="96" a="1"/>
  <c r="AC93" i="96" s="1"/>
  <c r="AB93" i="96" a="1"/>
  <c r="AB93" i="96" s="1"/>
  <c r="AA93" i="96" a="1"/>
  <c r="AA93" i="96" s="1"/>
  <c r="Z93" i="96" a="1"/>
  <c r="Z93" i="96" s="1"/>
  <c r="Y93" i="96" a="1"/>
  <c r="Y93" i="96" s="1"/>
  <c r="X93" i="96" a="1"/>
  <c r="X93" i="96" s="1"/>
  <c r="W93" i="96" a="1"/>
  <c r="W93" i="96" s="1"/>
  <c r="V93" i="96" a="1"/>
  <c r="V93" i="96" s="1"/>
  <c r="U93" i="96" a="1"/>
  <c r="U93" i="96" s="1"/>
  <c r="T93" i="96" a="1"/>
  <c r="T93" i="96" s="1"/>
  <c r="S93" i="96" a="1"/>
  <c r="S93" i="96" s="1"/>
  <c r="R93" i="96" a="1"/>
  <c r="R93" i="96" s="1"/>
  <c r="Q93" i="96" a="1"/>
  <c r="Q93" i="96" s="1"/>
  <c r="P93" i="96" a="1"/>
  <c r="P93" i="96" s="1"/>
  <c r="O93" i="96" a="1"/>
  <c r="O93" i="96" s="1"/>
  <c r="N93" i="96" a="1"/>
  <c r="N93" i="96" s="1"/>
  <c r="M93" i="96" a="1"/>
  <c r="M93" i="96" s="1"/>
  <c r="L93" i="96" a="1"/>
  <c r="L93" i="96" s="1"/>
  <c r="K93" i="96" a="1"/>
  <c r="K93" i="96" s="1"/>
  <c r="J93" i="96" a="1"/>
  <c r="J93" i="96" s="1"/>
  <c r="I93" i="96" a="1"/>
  <c r="I93" i="96" s="1"/>
  <c r="H93" i="96" a="1"/>
  <c r="H93" i="96" s="1"/>
  <c r="G93" i="96" a="1"/>
  <c r="G93" i="96" s="1"/>
  <c r="F93" i="96" a="1"/>
  <c r="F93" i="96" s="1"/>
  <c r="E93" i="96" a="1"/>
  <c r="E93" i="96" s="1"/>
  <c r="D93" i="96" a="1"/>
  <c r="D93" i="96" s="1"/>
  <c r="AH92" i="96" a="1"/>
  <c r="AH92" i="96" s="1"/>
  <c r="AG92" i="96" a="1"/>
  <c r="AG92" i="96" s="1"/>
  <c r="AF92" i="96" a="1"/>
  <c r="AF92" i="96" s="1"/>
  <c r="AE92" i="96" a="1"/>
  <c r="AE92" i="96" s="1"/>
  <c r="AD92" i="96" a="1"/>
  <c r="AD92" i="96" s="1"/>
  <c r="AC92" i="96" a="1"/>
  <c r="AC92" i="96" s="1"/>
  <c r="AB92" i="96" a="1"/>
  <c r="AB92" i="96" s="1"/>
  <c r="AA92" i="96" a="1"/>
  <c r="AA92" i="96" s="1"/>
  <c r="Z92" i="96" a="1"/>
  <c r="Z92" i="96" s="1"/>
  <c r="Y92" i="96" a="1"/>
  <c r="Y92" i="96" s="1"/>
  <c r="X92" i="96" a="1"/>
  <c r="X92" i="96" s="1"/>
  <c r="W92" i="96" a="1"/>
  <c r="W92" i="96" s="1"/>
  <c r="V92" i="96" a="1"/>
  <c r="V92" i="96" s="1"/>
  <c r="U92" i="96" a="1"/>
  <c r="U92" i="96" s="1"/>
  <c r="T92" i="96" a="1"/>
  <c r="T92" i="96" s="1"/>
  <c r="S92" i="96" a="1"/>
  <c r="S92" i="96" s="1"/>
  <c r="R92" i="96" a="1"/>
  <c r="R92" i="96" s="1"/>
  <c r="Q92" i="96" a="1"/>
  <c r="Q92" i="96" s="1"/>
  <c r="P92" i="96" a="1"/>
  <c r="P92" i="96" s="1"/>
  <c r="O92" i="96" a="1"/>
  <c r="O92" i="96" s="1"/>
  <c r="N92" i="96" a="1"/>
  <c r="N92" i="96" s="1"/>
  <c r="M92" i="96" a="1"/>
  <c r="M92" i="96" s="1"/>
  <c r="L92" i="96" a="1"/>
  <c r="L92" i="96" s="1"/>
  <c r="K92" i="96" a="1"/>
  <c r="K92" i="96" s="1"/>
  <c r="J92" i="96" a="1"/>
  <c r="J92" i="96" s="1"/>
  <c r="I92" i="96" a="1"/>
  <c r="I92" i="96" s="1"/>
  <c r="H92" i="96" a="1"/>
  <c r="H92" i="96" s="1"/>
  <c r="G92" i="96" a="1"/>
  <c r="G92" i="96" s="1"/>
  <c r="F92" i="96" a="1"/>
  <c r="F92" i="96" s="1"/>
  <c r="E92" i="96" a="1"/>
  <c r="E92" i="96" s="1"/>
  <c r="D92" i="96" a="1"/>
  <c r="D92" i="96" s="1"/>
  <c r="AH91" i="96" a="1"/>
  <c r="AH91" i="96" s="1"/>
  <c r="AG91" i="96" a="1"/>
  <c r="AG91" i="96" s="1"/>
  <c r="AF91" i="96" a="1"/>
  <c r="AF91" i="96" s="1"/>
  <c r="AE91" i="96" a="1"/>
  <c r="AE91" i="96" s="1"/>
  <c r="AD91" i="96" a="1"/>
  <c r="AD91" i="96" s="1"/>
  <c r="AC91" i="96" a="1"/>
  <c r="AC91" i="96" s="1"/>
  <c r="AB91" i="96" a="1"/>
  <c r="AB91" i="96" s="1"/>
  <c r="AA91" i="96" a="1"/>
  <c r="AA91" i="96" s="1"/>
  <c r="Z91" i="96" a="1"/>
  <c r="Z91" i="96" s="1"/>
  <c r="Y91" i="96" a="1"/>
  <c r="Y91" i="96" s="1"/>
  <c r="X91" i="96" a="1"/>
  <c r="X91" i="96" s="1"/>
  <c r="W91" i="96" a="1"/>
  <c r="W91" i="96" s="1"/>
  <c r="V91" i="96" a="1"/>
  <c r="V91" i="96" s="1"/>
  <c r="U91" i="96" a="1"/>
  <c r="U91" i="96" s="1"/>
  <c r="T91" i="96" a="1"/>
  <c r="T91" i="96" s="1"/>
  <c r="S91" i="96" a="1"/>
  <c r="S91" i="96" s="1"/>
  <c r="R91" i="96" a="1"/>
  <c r="R91" i="96" s="1"/>
  <c r="Q91" i="96" a="1"/>
  <c r="Q91" i="96" s="1"/>
  <c r="P91" i="96" a="1"/>
  <c r="P91" i="96" s="1"/>
  <c r="O91" i="96" a="1"/>
  <c r="O91" i="96" s="1"/>
  <c r="N91" i="96" a="1"/>
  <c r="N91" i="96" s="1"/>
  <c r="M91" i="96" a="1"/>
  <c r="M91" i="96" s="1"/>
  <c r="L91" i="96" a="1"/>
  <c r="L91" i="96" s="1"/>
  <c r="K91" i="96" a="1"/>
  <c r="K91" i="96" s="1"/>
  <c r="J91" i="96" a="1"/>
  <c r="J91" i="96" s="1"/>
  <c r="I91" i="96" a="1"/>
  <c r="I91" i="96" s="1"/>
  <c r="H91" i="96" a="1"/>
  <c r="H91" i="96" s="1"/>
  <c r="G91" i="96" a="1"/>
  <c r="G91" i="96" s="1"/>
  <c r="F91" i="96" a="1"/>
  <c r="F91" i="96" s="1"/>
  <c r="E91" i="96" a="1"/>
  <c r="E91" i="96" s="1"/>
  <c r="D91" i="96" a="1"/>
  <c r="D91" i="96" s="1"/>
  <c r="AH90" i="96" a="1"/>
  <c r="AH90" i="96" s="1"/>
  <c r="AG90" i="96" a="1"/>
  <c r="AG90" i="96" s="1"/>
  <c r="AF90" i="96" a="1"/>
  <c r="AF90" i="96" s="1"/>
  <c r="AE90" i="96" a="1"/>
  <c r="AE90" i="96" s="1"/>
  <c r="AD90" i="96" a="1"/>
  <c r="AD90" i="96" s="1"/>
  <c r="AC90" i="96" a="1"/>
  <c r="AC90" i="96" s="1"/>
  <c r="AB90" i="96" a="1"/>
  <c r="AB90" i="96" s="1"/>
  <c r="AA90" i="96" a="1"/>
  <c r="AA90" i="96" s="1"/>
  <c r="Z90" i="96" a="1"/>
  <c r="Z90" i="96" s="1"/>
  <c r="Y90" i="96" a="1"/>
  <c r="Y90" i="96" s="1"/>
  <c r="X90" i="96" a="1"/>
  <c r="X90" i="96" s="1"/>
  <c r="W90" i="96" a="1"/>
  <c r="W90" i="96" s="1"/>
  <c r="V90" i="96" a="1"/>
  <c r="V90" i="96" s="1"/>
  <c r="U90" i="96" a="1"/>
  <c r="U90" i="96" s="1"/>
  <c r="T90" i="96" a="1"/>
  <c r="T90" i="96" s="1"/>
  <c r="S90" i="96" a="1"/>
  <c r="S90" i="96" s="1"/>
  <c r="R90" i="96" a="1"/>
  <c r="R90" i="96" s="1"/>
  <c r="Q90" i="96" a="1"/>
  <c r="Q90" i="96" s="1"/>
  <c r="P90" i="96" a="1"/>
  <c r="P90" i="96" s="1"/>
  <c r="O90" i="96" a="1"/>
  <c r="O90" i="96" s="1"/>
  <c r="N90" i="96" a="1"/>
  <c r="N90" i="96" s="1"/>
  <c r="M90" i="96" a="1"/>
  <c r="M90" i="96" s="1"/>
  <c r="L90" i="96" a="1"/>
  <c r="L90" i="96" s="1"/>
  <c r="K90" i="96" a="1"/>
  <c r="K90" i="96" s="1"/>
  <c r="J90" i="96" a="1"/>
  <c r="J90" i="96" s="1"/>
  <c r="I90" i="96" a="1"/>
  <c r="I90" i="96" s="1"/>
  <c r="H90" i="96" a="1"/>
  <c r="H90" i="96" s="1"/>
  <c r="G90" i="96" a="1"/>
  <c r="G90" i="96" s="1"/>
  <c r="F90" i="96" a="1"/>
  <c r="F90" i="96" s="1"/>
  <c r="E90" i="96" a="1"/>
  <c r="E90" i="96" s="1"/>
  <c r="N20" i="89" s="1" a="1"/>
  <c r="N20" i="89" s="1"/>
  <c r="D90" i="96" a="1"/>
  <c r="D90" i="96" s="1"/>
  <c r="F83" i="96" a="1"/>
  <c r="F83" i="96" s="1"/>
  <c r="E83" i="96" a="1"/>
  <c r="E83" i="96" s="1"/>
  <c r="J91" i="95" s="1"/>
  <c r="D83" i="96" a="1"/>
  <c r="D83" i="96" s="1"/>
  <c r="D82" i="96" a="1"/>
  <c r="D82" i="96" s="1"/>
  <c r="D81" i="96" a="1"/>
  <c r="D81" i="96" s="1"/>
  <c r="F78" i="96" a="1"/>
  <c r="F78" i="96" s="1"/>
  <c r="E78" i="96" a="1"/>
  <c r="E78" i="96" s="1"/>
  <c r="I69" i="118" s="1"/>
  <c r="D78" i="96" a="1"/>
  <c r="D78" i="96" s="1"/>
  <c r="D77" i="96" a="1"/>
  <c r="D77" i="96" s="1"/>
  <c r="D76" i="96" a="1"/>
  <c r="D76" i="96" s="1"/>
  <c r="F73" i="96" a="1"/>
  <c r="F73" i="96" s="1"/>
  <c r="E73" i="96" a="1"/>
  <c r="E73" i="96" s="1"/>
  <c r="I97" i="94" s="1"/>
  <c r="D73" i="96" a="1"/>
  <c r="D73" i="96" s="1"/>
  <c r="D72" i="96" a="1"/>
  <c r="D72" i="96" s="1"/>
  <c r="D71" i="96" a="1"/>
  <c r="D71" i="96" s="1"/>
  <c r="F68" i="96" a="1"/>
  <c r="F68" i="96" s="1"/>
  <c r="E68" i="96" a="1"/>
  <c r="E68" i="96" s="1"/>
  <c r="D68" i="96" a="1"/>
  <c r="D68" i="96" s="1"/>
  <c r="F67" i="96" a="1"/>
  <c r="F67" i="96" s="1"/>
  <c r="I19" i="93" s="1"/>
  <c r="E67" i="96" a="1"/>
  <c r="E67" i="96" s="1"/>
  <c r="I18" i="93" s="1"/>
  <c r="D67" i="96" a="1"/>
  <c r="D67" i="96" s="1"/>
  <c r="F66" i="96" a="1"/>
  <c r="F66" i="96" s="1"/>
  <c r="I16" i="93" s="1"/>
  <c r="E66" i="96" a="1"/>
  <c r="E66" i="96" s="1"/>
  <c r="I15" i="93" s="1"/>
  <c r="D66" i="96" a="1"/>
  <c r="D66" i="96" s="1"/>
  <c r="D64" i="96" a="1"/>
  <c r="D64" i="96" s="1"/>
  <c r="D63" i="96" a="1"/>
  <c r="D63" i="96" s="1"/>
  <c r="F60" i="96" a="1"/>
  <c r="F60" i="96" s="1"/>
  <c r="E60" i="96" a="1"/>
  <c r="E60" i="96" s="1"/>
  <c r="I50" i="91" s="1"/>
  <c r="D60" i="96" a="1"/>
  <c r="D60" i="96" s="1"/>
  <c r="D59" i="96" a="1"/>
  <c r="D59" i="96" s="1"/>
  <c r="D58" i="96" a="1"/>
  <c r="D58" i="96" s="1"/>
  <c r="E55" i="96" a="1"/>
  <c r="E55" i="96" s="1"/>
  <c r="D55" i="96" a="1"/>
  <c r="D55" i="96" s="1"/>
  <c r="E54" i="96" a="1"/>
  <c r="E54" i="96" s="1"/>
  <c r="D54" i="96" a="1"/>
  <c r="D54" i="96" s="1"/>
  <c r="E53" i="96" a="1"/>
  <c r="E53" i="96" s="1"/>
  <c r="D53" i="96" a="1"/>
  <c r="D53" i="96" s="1"/>
  <c r="E52" i="96" a="1"/>
  <c r="E52" i="96" s="1"/>
  <c r="D52" i="96" a="1"/>
  <c r="D52" i="96" s="1"/>
  <c r="E51" i="96" a="1"/>
  <c r="E51" i="96" s="1"/>
  <c r="D51" i="96" a="1"/>
  <c r="D51" i="96" s="1"/>
  <c r="D49" i="96" a="1"/>
  <c r="D49" i="96" s="1"/>
  <c r="D48" i="96" a="1"/>
  <c r="D48" i="96" s="1"/>
  <c r="I38" i="96" a="1"/>
  <c r="I38" i="96" s="1"/>
  <c r="H38" i="96" a="1"/>
  <c r="H38" i="96" s="1"/>
  <c r="G38" i="96" a="1"/>
  <c r="G38" i="96" s="1"/>
  <c r="F38" i="96" a="1"/>
  <c r="F38" i="96" s="1"/>
  <c r="E38" i="96" a="1"/>
  <c r="E38" i="96" s="1"/>
  <c r="D38" i="96" a="1"/>
  <c r="D38" i="96" s="1"/>
  <c r="G180" i="119" s="1"/>
  <c r="I37" i="96" a="1"/>
  <c r="I37" i="96" s="1"/>
  <c r="H37" i="96" a="1"/>
  <c r="H37" i="96" s="1"/>
  <c r="G37" i="96" a="1"/>
  <c r="G37" i="96" s="1"/>
  <c r="F37" i="96" a="1"/>
  <c r="F37" i="96" s="1"/>
  <c r="E37" i="96" a="1"/>
  <c r="E37" i="96" s="1"/>
  <c r="D37" i="96" a="1"/>
  <c r="D37" i="96" s="1"/>
  <c r="I36" i="96" a="1"/>
  <c r="I36" i="96" s="1"/>
  <c r="H36" i="96" a="1"/>
  <c r="H36" i="96" s="1"/>
  <c r="G36" i="96" a="1"/>
  <c r="G36" i="96" s="1"/>
  <c r="F36" i="96" a="1"/>
  <c r="F36" i="96" s="1"/>
  <c r="E36" i="96" a="1"/>
  <c r="E36" i="96" s="1"/>
  <c r="D36" i="96" a="1"/>
  <c r="D36" i="96" s="1"/>
  <c r="G190" i="119" s="1"/>
  <c r="I35" i="96" a="1"/>
  <c r="I35" i="96" s="1"/>
  <c r="H35" i="96" a="1"/>
  <c r="H35" i="96" s="1"/>
  <c r="G35" i="96" a="1"/>
  <c r="G35" i="96" s="1"/>
  <c r="F35" i="96" a="1"/>
  <c r="F35" i="96" s="1"/>
  <c r="E35" i="96" a="1"/>
  <c r="E35" i="96" s="1"/>
  <c r="D35" i="96" a="1"/>
  <c r="D35" i="96" s="1"/>
  <c r="G182" i="119" s="1"/>
  <c r="I34" i="96" a="1"/>
  <c r="I34" i="96" s="1"/>
  <c r="H34" i="96" a="1"/>
  <c r="H34" i="96" s="1"/>
  <c r="G34" i="96" a="1"/>
  <c r="G34" i="96" s="1"/>
  <c r="F34" i="96" a="1"/>
  <c r="F34" i="96" s="1"/>
  <c r="E34" i="96" a="1"/>
  <c r="E34" i="96" s="1"/>
  <c r="D34" i="96" a="1"/>
  <c r="D34" i="96" s="1"/>
  <c r="G184" i="119" s="1"/>
  <c r="I33" i="96" a="1"/>
  <c r="I33" i="96" s="1"/>
  <c r="H33" i="96" a="1"/>
  <c r="H33" i="96" s="1"/>
  <c r="G33" i="96" a="1"/>
  <c r="G33" i="96" s="1"/>
  <c r="F33" i="96" a="1"/>
  <c r="F33" i="96" s="1"/>
  <c r="E33" i="96" a="1"/>
  <c r="E33" i="96" s="1"/>
  <c r="D33" i="96" a="1"/>
  <c r="D33" i="96" s="1"/>
  <c r="G198" i="119" s="1"/>
  <c r="I32" i="96" a="1"/>
  <c r="I32" i="96" s="1"/>
  <c r="H32" i="96" a="1"/>
  <c r="H32" i="96" s="1"/>
  <c r="G32" i="96" a="1"/>
  <c r="G32" i="96" s="1"/>
  <c r="F32" i="96" a="1"/>
  <c r="F32" i="96" s="1"/>
  <c r="E32" i="96" a="1"/>
  <c r="E32" i="96" s="1"/>
  <c r="D32" i="96" a="1"/>
  <c r="D32" i="96" s="1"/>
  <c r="G191" i="119" s="1"/>
  <c r="I31" i="96" a="1"/>
  <c r="I31" i="96" s="1"/>
  <c r="H31" i="96" a="1"/>
  <c r="H31" i="96" s="1"/>
  <c r="G31" i="96" a="1"/>
  <c r="G31" i="96" s="1"/>
  <c r="F31" i="96" a="1"/>
  <c r="F31" i="96" s="1"/>
  <c r="E31" i="96" a="1"/>
  <c r="E31" i="96" s="1"/>
  <c r="D31" i="96" a="1"/>
  <c r="D31" i="96" s="1"/>
  <c r="G189" i="119" s="1"/>
  <c r="I30" i="96" a="1"/>
  <c r="I30" i="96" s="1"/>
  <c r="H30" i="96" a="1"/>
  <c r="H30" i="96" s="1"/>
  <c r="G30" i="96" a="1"/>
  <c r="G30" i="96" s="1"/>
  <c r="F30" i="96" a="1"/>
  <c r="F30" i="96" s="1"/>
  <c r="E30" i="96" a="1"/>
  <c r="E30" i="96" s="1"/>
  <c r="D30" i="96" a="1"/>
  <c r="D30" i="96" s="1"/>
  <c r="G188" i="119" s="1"/>
  <c r="I29" i="96" a="1"/>
  <c r="I29" i="96" s="1"/>
  <c r="H29" i="96" a="1"/>
  <c r="H29" i="96" s="1"/>
  <c r="G29" i="96" a="1"/>
  <c r="G29" i="96" s="1"/>
  <c r="F29" i="96" a="1"/>
  <c r="F29" i="96" s="1"/>
  <c r="E29" i="96" a="1"/>
  <c r="E29" i="96" s="1"/>
  <c r="D29" i="96" a="1"/>
  <c r="D29" i="96" s="1"/>
  <c r="G186" i="119" s="1"/>
  <c r="R28" i="96" a="1"/>
  <c r="R28" i="96" s="1"/>
  <c r="Q28" i="96" a="1"/>
  <c r="Q28" i="96" s="1"/>
  <c r="L28" i="96" a="1"/>
  <c r="L28" i="96" s="1"/>
  <c r="K28" i="96" a="1"/>
  <c r="K28" i="96" s="1"/>
  <c r="I28" i="96" a="1"/>
  <c r="I28" i="96" s="1"/>
  <c r="H28" i="96" a="1"/>
  <c r="H28" i="96" s="1"/>
  <c r="G28" i="96" a="1"/>
  <c r="G28" i="96" s="1"/>
  <c r="F28" i="96" a="1"/>
  <c r="F28" i="96" s="1"/>
  <c r="E28" i="96" a="1"/>
  <c r="E28" i="96" s="1"/>
  <c r="D28" i="96" a="1"/>
  <c r="D28" i="96" s="1"/>
  <c r="G187" i="119" s="1"/>
  <c r="R27" i="96" a="1"/>
  <c r="R27" i="96" s="1"/>
  <c r="Q27" i="96" a="1"/>
  <c r="Q27" i="96" s="1"/>
  <c r="L27" i="96" a="1"/>
  <c r="L27" i="96" s="1"/>
  <c r="K27" i="96" a="1"/>
  <c r="K27" i="96" s="1"/>
  <c r="I27" i="96" a="1"/>
  <c r="I27" i="96" s="1"/>
  <c r="H27" i="96" a="1"/>
  <c r="H27" i="96" s="1"/>
  <c r="G27" i="96" a="1"/>
  <c r="G27" i="96" s="1"/>
  <c r="F27" i="96" a="1"/>
  <c r="F27" i="96" s="1"/>
  <c r="E27" i="96" a="1"/>
  <c r="E27" i="96" s="1"/>
  <c r="D27" i="96" a="1"/>
  <c r="D27" i="96" s="1"/>
  <c r="G185" i="119" s="1"/>
  <c r="R26" i="96" a="1"/>
  <c r="R26" i="96" s="1"/>
  <c r="Q26" i="96" a="1"/>
  <c r="Q26" i="96" s="1"/>
  <c r="L26" i="96" a="1"/>
  <c r="L26" i="96" s="1"/>
  <c r="K26" i="96" a="1"/>
  <c r="K26" i="96" s="1"/>
  <c r="I26" i="96" a="1"/>
  <c r="I26" i="96" s="1"/>
  <c r="H26" i="96" a="1"/>
  <c r="H26" i="96" s="1"/>
  <c r="G26" i="96" a="1"/>
  <c r="G26" i="96" s="1"/>
  <c r="F26" i="96" a="1"/>
  <c r="F26" i="96" s="1"/>
  <c r="E26" i="96" a="1"/>
  <c r="E26" i="96" s="1"/>
  <c r="D26" i="96" a="1"/>
  <c r="D26" i="96" s="1"/>
  <c r="G179" i="119" s="1"/>
  <c r="R25" i="96" a="1"/>
  <c r="R25" i="96" s="1"/>
  <c r="Q25" i="96" a="1"/>
  <c r="Q25" i="96" s="1"/>
  <c r="L25" i="96" a="1"/>
  <c r="L25" i="96" s="1"/>
  <c r="K25" i="96" a="1"/>
  <c r="K25" i="96" s="1"/>
  <c r="I25" i="96" a="1"/>
  <c r="I25" i="96" s="1"/>
  <c r="H25" i="96" a="1"/>
  <c r="H25" i="96" s="1"/>
  <c r="G25" i="96" a="1"/>
  <c r="G25" i="96" s="1"/>
  <c r="F25" i="96" a="1"/>
  <c r="F25" i="96" s="1"/>
  <c r="E25" i="96" a="1"/>
  <c r="E25" i="96" s="1"/>
  <c r="D25" i="96" a="1"/>
  <c r="D25" i="96" s="1"/>
  <c r="G178" i="119" s="1"/>
  <c r="R24" i="96" a="1"/>
  <c r="R24" i="96" s="1"/>
  <c r="Q24" i="96" a="1"/>
  <c r="Q24" i="96" s="1"/>
  <c r="L24" i="96" a="1"/>
  <c r="L24" i="96" s="1"/>
  <c r="K24" i="96" a="1"/>
  <c r="K24" i="96" s="1"/>
  <c r="I24" i="96" a="1"/>
  <c r="I24" i="96" s="1"/>
  <c r="H24" i="96" a="1"/>
  <c r="H24" i="96" s="1"/>
  <c r="G24" i="96" a="1"/>
  <c r="G24" i="96" s="1"/>
  <c r="F24" i="96" a="1"/>
  <c r="F24" i="96" s="1"/>
  <c r="E24" i="96" a="1"/>
  <c r="E24" i="96" s="1"/>
  <c r="D24" i="96" a="1"/>
  <c r="D24" i="96" s="1"/>
  <c r="G193" i="119" s="1"/>
  <c r="V23" i="96" a="1"/>
  <c r="V23" i="96" s="1"/>
  <c r="R23" i="96" a="1"/>
  <c r="R23" i="96" s="1"/>
  <c r="Q23" i="96" a="1"/>
  <c r="Q23" i="96" s="1"/>
  <c r="L23" i="96" a="1"/>
  <c r="L23" i="96" s="1"/>
  <c r="K23" i="96" a="1"/>
  <c r="K23" i="96" s="1"/>
  <c r="I23" i="96" a="1"/>
  <c r="I23" i="96" s="1"/>
  <c r="H23" i="96" a="1"/>
  <c r="H23" i="96" s="1"/>
  <c r="G23" i="96" a="1"/>
  <c r="G23" i="96" s="1"/>
  <c r="F23" i="96" a="1"/>
  <c r="F23" i="96" s="1"/>
  <c r="E23" i="96" a="1"/>
  <c r="E23" i="96" s="1"/>
  <c r="D23" i="96" a="1"/>
  <c r="D23" i="96" s="1"/>
  <c r="G192" i="119" s="1"/>
  <c r="V22" i="96" a="1"/>
  <c r="V22" i="96" s="1"/>
  <c r="R22" i="96" a="1"/>
  <c r="R22" i="96" s="1"/>
  <c r="Q22" i="96" a="1"/>
  <c r="Q22" i="96" s="1"/>
  <c r="L22" i="96" a="1"/>
  <c r="L22" i="96" s="1"/>
  <c r="K22" i="96" a="1"/>
  <c r="K22" i="96" s="1"/>
  <c r="I22" i="96" a="1"/>
  <c r="I22" i="96" s="1"/>
  <c r="H22" i="96" a="1"/>
  <c r="H22" i="96" s="1"/>
  <c r="G22" i="96" a="1"/>
  <c r="G22" i="96" s="1"/>
  <c r="F22" i="96" a="1"/>
  <c r="F22" i="96" s="1"/>
  <c r="E22" i="96" a="1"/>
  <c r="E22" i="96" s="1"/>
  <c r="D22" i="96" a="1"/>
  <c r="D22" i="96" s="1"/>
  <c r="V21" i="96" a="1"/>
  <c r="V21" i="96" s="1"/>
  <c r="R21" i="96" a="1"/>
  <c r="R21" i="96" s="1"/>
  <c r="Q21" i="96" a="1"/>
  <c r="Q21" i="96" s="1"/>
  <c r="L21" i="96" a="1"/>
  <c r="L21" i="96" s="1"/>
  <c r="K21" i="96" a="1"/>
  <c r="K21" i="96" s="1"/>
  <c r="I21" i="96" a="1"/>
  <c r="I21" i="96" s="1"/>
  <c r="H21" i="96" a="1"/>
  <c r="H21" i="96" s="1"/>
  <c r="G21" i="96" a="1"/>
  <c r="G21" i="96" s="1"/>
  <c r="F21" i="96" a="1"/>
  <c r="F21" i="96" s="1"/>
  <c r="E21" i="96" a="1"/>
  <c r="E21" i="96" s="1"/>
  <c r="D21" i="96" a="1"/>
  <c r="D21" i="96" s="1"/>
  <c r="G181" i="119" s="1"/>
  <c r="V20" i="96" a="1"/>
  <c r="V20" i="96" s="1"/>
  <c r="R20" i="96" a="1"/>
  <c r="R20" i="96" s="1"/>
  <c r="Q20" i="96" a="1"/>
  <c r="Q20" i="96" s="1"/>
  <c r="L20" i="96" a="1"/>
  <c r="L20" i="96" s="1"/>
  <c r="K20" i="96" a="1"/>
  <c r="K20" i="96" s="1"/>
  <c r="I20" i="96" a="1"/>
  <c r="I20" i="96" s="1"/>
  <c r="H20" i="96" a="1"/>
  <c r="H20" i="96" s="1"/>
  <c r="G20" i="96" a="1"/>
  <c r="G20" i="96" s="1"/>
  <c r="F20" i="96" a="1"/>
  <c r="F20" i="96" s="1"/>
  <c r="E20" i="96" a="1"/>
  <c r="E20" i="96" s="1"/>
  <c r="D20" i="96" a="1"/>
  <c r="D20" i="96" s="1"/>
  <c r="V18" i="96" a="1"/>
  <c r="V18" i="96" s="1"/>
  <c r="Q18" i="96" a="1"/>
  <c r="Q18" i="96" s="1"/>
  <c r="K18" i="96" a="1"/>
  <c r="K18" i="96" s="1"/>
  <c r="V17" i="96" a="1"/>
  <c r="V17" i="96" s="1"/>
  <c r="Q17" i="96" a="1"/>
  <c r="Q17" i="96" s="1"/>
  <c r="K17" i="96" a="1"/>
  <c r="K17" i="96" s="1"/>
  <c r="D7" i="96" a="1"/>
  <c r="D7" i="96" s="1"/>
  <c r="D6" i="96" a="1"/>
  <c r="D6" i="96" s="1"/>
  <c r="D5" i="96" a="1"/>
  <c r="D5" i="96" s="1"/>
  <c r="F99" i="95" a="1"/>
  <c r="F99" i="95" s="1"/>
  <c r="D96" i="95" a="1"/>
  <c r="D96" i="95" s="1"/>
  <c r="H89" i="95" a="1"/>
  <c r="H89" i="95" s="1"/>
  <c r="D89" i="95" a="1"/>
  <c r="D89" i="95" s="1"/>
  <c r="E87" i="95" a="1"/>
  <c r="E87" i="95" s="1"/>
  <c r="F94" i="95" s="1"/>
  <c r="E86" i="95" a="1"/>
  <c r="E86" i="95" s="1"/>
  <c r="D82" i="95" a="1"/>
  <c r="D82" i="95" s="1"/>
  <c r="D81" i="95" a="1"/>
  <c r="D81" i="95" s="1"/>
  <c r="D66" i="95"/>
  <c r="I59" i="95"/>
  <c r="I58" i="95"/>
  <c r="I55" i="95" a="1"/>
  <c r="I55" i="95" s="1"/>
  <c r="G55" i="95" a="1"/>
  <c r="G55" i="95" s="1"/>
  <c r="D55" i="95" a="1"/>
  <c r="D55" i="95" s="1"/>
  <c r="E53" i="95" a="1"/>
  <c r="E53" i="95" s="1"/>
  <c r="F77" i="95" s="1"/>
  <c r="E52" i="95" a="1"/>
  <c r="E52" i="95" s="1"/>
  <c r="D48" i="95" a="1"/>
  <c r="D48" i="95" s="1"/>
  <c r="D47" i="95" a="1"/>
  <c r="D47" i="95" s="1"/>
  <c r="I17" i="95"/>
  <c r="I16" i="95"/>
  <c r="I13" i="95" a="1"/>
  <c r="I13" i="95" s="1"/>
  <c r="G13" i="95" a="1"/>
  <c r="G13" i="95" s="1"/>
  <c r="D13" i="95" a="1"/>
  <c r="D13" i="95" s="1"/>
  <c r="E11" i="95" a="1"/>
  <c r="E11" i="95" s="1"/>
  <c r="F43" i="95" s="1"/>
  <c r="E10" i="95" a="1"/>
  <c r="E10" i="95" s="1"/>
  <c r="D6" i="95" a="1"/>
  <c r="D6" i="95" s="1"/>
  <c r="D5" i="95" a="1"/>
  <c r="D5" i="95" s="1"/>
  <c r="F151" i="94" a="1"/>
  <c r="F151" i="94" s="1"/>
  <c r="D148" i="94" a="1"/>
  <c r="D148" i="94" s="1"/>
  <c r="I127" i="94"/>
  <c r="I124" i="94" a="1"/>
  <c r="I124" i="94" s="1"/>
  <c r="G124" i="94" a="1"/>
  <c r="G124" i="94" s="1"/>
  <c r="D124" i="94" a="1"/>
  <c r="D124" i="94" s="1"/>
  <c r="E122" i="94" a="1"/>
  <c r="E122" i="94" s="1"/>
  <c r="F146" i="94" s="1"/>
  <c r="E121" i="94" a="1"/>
  <c r="E121" i="94" s="1"/>
  <c r="D117" i="94" a="1"/>
  <c r="D117" i="94" s="1"/>
  <c r="D116" i="94" a="1"/>
  <c r="D116" i="94" s="1"/>
  <c r="I96" i="94" a="1"/>
  <c r="I96" i="94" s="1"/>
  <c r="G96" i="94" a="1"/>
  <c r="G96" i="94" s="1"/>
  <c r="D96" i="94" a="1"/>
  <c r="D96" i="94" s="1"/>
  <c r="E94" i="94" a="1"/>
  <c r="E94" i="94" s="1"/>
  <c r="G102" i="94" s="1"/>
  <c r="E93" i="94" a="1"/>
  <c r="E93" i="94" s="1"/>
  <c r="D89" i="94" a="1"/>
  <c r="D89" i="94" s="1"/>
  <c r="D88" i="94" a="1"/>
  <c r="D88" i="94" s="1"/>
  <c r="F84" i="94" a="1"/>
  <c r="F84" i="94" s="1"/>
  <c r="D81" i="94" a="1"/>
  <c r="D81" i="94" s="1"/>
  <c r="J52" i="94"/>
  <c r="J49" i="94" a="1"/>
  <c r="J49" i="94" s="1"/>
  <c r="H49" i="94" a="1"/>
  <c r="H49" i="94" s="1"/>
  <c r="D49" i="94" a="1"/>
  <c r="D49" i="94" s="1"/>
  <c r="E47" i="94" a="1"/>
  <c r="E47" i="94" s="1"/>
  <c r="F79" i="94" s="1"/>
  <c r="E46" i="94" a="1"/>
  <c r="E46" i="94" s="1"/>
  <c r="D42" i="94" a="1"/>
  <c r="D42" i="94" s="1"/>
  <c r="D41" i="94" a="1"/>
  <c r="D41" i="94" s="1"/>
  <c r="I14" i="94" a="1"/>
  <c r="I14" i="94" s="1"/>
  <c r="I13" i="94" a="1"/>
  <c r="I13" i="94" s="1"/>
  <c r="G13" i="94" a="1"/>
  <c r="G13" i="94" s="1"/>
  <c r="D13" i="94" a="1"/>
  <c r="D13" i="94" s="1"/>
  <c r="E11" i="94" a="1"/>
  <c r="E11" i="94" s="1"/>
  <c r="E10" i="94" a="1"/>
  <c r="E10" i="94" s="1"/>
  <c r="D6" i="94" a="1"/>
  <c r="D6" i="94" s="1"/>
  <c r="D5" i="94" a="1"/>
  <c r="D5" i="94" s="1"/>
  <c r="I17" i="93" a="1"/>
  <c r="I17" i="93" s="1"/>
  <c r="I14" i="93" a="1"/>
  <c r="I14" i="93" s="1"/>
  <c r="I13" i="93" a="1"/>
  <c r="I13" i="93" s="1"/>
  <c r="G13" i="93" a="1"/>
  <c r="G13" i="93" s="1"/>
  <c r="D13" i="93" a="1"/>
  <c r="D13" i="93" s="1"/>
  <c r="E11" i="93" a="1"/>
  <c r="E11" i="93" s="1"/>
  <c r="E10" i="93" a="1"/>
  <c r="E10" i="93" s="1"/>
  <c r="D6" i="93" a="1"/>
  <c r="D6" i="93" s="1"/>
  <c r="D5" i="93" a="1"/>
  <c r="D5" i="93" s="1"/>
  <c r="F55" i="92" a="1"/>
  <c r="F55" i="92" s="1"/>
  <c r="D52" i="92" a="1"/>
  <c r="D52" i="92" s="1"/>
  <c r="K47" i="92"/>
  <c r="I44" i="92" a="1"/>
  <c r="I44" i="92" s="1"/>
  <c r="D44" i="92" a="1"/>
  <c r="D44" i="92" s="1"/>
  <c r="E42" i="92" a="1"/>
  <c r="E42" i="92" s="1"/>
  <c r="F50" i="92" s="1"/>
  <c r="E41" i="92" a="1"/>
  <c r="E41" i="92" s="1"/>
  <c r="D37" i="92" a="1"/>
  <c r="D37" i="92" s="1"/>
  <c r="D36" i="92" a="1"/>
  <c r="D36" i="92" s="1"/>
  <c r="I30" i="92" a="1"/>
  <c r="I30" i="92" s="1"/>
  <c r="I29" i="92" a="1"/>
  <c r="I29" i="92" s="1"/>
  <c r="I28" i="92" a="1"/>
  <c r="I28" i="92" s="1"/>
  <c r="I27" i="92" a="1"/>
  <c r="I27" i="92" s="1"/>
  <c r="I26" i="92" a="1"/>
  <c r="I26" i="92" s="1"/>
  <c r="I25" i="92" a="1"/>
  <c r="I25" i="92" s="1"/>
  <c r="I24" i="92" a="1"/>
  <c r="I24" i="92" s="1"/>
  <c r="I23" i="92" a="1"/>
  <c r="I23" i="92" s="1"/>
  <c r="I15" i="92" a="1"/>
  <c r="I15" i="92" s="1"/>
  <c r="I14" i="92" a="1"/>
  <c r="I14" i="92" s="1"/>
  <c r="I13" i="92" a="1"/>
  <c r="I13" i="92" s="1"/>
  <c r="G13" i="92" a="1"/>
  <c r="G13" i="92" s="1"/>
  <c r="D13" i="92" a="1"/>
  <c r="D13" i="92" s="1"/>
  <c r="E11" i="92" a="1"/>
  <c r="E11" i="92" s="1"/>
  <c r="F32" i="92" s="1"/>
  <c r="E10" i="92" a="1"/>
  <c r="E10" i="92" s="1"/>
  <c r="D6" i="92" a="1"/>
  <c r="D6" i="92" s="1"/>
  <c r="D5" i="92" a="1"/>
  <c r="D5" i="92" s="1"/>
  <c r="I53" i="91" a="1"/>
  <c r="I53" i="91" s="1"/>
  <c r="I52" i="91"/>
  <c r="I49" i="91" a="1"/>
  <c r="I49" i="91" s="1"/>
  <c r="G49" i="91" a="1"/>
  <c r="G49" i="91" s="1"/>
  <c r="D49" i="91" a="1"/>
  <c r="D49" i="91" s="1"/>
  <c r="E47" i="91" a="1"/>
  <c r="E47" i="91" s="1"/>
  <c r="E46" i="91" a="1"/>
  <c r="E46" i="91" s="1"/>
  <c r="D42" i="91" a="1"/>
  <c r="D42" i="91" s="1"/>
  <c r="D41" i="91" a="1"/>
  <c r="D41" i="91" s="1"/>
  <c r="I14" i="91" a="1"/>
  <c r="I14" i="91" s="1"/>
  <c r="I13" i="91" a="1"/>
  <c r="I13" i="91" s="1"/>
  <c r="G13" i="91" a="1"/>
  <c r="G13" i="91" s="1"/>
  <c r="D13" i="91" a="1"/>
  <c r="D13" i="91" s="1"/>
  <c r="E11" i="91" a="1"/>
  <c r="E11" i="91" s="1"/>
  <c r="E10" i="91" a="1"/>
  <c r="E10" i="91" s="1"/>
  <c r="D6" i="91" a="1"/>
  <c r="D6" i="91" s="1"/>
  <c r="D5" i="91" a="1"/>
  <c r="D5" i="91" s="1"/>
  <c r="O115" i="90" a="1"/>
  <c r="O115" i="90" s="1"/>
  <c r="M112" i="90" a="1"/>
  <c r="M112" i="90" s="1"/>
  <c r="S96" i="90"/>
  <c r="N107" i="90" s="1"/>
  <c r="S95" i="90"/>
  <c r="Q92" i="90" a="1"/>
  <c r="Q92" i="90" s="1"/>
  <c r="M92" i="90" a="1"/>
  <c r="M92" i="90" s="1"/>
  <c r="N90" i="90" a="1"/>
  <c r="N90" i="90" s="1"/>
  <c r="N89" i="90" a="1"/>
  <c r="N89" i="90" s="1"/>
  <c r="F85" i="90" a="1"/>
  <c r="F85" i="90" s="1"/>
  <c r="M84" i="90" a="1"/>
  <c r="M84" i="90" s="1"/>
  <c r="M83" i="90" a="1"/>
  <c r="M83" i="90" s="1"/>
  <c r="D82" i="90" a="1"/>
  <c r="D82" i="90" s="1"/>
  <c r="P76" i="90" a="1"/>
  <c r="P76" i="90" s="1"/>
  <c r="M76" i="90" a="1"/>
  <c r="M76" i="90" s="1"/>
  <c r="N72" i="90" a="1"/>
  <c r="N72" i="90" s="1"/>
  <c r="O79" i="90" s="1"/>
  <c r="N71" i="90" a="1"/>
  <c r="N71" i="90" s="1"/>
  <c r="M67" i="90" a="1"/>
  <c r="M67" i="90" s="1"/>
  <c r="M66" i="90" a="1"/>
  <c r="M66" i="90" s="1"/>
  <c r="P60" i="90" a="1"/>
  <c r="P60" i="90" s="1"/>
  <c r="M60" i="90" a="1"/>
  <c r="M60" i="90" s="1"/>
  <c r="N58" i="90" a="1"/>
  <c r="N58" i="90" s="1"/>
  <c r="O63" i="90" s="1"/>
  <c r="N57" i="90" a="1"/>
  <c r="N57" i="90" s="1"/>
  <c r="M54" i="90" a="1"/>
  <c r="M54" i="90" s="1"/>
  <c r="M53" i="90" a="1"/>
  <c r="M53" i="90" s="1"/>
  <c r="I53" i="90"/>
  <c r="I52" i="90"/>
  <c r="I49" i="90" a="1"/>
  <c r="I49" i="90" s="1"/>
  <c r="G49" i="90" a="1"/>
  <c r="G49" i="90" s="1"/>
  <c r="D49" i="90" a="1"/>
  <c r="D49" i="90" s="1"/>
  <c r="E47" i="90" a="1"/>
  <c r="E47" i="90" s="1"/>
  <c r="P46" i="90" a="1"/>
  <c r="P46" i="90" s="1"/>
  <c r="M46" i="90" a="1"/>
  <c r="M46" i="90" s="1"/>
  <c r="E46" i="90" a="1"/>
  <c r="E46" i="90" s="1"/>
  <c r="N44" i="90" a="1"/>
  <c r="N44" i="90" s="1"/>
  <c r="O49" i="90" s="1"/>
  <c r="N43" i="90" a="1"/>
  <c r="N43" i="90" s="1"/>
  <c r="D41" i="90" a="1"/>
  <c r="D41" i="90" s="1"/>
  <c r="M40" i="90" a="1"/>
  <c r="M40" i="90" s="1"/>
  <c r="D40" i="90" a="1"/>
  <c r="D40" i="90" s="1"/>
  <c r="M39" i="90" a="1"/>
  <c r="M39" i="90" s="1"/>
  <c r="I14" i="90" a="1"/>
  <c r="I14" i="90" s="1"/>
  <c r="I13" i="90" a="1"/>
  <c r="I13" i="90" s="1"/>
  <c r="G13" i="90" a="1"/>
  <c r="G13" i="90" s="1"/>
  <c r="D13" i="90" a="1"/>
  <c r="D13" i="90" s="1"/>
  <c r="E11" i="90" a="1"/>
  <c r="E11" i="90" s="1"/>
  <c r="E10" i="90" a="1"/>
  <c r="E10" i="90" s="1"/>
  <c r="D6" i="90" a="1"/>
  <c r="D6" i="90" s="1"/>
  <c r="D5" i="90" a="1"/>
  <c r="D5" i="90" s="1"/>
  <c r="G56" i="89"/>
  <c r="G55" i="89"/>
  <c r="G54" i="89"/>
  <c r="K44" i="89"/>
  <c r="K43" i="89"/>
  <c r="K42" i="89"/>
  <c r="W167" i="88" a="1"/>
  <c r="W167" i="88" s="1"/>
  <c r="U164" i="88" a="1"/>
  <c r="U164" i="88" s="1"/>
  <c r="U144" i="88"/>
  <c r="U160" i="88" s="1"/>
  <c r="U143" i="88"/>
  <c r="U159" i="88" s="1"/>
  <c r="U142" i="88"/>
  <c r="U158" i="88" s="1"/>
  <c r="U141" i="88"/>
  <c r="U157" i="88" s="1"/>
  <c r="U140" i="88"/>
  <c r="U156" i="88" s="1"/>
  <c r="U139" i="88"/>
  <c r="U155" i="88" s="1"/>
  <c r="U138" i="88"/>
  <c r="U154" i="88" s="1"/>
  <c r="U137" i="88"/>
  <c r="U153" i="88" s="1"/>
  <c r="U136" i="88"/>
  <c r="U152" i="88" s="1"/>
  <c r="U135" i="88"/>
  <c r="U151" i="88" s="1"/>
  <c r="U134" i="88"/>
  <c r="U150" i="88" s="1"/>
  <c r="U133" i="88"/>
  <c r="U149" i="88" s="1"/>
  <c r="F133" i="88" a="1"/>
  <c r="F133" i="88" s="1"/>
  <c r="D130" i="88" a="1"/>
  <c r="D130" i="88" s="1"/>
  <c r="U128" i="88"/>
  <c r="U127" i="88"/>
  <c r="U126" i="88"/>
  <c r="U125" i="88"/>
  <c r="U124" i="88"/>
  <c r="U123" i="88"/>
  <c r="U122" i="88"/>
  <c r="U121" i="88"/>
  <c r="U120" i="88"/>
  <c r="U119" i="88"/>
  <c r="U118" i="88"/>
  <c r="V117" i="88" a="1"/>
  <c r="V117" i="88" s="1"/>
  <c r="U117" i="88"/>
  <c r="U112" i="88" a="1"/>
  <c r="U112" i="88" s="1"/>
  <c r="U108" i="88"/>
  <c r="U107" i="88"/>
  <c r="E107" i="88" a="1"/>
  <c r="E107" i="88" s="1"/>
  <c r="U106" i="88"/>
  <c r="U105" i="88"/>
  <c r="U104" i="88"/>
  <c r="U103" i="88"/>
  <c r="U102" i="88"/>
  <c r="I102" i="88" a="1"/>
  <c r="I102" i="88" s="1"/>
  <c r="U101" i="88"/>
  <c r="I101" i="88" a="1"/>
  <c r="I101" i="88" s="1"/>
  <c r="U100" i="88"/>
  <c r="I100" i="88" a="1"/>
  <c r="I100" i="88" s="1"/>
  <c r="G100" i="88" a="1"/>
  <c r="AF117" i="88" s="1"/>
  <c r="D100" i="88" a="1"/>
  <c r="D100" i="88" s="1"/>
  <c r="U99" i="88"/>
  <c r="U98" i="88"/>
  <c r="E98" i="88" a="1"/>
  <c r="E98" i="88" s="1"/>
  <c r="U97" i="88"/>
  <c r="E97" i="88" a="1"/>
  <c r="E97" i="88" s="1"/>
  <c r="D93" i="88" a="1"/>
  <c r="D93" i="88" s="1"/>
  <c r="U92" i="88" a="1"/>
  <c r="U92" i="88" s="1"/>
  <c r="D92" i="88" a="1"/>
  <c r="D92" i="88" s="1"/>
  <c r="U87" i="88"/>
  <c r="U86" i="88"/>
  <c r="U85" i="88"/>
  <c r="U84" i="88"/>
  <c r="U83" i="88"/>
  <c r="U82" i="88"/>
  <c r="U81" i="88"/>
  <c r="U80" i="88"/>
  <c r="I80" i="88" a="1"/>
  <c r="I80" i="88" s="1"/>
  <c r="G80" i="88" a="1"/>
  <c r="G80" i="88" s="1"/>
  <c r="D80" i="88" a="1"/>
  <c r="D80" i="88" s="1"/>
  <c r="U79" i="88"/>
  <c r="U78" i="88"/>
  <c r="E78" i="88" a="1"/>
  <c r="E78" i="88" s="1"/>
  <c r="U77" i="88"/>
  <c r="E77" i="88" a="1"/>
  <c r="E77" i="88" s="1"/>
  <c r="U76" i="88"/>
  <c r="D72" i="88" a="1"/>
  <c r="D72" i="88" s="1"/>
  <c r="U71" i="88"/>
  <c r="D71" i="88" a="1"/>
  <c r="D71" i="88" s="1"/>
  <c r="U70" i="88"/>
  <c r="U69" i="88"/>
  <c r="U68" i="88"/>
  <c r="U67" i="88"/>
  <c r="U66" i="88"/>
  <c r="U65" i="88"/>
  <c r="U64" i="88"/>
  <c r="U63" i="88"/>
  <c r="U62" i="88"/>
  <c r="U61" i="88"/>
  <c r="U60" i="88"/>
  <c r="D59" i="88"/>
  <c r="D58" i="88"/>
  <c r="D57" i="88"/>
  <c r="D56" i="88"/>
  <c r="U55" i="88"/>
  <c r="U54" i="88"/>
  <c r="U53" i="88"/>
  <c r="U52" i="88"/>
  <c r="U51" i="88"/>
  <c r="D51" i="88"/>
  <c r="U50" i="88"/>
  <c r="D50" i="88"/>
  <c r="U49" i="88"/>
  <c r="D49" i="88"/>
  <c r="U48" i="88"/>
  <c r="D48" i="88"/>
  <c r="U47" i="88"/>
  <c r="U46" i="88"/>
  <c r="U45" i="88"/>
  <c r="U44" i="88"/>
  <c r="I43" i="88" a="1"/>
  <c r="I43" i="88" s="1"/>
  <c r="I42" i="88" a="1"/>
  <c r="I42" i="88" s="1"/>
  <c r="I41" i="88" a="1"/>
  <c r="I41" i="88" s="1"/>
  <c r="G41" i="88" a="1"/>
  <c r="G41" i="88" s="1"/>
  <c r="D41" i="88" a="1"/>
  <c r="D41" i="88" s="1"/>
  <c r="U39" i="88"/>
  <c r="E39" i="88" a="1"/>
  <c r="E39" i="88" s="1"/>
  <c r="AF82" i="88" s="1"/>
  <c r="U38" i="88"/>
  <c r="E38" i="88" a="1"/>
  <c r="E38" i="88" s="1"/>
  <c r="U37" i="88"/>
  <c r="G37" i="88" a="1"/>
  <c r="G37" i="88" s="1"/>
  <c r="U36" i="88"/>
  <c r="U35" i="88"/>
  <c r="U34" i="88"/>
  <c r="D34" i="88" a="1"/>
  <c r="D34" i="88" s="1"/>
  <c r="U33" i="88"/>
  <c r="D33" i="88" a="1"/>
  <c r="D33" i="88" s="1"/>
  <c r="U32" i="88"/>
  <c r="U31" i="88"/>
  <c r="U30" i="88"/>
  <c r="U29" i="88"/>
  <c r="E29" i="88" a="1"/>
  <c r="E29" i="88" s="1"/>
  <c r="U28" i="88"/>
  <c r="E26" i="88" a="1"/>
  <c r="E26" i="88" s="1"/>
  <c r="E28" i="88" a="1"/>
  <c r="E28" i="88" s="1"/>
  <c r="F28" i="88" s="1" a="1"/>
  <c r="F28" i="88" s="1"/>
  <c r="J16" i="88"/>
  <c r="J13" i="88" a="1"/>
  <c r="J13" i="88" s="1"/>
  <c r="H13" i="88" a="1"/>
  <c r="H13" i="88" s="1"/>
  <c r="D13" i="88" a="1"/>
  <c r="D13" i="88" s="1"/>
  <c r="E11" i="88" a="1"/>
  <c r="E11" i="88" s="1"/>
  <c r="E10" i="88" a="1"/>
  <c r="E10" i="88" s="1"/>
  <c r="D6" i="88" a="1"/>
  <c r="D6" i="88" s="1"/>
  <c r="D5" i="88" a="1"/>
  <c r="D5" i="88" s="1"/>
  <c r="I483" i="87" a="1"/>
  <c r="I483" i="87" s="1"/>
  <c r="H483" i="87" a="1"/>
  <c r="H483" i="87" s="1"/>
  <c r="G483" i="87" a="1"/>
  <c r="G483" i="87" s="1"/>
  <c r="F483" i="87" a="1"/>
  <c r="F483" i="87" s="1"/>
  <c r="E483" i="87" a="1"/>
  <c r="E483" i="87" s="1"/>
  <c r="D483" i="87" a="1"/>
  <c r="D483" i="87" s="1"/>
  <c r="I482" i="87" a="1"/>
  <c r="I482" i="87" s="1"/>
  <c r="H482" i="87" a="1"/>
  <c r="H482" i="87" s="1"/>
  <c r="G482" i="87" a="1"/>
  <c r="G482" i="87" s="1"/>
  <c r="F482" i="87" a="1"/>
  <c r="F482" i="87" s="1"/>
  <c r="E482" i="87" a="1"/>
  <c r="E482" i="87" s="1"/>
  <c r="D482" i="87" a="1"/>
  <c r="D482" i="87" s="1"/>
  <c r="I481" i="87" a="1"/>
  <c r="I481" i="87" s="1"/>
  <c r="H481" i="87" a="1"/>
  <c r="H481" i="87" s="1"/>
  <c r="G481" i="87" a="1"/>
  <c r="G481" i="87" s="1"/>
  <c r="F481" i="87" a="1"/>
  <c r="F481" i="87" s="1"/>
  <c r="E481" i="87" a="1"/>
  <c r="E481" i="87" s="1"/>
  <c r="D481" i="87" a="1"/>
  <c r="D481" i="87" s="1"/>
  <c r="I480" i="87" a="1"/>
  <c r="I480" i="87" s="1"/>
  <c r="H480" i="87" a="1"/>
  <c r="H480" i="87" s="1"/>
  <c r="G480" i="87" a="1"/>
  <c r="G480" i="87" s="1"/>
  <c r="F480" i="87" a="1"/>
  <c r="F480" i="87" s="1"/>
  <c r="E480" i="87" a="1"/>
  <c r="E480" i="87" s="1"/>
  <c r="D480" i="87" a="1"/>
  <c r="D480" i="87" s="1"/>
  <c r="I479" i="87" a="1"/>
  <c r="I479" i="87" s="1"/>
  <c r="H479" i="87" a="1"/>
  <c r="H479" i="87" s="1"/>
  <c r="G479" i="87" a="1"/>
  <c r="G479" i="87" s="1"/>
  <c r="F479" i="87" a="1"/>
  <c r="F479" i="87" s="1"/>
  <c r="E479" i="87" a="1"/>
  <c r="E479" i="87" s="1"/>
  <c r="D479" i="87" a="1"/>
  <c r="D479" i="87" s="1"/>
  <c r="I478" i="87" a="1"/>
  <c r="I478" i="87" s="1"/>
  <c r="H478" i="87" a="1"/>
  <c r="H478" i="87" s="1"/>
  <c r="G478" i="87" a="1"/>
  <c r="G478" i="87" s="1"/>
  <c r="F478" i="87" a="1"/>
  <c r="F478" i="87" s="1"/>
  <c r="E478" i="87" a="1"/>
  <c r="E478" i="87" s="1"/>
  <c r="D478" i="87" a="1"/>
  <c r="D478" i="87" s="1"/>
  <c r="I477" i="87" a="1"/>
  <c r="I477" i="87" s="1"/>
  <c r="H477" i="87" a="1"/>
  <c r="H477" i="87" s="1"/>
  <c r="G477" i="87" a="1"/>
  <c r="G477" i="87" s="1"/>
  <c r="F477" i="87" a="1"/>
  <c r="F477" i="87" s="1"/>
  <c r="E477" i="87" a="1"/>
  <c r="E477" i="87" s="1"/>
  <c r="D477" i="87" a="1"/>
  <c r="D477" i="87" s="1"/>
  <c r="I476" i="87" a="1"/>
  <c r="I476" i="87" s="1"/>
  <c r="H476" i="87" a="1"/>
  <c r="H476" i="87" s="1"/>
  <c r="G476" i="87" a="1"/>
  <c r="G476" i="87" s="1"/>
  <c r="F476" i="87" a="1"/>
  <c r="F476" i="87" s="1"/>
  <c r="E476" i="87" a="1"/>
  <c r="E476" i="87" s="1"/>
  <c r="D476" i="87" a="1"/>
  <c r="D476" i="87" s="1"/>
  <c r="I475" i="87" a="1"/>
  <c r="I475" i="87" s="1"/>
  <c r="H475" i="87" a="1"/>
  <c r="H475" i="87" s="1"/>
  <c r="G475" i="87" a="1"/>
  <c r="G475" i="87" s="1"/>
  <c r="F475" i="87" a="1"/>
  <c r="F475" i="87" s="1"/>
  <c r="E475" i="87" a="1"/>
  <c r="E475" i="87" s="1"/>
  <c r="D475" i="87" a="1"/>
  <c r="D475" i="87" s="1"/>
  <c r="I474" i="87" a="1"/>
  <c r="I474" i="87" s="1"/>
  <c r="H474" i="87" a="1"/>
  <c r="H474" i="87" s="1"/>
  <c r="G474" i="87" a="1"/>
  <c r="G474" i="87" s="1"/>
  <c r="F474" i="87" a="1"/>
  <c r="F474" i="87" s="1"/>
  <c r="E474" i="87" a="1"/>
  <c r="E474" i="87" s="1"/>
  <c r="D474" i="87" a="1"/>
  <c r="D474" i="87" s="1"/>
  <c r="I473" i="87" a="1"/>
  <c r="I473" i="87" s="1"/>
  <c r="H473" i="87" a="1"/>
  <c r="H473" i="87" s="1"/>
  <c r="G473" i="87" a="1"/>
  <c r="G473" i="87" s="1"/>
  <c r="F473" i="87" a="1"/>
  <c r="F473" i="87" s="1"/>
  <c r="E473" i="87" a="1"/>
  <c r="E473" i="87" s="1"/>
  <c r="D473" i="87" a="1"/>
  <c r="D473" i="87" s="1"/>
  <c r="I472" i="87" a="1"/>
  <c r="I472" i="87" s="1"/>
  <c r="H472" i="87" a="1"/>
  <c r="H472" i="87" s="1"/>
  <c r="G472" i="87" a="1"/>
  <c r="G472" i="87" s="1"/>
  <c r="F472" i="87" a="1"/>
  <c r="F472" i="87" s="1"/>
  <c r="E472" i="87" a="1"/>
  <c r="E472" i="87" s="1"/>
  <c r="D472" i="87" a="1"/>
  <c r="D472" i="87" s="1"/>
  <c r="I471" i="87" a="1"/>
  <c r="I471" i="87" s="1"/>
  <c r="H471" i="87" a="1"/>
  <c r="H471" i="87" s="1"/>
  <c r="G471" i="87" a="1"/>
  <c r="G471" i="87" s="1"/>
  <c r="F471" i="87" a="1"/>
  <c r="F471" i="87" s="1"/>
  <c r="E471" i="87" a="1"/>
  <c r="E471" i="87" s="1"/>
  <c r="D471" i="87" a="1"/>
  <c r="D471" i="87" s="1"/>
  <c r="I470" i="87" a="1"/>
  <c r="I470" i="87" s="1"/>
  <c r="H470" i="87" a="1"/>
  <c r="H470" i="87" s="1"/>
  <c r="G470" i="87" a="1"/>
  <c r="G470" i="87" s="1"/>
  <c r="F470" i="87" a="1"/>
  <c r="F470" i="87" s="1"/>
  <c r="E470" i="87" a="1"/>
  <c r="E470" i="87" s="1"/>
  <c r="D470" i="87" a="1"/>
  <c r="D470" i="87" s="1"/>
  <c r="I469" i="87" a="1"/>
  <c r="I469" i="87" s="1"/>
  <c r="H469" i="87" a="1"/>
  <c r="H469" i="87" s="1"/>
  <c r="G469" i="87" a="1"/>
  <c r="G469" i="87" s="1"/>
  <c r="F469" i="87" a="1"/>
  <c r="F469" i="87" s="1"/>
  <c r="E469" i="87" a="1"/>
  <c r="E469" i="87" s="1"/>
  <c r="D469" i="87" a="1"/>
  <c r="D469" i="87" s="1"/>
  <c r="I468" i="87" a="1"/>
  <c r="I468" i="87" s="1"/>
  <c r="H468" i="87" a="1"/>
  <c r="H468" i="87" s="1"/>
  <c r="G468" i="87" a="1"/>
  <c r="G468" i="87" s="1"/>
  <c r="F468" i="87" a="1"/>
  <c r="F468" i="87" s="1"/>
  <c r="E468" i="87" a="1"/>
  <c r="E468" i="87" s="1"/>
  <c r="D468" i="87" a="1"/>
  <c r="D468" i="87" s="1"/>
  <c r="I467" i="87" a="1"/>
  <c r="I467" i="87" s="1"/>
  <c r="H467" i="87" a="1"/>
  <c r="H467" i="87" s="1"/>
  <c r="G467" i="87" a="1"/>
  <c r="G467" i="87" s="1"/>
  <c r="F467" i="87" a="1"/>
  <c r="F467" i="87" s="1"/>
  <c r="E467" i="87" a="1"/>
  <c r="E467" i="87" s="1"/>
  <c r="D467" i="87" a="1"/>
  <c r="D467" i="87" s="1"/>
  <c r="I466" i="87" a="1"/>
  <c r="I466" i="87" s="1"/>
  <c r="H466" i="87" a="1"/>
  <c r="H466" i="87" s="1"/>
  <c r="G466" i="87" a="1"/>
  <c r="G466" i="87" s="1"/>
  <c r="F466" i="87" a="1"/>
  <c r="F466" i="87" s="1"/>
  <c r="E466" i="87" a="1"/>
  <c r="E466" i="87" s="1"/>
  <c r="D466" i="87" a="1"/>
  <c r="D466" i="87" s="1"/>
  <c r="I465" i="87" a="1"/>
  <c r="I465" i="87" s="1"/>
  <c r="H465" i="87" a="1"/>
  <c r="H465" i="87" s="1"/>
  <c r="G465" i="87" a="1"/>
  <c r="G465" i="87" s="1"/>
  <c r="F465" i="87" a="1"/>
  <c r="F465" i="87" s="1"/>
  <c r="E465" i="87" a="1"/>
  <c r="E465" i="87" s="1"/>
  <c r="D465" i="87" a="1"/>
  <c r="D465" i="87" s="1"/>
  <c r="I464" i="87" a="1"/>
  <c r="I464" i="87" s="1"/>
  <c r="H464" i="87" a="1"/>
  <c r="H464" i="87" s="1"/>
  <c r="G464" i="87" a="1"/>
  <c r="G464" i="87" s="1"/>
  <c r="F464" i="87" a="1"/>
  <c r="F464" i="87" s="1"/>
  <c r="E464" i="87" a="1"/>
  <c r="E464" i="87" s="1"/>
  <c r="D464" i="87" a="1"/>
  <c r="D464" i="87" s="1"/>
  <c r="I463" i="87" a="1"/>
  <c r="I463" i="87" s="1"/>
  <c r="H463" i="87" a="1"/>
  <c r="H463" i="87" s="1"/>
  <c r="G463" i="87" a="1"/>
  <c r="G463" i="87" s="1"/>
  <c r="F463" i="87" a="1"/>
  <c r="F463" i="87" s="1"/>
  <c r="E463" i="87" a="1"/>
  <c r="E463" i="87" s="1"/>
  <c r="D463" i="87" a="1"/>
  <c r="D463" i="87" s="1"/>
  <c r="I462" i="87" a="1"/>
  <c r="I462" i="87" s="1"/>
  <c r="H462" i="87" a="1"/>
  <c r="H462" i="87" s="1"/>
  <c r="G462" i="87" a="1"/>
  <c r="G462" i="87" s="1"/>
  <c r="F462" i="87" a="1"/>
  <c r="F462" i="87" s="1"/>
  <c r="E462" i="87" a="1"/>
  <c r="E462" i="87" s="1"/>
  <c r="D462" i="87" a="1"/>
  <c r="D462" i="87" s="1"/>
  <c r="I461" i="87" a="1"/>
  <c r="I461" i="87" s="1"/>
  <c r="H461" i="87" a="1"/>
  <c r="H461" i="87" s="1"/>
  <c r="G461" i="87" a="1"/>
  <c r="G461" i="87" s="1"/>
  <c r="F461" i="87" a="1"/>
  <c r="F461" i="87" s="1"/>
  <c r="E461" i="87" a="1"/>
  <c r="E461" i="87" s="1"/>
  <c r="D461" i="87" a="1"/>
  <c r="D461" i="87" s="1"/>
  <c r="I460" i="87" a="1"/>
  <c r="I460" i="87" s="1"/>
  <c r="H460" i="87" a="1"/>
  <c r="H460" i="87" s="1"/>
  <c r="G460" i="87" a="1"/>
  <c r="G460" i="87" s="1"/>
  <c r="F460" i="87" a="1"/>
  <c r="F460" i="87" s="1"/>
  <c r="E460" i="87" a="1"/>
  <c r="E460" i="87" s="1"/>
  <c r="D460" i="87" a="1"/>
  <c r="D460" i="87" s="1"/>
  <c r="I459" i="87" a="1"/>
  <c r="I459" i="87" s="1"/>
  <c r="H459" i="87" a="1"/>
  <c r="H459" i="87" s="1"/>
  <c r="G459" i="87" a="1"/>
  <c r="G459" i="87" s="1"/>
  <c r="F459" i="87" a="1"/>
  <c r="F459" i="87" s="1"/>
  <c r="E459" i="87" a="1"/>
  <c r="E459" i="87" s="1"/>
  <c r="D459" i="87" a="1"/>
  <c r="D459" i="87" s="1"/>
  <c r="I458" i="87" a="1"/>
  <c r="I458" i="87" s="1"/>
  <c r="H458" i="87" a="1"/>
  <c r="H458" i="87" s="1"/>
  <c r="G458" i="87" a="1"/>
  <c r="G458" i="87" s="1"/>
  <c r="F458" i="87" a="1"/>
  <c r="F458" i="87" s="1"/>
  <c r="E458" i="87" a="1"/>
  <c r="E458" i="87" s="1"/>
  <c r="D458" i="87" a="1"/>
  <c r="D458" i="87" s="1"/>
  <c r="I457" i="87" a="1"/>
  <c r="I457" i="87" s="1"/>
  <c r="H457" i="87" a="1"/>
  <c r="H457" i="87" s="1"/>
  <c r="G457" i="87" a="1"/>
  <c r="G457" i="87" s="1"/>
  <c r="F457" i="87" a="1"/>
  <c r="F457" i="87" s="1"/>
  <c r="E457" i="87" a="1"/>
  <c r="E457" i="87" s="1"/>
  <c r="D457" i="87" a="1"/>
  <c r="D457" i="87" s="1"/>
  <c r="I456" i="87" a="1"/>
  <c r="I456" i="87" s="1"/>
  <c r="H456" i="87" a="1"/>
  <c r="H456" i="87" s="1"/>
  <c r="G456" i="87" a="1"/>
  <c r="G456" i="87" s="1"/>
  <c r="F456" i="87" a="1"/>
  <c r="F456" i="87" s="1"/>
  <c r="E456" i="87" a="1"/>
  <c r="E456" i="87" s="1"/>
  <c r="D456" i="87" a="1"/>
  <c r="D456" i="87" s="1"/>
  <c r="I455" i="87" a="1"/>
  <c r="I455" i="87" s="1"/>
  <c r="H455" i="87" a="1"/>
  <c r="H455" i="87" s="1"/>
  <c r="G455" i="87" a="1"/>
  <c r="G455" i="87" s="1"/>
  <c r="F455" i="87" a="1"/>
  <c r="F455" i="87" s="1"/>
  <c r="E455" i="87" a="1"/>
  <c r="E455" i="87" s="1"/>
  <c r="D455" i="87" a="1"/>
  <c r="D455" i="87" s="1"/>
  <c r="I454" i="87" a="1"/>
  <c r="I454" i="87" s="1"/>
  <c r="H454" i="87" a="1"/>
  <c r="H454" i="87" s="1"/>
  <c r="G454" i="87" a="1"/>
  <c r="G454" i="87" s="1"/>
  <c r="F454" i="87" a="1"/>
  <c r="F454" i="87" s="1"/>
  <c r="E454" i="87" a="1"/>
  <c r="E454" i="87" s="1"/>
  <c r="D454" i="87" a="1"/>
  <c r="D454" i="87" s="1"/>
  <c r="I453" i="87" a="1"/>
  <c r="I453" i="87" s="1"/>
  <c r="H453" i="87" a="1"/>
  <c r="H453" i="87" s="1"/>
  <c r="G453" i="87" a="1"/>
  <c r="G453" i="87" s="1"/>
  <c r="F453" i="87" a="1"/>
  <c r="F453" i="87" s="1"/>
  <c r="E453" i="87" a="1"/>
  <c r="E453" i="87" s="1"/>
  <c r="D453" i="87" a="1"/>
  <c r="D453" i="87" s="1"/>
  <c r="I452" i="87" a="1"/>
  <c r="I452" i="87" s="1"/>
  <c r="H452" i="87" a="1"/>
  <c r="H452" i="87" s="1"/>
  <c r="G452" i="87" a="1"/>
  <c r="G452" i="87" s="1"/>
  <c r="F452" i="87" a="1"/>
  <c r="F452" i="87" s="1"/>
  <c r="E452" i="87" a="1"/>
  <c r="E452" i="87" s="1"/>
  <c r="D452" i="87" a="1"/>
  <c r="D452" i="87" s="1"/>
  <c r="I451" i="87" a="1"/>
  <c r="I451" i="87" s="1"/>
  <c r="H451" i="87" a="1"/>
  <c r="H451" i="87" s="1"/>
  <c r="G451" i="87" a="1"/>
  <c r="G451" i="87" s="1"/>
  <c r="F451" i="87" a="1"/>
  <c r="F451" i="87" s="1"/>
  <c r="E451" i="87" a="1"/>
  <c r="E451" i="87" s="1"/>
  <c r="D451" i="87" a="1"/>
  <c r="D451" i="87" s="1"/>
  <c r="I450" i="87" a="1"/>
  <c r="I450" i="87" s="1"/>
  <c r="H450" i="87" a="1"/>
  <c r="H450" i="87" s="1"/>
  <c r="G450" i="87" a="1"/>
  <c r="G450" i="87" s="1"/>
  <c r="F450" i="87" a="1"/>
  <c r="F450" i="87" s="1"/>
  <c r="E450" i="87" a="1"/>
  <c r="E450" i="87" s="1"/>
  <c r="D450" i="87" a="1"/>
  <c r="D450" i="87" s="1"/>
  <c r="I449" i="87" a="1"/>
  <c r="I449" i="87" s="1"/>
  <c r="H449" i="87" a="1"/>
  <c r="H449" i="87" s="1"/>
  <c r="G449" i="87" a="1"/>
  <c r="G449" i="87" s="1"/>
  <c r="F449" i="87" a="1"/>
  <c r="F449" i="87" s="1"/>
  <c r="E449" i="87" a="1"/>
  <c r="E449" i="87" s="1"/>
  <c r="D449" i="87" a="1"/>
  <c r="D449" i="87" s="1"/>
  <c r="I448" i="87" a="1"/>
  <c r="I448" i="87" s="1"/>
  <c r="H448" i="87" a="1"/>
  <c r="H448" i="87" s="1"/>
  <c r="G448" i="87" a="1"/>
  <c r="G448" i="87" s="1"/>
  <c r="F448" i="87" a="1"/>
  <c r="F448" i="87" s="1"/>
  <c r="E448" i="87" a="1"/>
  <c r="E448" i="87" s="1"/>
  <c r="D448" i="87" a="1"/>
  <c r="D448" i="87" s="1"/>
  <c r="I447" i="87" a="1"/>
  <c r="I447" i="87" s="1"/>
  <c r="H447" i="87" a="1"/>
  <c r="H447" i="87" s="1"/>
  <c r="G447" i="87" a="1"/>
  <c r="G447" i="87" s="1"/>
  <c r="F447" i="87" a="1"/>
  <c r="F447" i="87" s="1"/>
  <c r="E447" i="87" a="1"/>
  <c r="E447" i="87" s="1"/>
  <c r="D447" i="87" a="1"/>
  <c r="D447" i="87" s="1"/>
  <c r="I446" i="87" a="1"/>
  <c r="I446" i="87" s="1"/>
  <c r="H446" i="87" a="1"/>
  <c r="H446" i="87" s="1"/>
  <c r="G446" i="87" a="1"/>
  <c r="G446" i="87" s="1"/>
  <c r="F446" i="87" a="1"/>
  <c r="F446" i="87" s="1"/>
  <c r="E446" i="87" a="1"/>
  <c r="E446" i="87" s="1"/>
  <c r="D446" i="87" a="1"/>
  <c r="D446" i="87" s="1"/>
  <c r="I445" i="87" a="1"/>
  <c r="I445" i="87" s="1"/>
  <c r="H445" i="87" a="1"/>
  <c r="H445" i="87" s="1"/>
  <c r="G445" i="87" a="1"/>
  <c r="G445" i="87" s="1"/>
  <c r="F445" i="87" a="1"/>
  <c r="F445" i="87" s="1"/>
  <c r="E445" i="87" a="1"/>
  <c r="E445" i="87" s="1"/>
  <c r="D445" i="87" a="1"/>
  <c r="D445" i="87" s="1"/>
  <c r="I444" i="87" a="1"/>
  <c r="I444" i="87" s="1"/>
  <c r="H444" i="87" a="1"/>
  <c r="H444" i="87" s="1"/>
  <c r="G444" i="87" a="1"/>
  <c r="G444" i="87" s="1"/>
  <c r="F444" i="87" a="1"/>
  <c r="F444" i="87" s="1"/>
  <c r="E444" i="87" a="1"/>
  <c r="E444" i="87" s="1"/>
  <c r="D444" i="87" a="1"/>
  <c r="D444" i="87" s="1"/>
  <c r="I443" i="87" a="1"/>
  <c r="I443" i="87" s="1"/>
  <c r="H443" i="87" a="1"/>
  <c r="H443" i="87" s="1"/>
  <c r="G443" i="87" a="1"/>
  <c r="G443" i="87" s="1"/>
  <c r="F443" i="87" a="1"/>
  <c r="F443" i="87" s="1"/>
  <c r="E443" i="87" a="1"/>
  <c r="E443" i="87" s="1"/>
  <c r="D443" i="87" a="1"/>
  <c r="D443" i="87" s="1"/>
  <c r="D440" i="87" a="1"/>
  <c r="D440" i="87" s="1"/>
  <c r="I15" i="86" s="1"/>
  <c r="D439" i="87" a="1"/>
  <c r="D439" i="87" s="1"/>
  <c r="D438" i="87" a="1"/>
  <c r="D438" i="87" s="1"/>
  <c r="D437" i="87" a="1"/>
  <c r="D437" i="87" s="1"/>
  <c r="D436" i="87" a="1"/>
  <c r="D436" i="87" s="1"/>
  <c r="D434" i="87" a="1"/>
  <c r="D434" i="87" s="1"/>
  <c r="J14" i="85" s="1"/>
  <c r="D433" i="87" a="1"/>
  <c r="D433" i="87" s="1"/>
  <c r="D432" i="87" a="1"/>
  <c r="D432" i="87" s="1"/>
  <c r="D431" i="87" a="1"/>
  <c r="D431" i="87" s="1"/>
  <c r="D430" i="87" a="1"/>
  <c r="D430" i="87" s="1"/>
  <c r="D428" i="87" a="1"/>
  <c r="D428" i="87" s="1"/>
  <c r="I155" i="83" s="1"/>
  <c r="D427" i="87" a="1"/>
  <c r="D427" i="87" s="1"/>
  <c r="D426" i="87" a="1"/>
  <c r="D426" i="87" s="1"/>
  <c r="D425" i="87" a="1"/>
  <c r="D425" i="87" s="1"/>
  <c r="D424" i="87" a="1"/>
  <c r="D424" i="87" s="1"/>
  <c r="D422" i="87" a="1"/>
  <c r="D422" i="87" s="1"/>
  <c r="I110" i="83" s="1"/>
  <c r="D421" i="87" a="1"/>
  <c r="D421" i="87" s="1"/>
  <c r="D420" i="87" a="1"/>
  <c r="D420" i="87" s="1"/>
  <c r="D419" i="87" a="1"/>
  <c r="D419" i="87" s="1"/>
  <c r="D418" i="87" a="1"/>
  <c r="D418" i="87" s="1"/>
  <c r="G415" i="87" a="1"/>
  <c r="G415" i="87" s="1"/>
  <c r="F415" i="87" a="1"/>
  <c r="F415" i="87" s="1"/>
  <c r="E415" i="87" a="1"/>
  <c r="E415" i="87" s="1"/>
  <c r="D415" i="87" a="1"/>
  <c r="D415" i="87" s="1"/>
  <c r="G414" i="87" a="1"/>
  <c r="G414" i="87" s="1"/>
  <c r="F414" i="87" a="1"/>
  <c r="F414" i="87" s="1"/>
  <c r="E414" i="87" a="1"/>
  <c r="E414" i="87" s="1"/>
  <c r="D414" i="87" a="1"/>
  <c r="D414" i="87" s="1"/>
  <c r="G413" i="87" a="1"/>
  <c r="G413" i="87" s="1"/>
  <c r="F413" i="87" a="1"/>
  <c r="F413" i="87" s="1"/>
  <c r="E413" i="87" a="1"/>
  <c r="E413" i="87" s="1"/>
  <c r="D413" i="87" a="1"/>
  <c r="D413" i="87" s="1"/>
  <c r="G412" i="87" a="1"/>
  <c r="G412" i="87" s="1"/>
  <c r="F412" i="87" a="1"/>
  <c r="F412" i="87" s="1"/>
  <c r="E412" i="87" a="1"/>
  <c r="E412" i="87" s="1"/>
  <c r="D412" i="87" a="1"/>
  <c r="D412" i="87" s="1"/>
  <c r="G411" i="87" a="1"/>
  <c r="G411" i="87" s="1"/>
  <c r="F411" i="87" a="1"/>
  <c r="F411" i="87" s="1"/>
  <c r="E411" i="87" a="1"/>
  <c r="E411" i="87" s="1"/>
  <c r="D411" i="87" a="1"/>
  <c r="D411" i="87" s="1"/>
  <c r="G410" i="87" a="1"/>
  <c r="G410" i="87" s="1"/>
  <c r="F410" i="87" a="1"/>
  <c r="F410" i="87" s="1"/>
  <c r="E410" i="87" a="1"/>
  <c r="E410" i="87" s="1"/>
  <c r="D410" i="87" a="1"/>
  <c r="D410" i="87" s="1"/>
  <c r="G409" i="87" a="1"/>
  <c r="G409" i="87" s="1"/>
  <c r="F409" i="87" a="1"/>
  <c r="F409" i="87" s="1"/>
  <c r="E409" i="87" a="1"/>
  <c r="E409" i="87" s="1"/>
  <c r="D409" i="87" a="1"/>
  <c r="D409" i="87" s="1"/>
  <c r="G408" i="87" a="1"/>
  <c r="G408" i="87" s="1"/>
  <c r="F408" i="87" a="1"/>
  <c r="F408" i="87" s="1"/>
  <c r="E408" i="87" a="1"/>
  <c r="E408" i="87" s="1"/>
  <c r="D408" i="87" a="1"/>
  <c r="D408" i="87" s="1"/>
  <c r="G407" i="87" a="1"/>
  <c r="G407" i="87" s="1"/>
  <c r="F407" i="87" a="1"/>
  <c r="F407" i="87" s="1"/>
  <c r="E407" i="87" a="1"/>
  <c r="E407" i="87" s="1"/>
  <c r="D407" i="87" a="1"/>
  <c r="D407" i="87" s="1"/>
  <c r="G406" i="87" a="1"/>
  <c r="G406" i="87" s="1"/>
  <c r="F406" i="87" a="1"/>
  <c r="F406" i="87" s="1"/>
  <c r="E406" i="87" a="1"/>
  <c r="E406" i="87" s="1"/>
  <c r="D406" i="87" a="1"/>
  <c r="D406" i="87" s="1"/>
  <c r="G405" i="87" a="1"/>
  <c r="G405" i="87" s="1"/>
  <c r="F405" i="87" a="1"/>
  <c r="F405" i="87" s="1"/>
  <c r="E405" i="87" a="1"/>
  <c r="E405" i="87" s="1"/>
  <c r="D405" i="87" a="1"/>
  <c r="D405" i="87" s="1"/>
  <c r="G404" i="87" a="1"/>
  <c r="G404" i="87" s="1"/>
  <c r="F404" i="87" a="1"/>
  <c r="F404" i="87" s="1"/>
  <c r="E404" i="87" a="1"/>
  <c r="E404" i="87" s="1"/>
  <c r="D404" i="87" a="1"/>
  <c r="D404" i="87" s="1"/>
  <c r="G403" i="87" a="1"/>
  <c r="G403" i="87" s="1"/>
  <c r="F403" i="87" a="1"/>
  <c r="F403" i="87" s="1"/>
  <c r="E403" i="87" a="1"/>
  <c r="E403" i="87" s="1"/>
  <c r="D403" i="87" a="1"/>
  <c r="D403" i="87" s="1"/>
  <c r="G402" i="87" a="1"/>
  <c r="G402" i="87" s="1"/>
  <c r="F402" i="87" a="1"/>
  <c r="F402" i="87" s="1"/>
  <c r="E402" i="87" a="1"/>
  <c r="E402" i="87" s="1"/>
  <c r="D402" i="87" a="1"/>
  <c r="D402" i="87" s="1"/>
  <c r="G401" i="87" a="1"/>
  <c r="G401" i="87" s="1"/>
  <c r="F401" i="87" a="1"/>
  <c r="F401" i="87" s="1"/>
  <c r="E401" i="87" a="1"/>
  <c r="E401" i="87" s="1"/>
  <c r="D401" i="87" a="1"/>
  <c r="D401" i="87" s="1"/>
  <c r="D399" i="87" a="1"/>
  <c r="D399" i="87" s="1"/>
  <c r="D398" i="87" a="1"/>
  <c r="D398" i="87" s="1"/>
  <c r="D397" i="87" a="1"/>
  <c r="D397" i="87" s="1"/>
  <c r="D396" i="87" a="1"/>
  <c r="D396" i="87" s="1"/>
  <c r="D395" i="87" a="1"/>
  <c r="D395" i="87" s="1"/>
  <c r="G392" i="87" a="1"/>
  <c r="G392" i="87" s="1"/>
  <c r="F392" i="87" a="1"/>
  <c r="F392" i="87" s="1"/>
  <c r="E392" i="87" a="1"/>
  <c r="E392" i="87" s="1"/>
  <c r="D392" i="87" a="1"/>
  <c r="D392" i="87" s="1"/>
  <c r="G391" i="87" a="1"/>
  <c r="G391" i="87" s="1"/>
  <c r="F391" i="87" a="1"/>
  <c r="F391" i="87" s="1"/>
  <c r="E391" i="87" a="1"/>
  <c r="E391" i="87" s="1"/>
  <c r="D391" i="87" a="1"/>
  <c r="D391" i="87" s="1"/>
  <c r="G390" i="87" a="1"/>
  <c r="G390" i="87" s="1"/>
  <c r="F390" i="87" a="1"/>
  <c r="F390" i="87" s="1"/>
  <c r="E390" i="87" a="1"/>
  <c r="E390" i="87" s="1"/>
  <c r="D390" i="87" a="1"/>
  <c r="D390" i="87" s="1"/>
  <c r="G389" i="87" a="1"/>
  <c r="G389" i="87" s="1"/>
  <c r="F389" i="87" a="1"/>
  <c r="F389" i="87" s="1"/>
  <c r="E389" i="87" a="1"/>
  <c r="E389" i="87" s="1"/>
  <c r="D389" i="87" a="1"/>
  <c r="D389" i="87" s="1"/>
  <c r="G388" i="87" a="1"/>
  <c r="G388" i="87" s="1"/>
  <c r="F388" i="87" a="1"/>
  <c r="F388" i="87" s="1"/>
  <c r="E388" i="87" a="1"/>
  <c r="E388" i="87" s="1"/>
  <c r="D388" i="87" a="1"/>
  <c r="D388" i="87" s="1"/>
  <c r="G387" i="87" a="1"/>
  <c r="G387" i="87" s="1"/>
  <c r="F387" i="87" a="1"/>
  <c r="F387" i="87" s="1"/>
  <c r="E387" i="87" a="1"/>
  <c r="E387" i="87" s="1"/>
  <c r="D387" i="87" a="1"/>
  <c r="D387" i="87" s="1"/>
  <c r="G386" i="87" a="1"/>
  <c r="G386" i="87" s="1"/>
  <c r="F386" i="87" a="1"/>
  <c r="F386" i="87" s="1"/>
  <c r="E386" i="87" a="1"/>
  <c r="E386" i="87" s="1"/>
  <c r="D386" i="87" a="1"/>
  <c r="D386" i="87" s="1"/>
  <c r="G385" i="87" a="1"/>
  <c r="G385" i="87" s="1"/>
  <c r="F385" i="87" a="1"/>
  <c r="F385" i="87" s="1"/>
  <c r="E385" i="87" a="1"/>
  <c r="E385" i="87" s="1"/>
  <c r="D385" i="87" a="1"/>
  <c r="D385" i="87" s="1"/>
  <c r="G384" i="87" a="1"/>
  <c r="G384" i="87" s="1"/>
  <c r="F384" i="87" a="1"/>
  <c r="F384" i="87" s="1"/>
  <c r="E384" i="87" a="1"/>
  <c r="E384" i="87" s="1"/>
  <c r="D384" i="87" a="1"/>
  <c r="D384" i="87" s="1"/>
  <c r="G383" i="87" a="1"/>
  <c r="G383" i="87" s="1"/>
  <c r="F383" i="87" a="1"/>
  <c r="F383" i="87" s="1"/>
  <c r="E383" i="87" a="1"/>
  <c r="E383" i="87" s="1"/>
  <c r="D383" i="87" a="1"/>
  <c r="D383" i="87" s="1"/>
  <c r="G382" i="87" a="1"/>
  <c r="G382" i="87" s="1"/>
  <c r="F382" i="87" a="1"/>
  <c r="F382" i="87" s="1"/>
  <c r="E382" i="87" a="1"/>
  <c r="E382" i="87" s="1"/>
  <c r="D382" i="87" a="1"/>
  <c r="D382" i="87" s="1"/>
  <c r="G381" i="87" a="1"/>
  <c r="G381" i="87" s="1"/>
  <c r="F381" i="87" a="1"/>
  <c r="F381" i="87" s="1"/>
  <c r="E381" i="87" a="1"/>
  <c r="E381" i="87" s="1"/>
  <c r="D381" i="87" a="1"/>
  <c r="D381" i="87" s="1"/>
  <c r="G380" i="87" a="1"/>
  <c r="G380" i="87" s="1"/>
  <c r="F380" i="87" a="1"/>
  <c r="F380" i="87" s="1"/>
  <c r="E380" i="87" a="1"/>
  <c r="E380" i="87" s="1"/>
  <c r="D380" i="87" a="1"/>
  <c r="D380" i="87" s="1"/>
  <c r="G379" i="87" a="1"/>
  <c r="G379" i="87" s="1"/>
  <c r="F379" i="87" a="1"/>
  <c r="F379" i="87" s="1"/>
  <c r="E379" i="87" a="1"/>
  <c r="E379" i="87" s="1"/>
  <c r="D379" i="87" a="1"/>
  <c r="D379" i="87" s="1"/>
  <c r="G378" i="87" a="1"/>
  <c r="G378" i="87" s="1"/>
  <c r="F378" i="87" a="1"/>
  <c r="F378" i="87" s="1"/>
  <c r="E378" i="87" a="1"/>
  <c r="E378" i="87" s="1"/>
  <c r="D378" i="87" a="1"/>
  <c r="D378" i="87" s="1"/>
  <c r="D376" i="87" a="1"/>
  <c r="D376" i="87" s="1"/>
  <c r="D375" i="87" a="1"/>
  <c r="D375" i="87" s="1"/>
  <c r="D374" i="87" a="1"/>
  <c r="D374" i="87" s="1"/>
  <c r="D373" i="87" a="1"/>
  <c r="D373" i="87" s="1"/>
  <c r="D372" i="87" a="1"/>
  <c r="D372" i="87" s="1"/>
  <c r="L358" i="87" a="1"/>
  <c r="L358" i="87" s="1"/>
  <c r="O369" i="87" s="1"/>
  <c r="K358" i="87" a="1"/>
  <c r="K358" i="87" s="1"/>
  <c r="J358" i="87" a="1"/>
  <c r="J358" i="87" s="1"/>
  <c r="K369" i="87" s="1"/>
  <c r="I358" i="87" a="1"/>
  <c r="I358" i="87" s="1"/>
  <c r="I369" i="87" s="1"/>
  <c r="H358" i="87" a="1"/>
  <c r="H358" i="87" s="1"/>
  <c r="H369" i="87" s="1"/>
  <c r="G358" i="87" a="1"/>
  <c r="G358" i="87" s="1"/>
  <c r="G369" i="87" s="1"/>
  <c r="F358" i="87" a="1"/>
  <c r="F358" i="87" s="1"/>
  <c r="F369" i="87" s="1"/>
  <c r="E358" i="87" a="1"/>
  <c r="E358" i="87" s="1"/>
  <c r="E369" i="87" s="1"/>
  <c r="D358" i="87" a="1"/>
  <c r="D358" i="87" s="1"/>
  <c r="D369" i="87" s="1"/>
  <c r="L357" i="87" a="1"/>
  <c r="L357" i="87" s="1"/>
  <c r="O368" i="87" s="1"/>
  <c r="K357" i="87" a="1"/>
  <c r="K357" i="87" s="1"/>
  <c r="L368" i="87" s="1"/>
  <c r="J357" i="87" a="1"/>
  <c r="J357" i="87" s="1"/>
  <c r="K368" i="87" s="1"/>
  <c r="I357" i="87" a="1"/>
  <c r="I357" i="87" s="1"/>
  <c r="J368" i="87" s="1"/>
  <c r="H357" i="87" a="1"/>
  <c r="H357" i="87" s="1"/>
  <c r="H368" i="87" s="1"/>
  <c r="G357" i="87" a="1"/>
  <c r="G357" i="87" s="1"/>
  <c r="G368" i="87" s="1"/>
  <c r="F357" i="87" a="1"/>
  <c r="F357" i="87" s="1"/>
  <c r="F368" i="87" s="1"/>
  <c r="E357" i="87" a="1"/>
  <c r="E357" i="87" s="1"/>
  <c r="E368" i="87" s="1"/>
  <c r="D357" i="87" a="1"/>
  <c r="D357" i="87" s="1"/>
  <c r="D368" i="87" s="1"/>
  <c r="L356" i="87" a="1"/>
  <c r="L356" i="87" s="1"/>
  <c r="O367" i="87" s="1"/>
  <c r="K356" i="87" a="1"/>
  <c r="K356" i="87" s="1"/>
  <c r="N367" i="87" s="1"/>
  <c r="J356" i="87" a="1"/>
  <c r="J356" i="87" s="1"/>
  <c r="K367" i="87" s="1"/>
  <c r="I356" i="87" a="1"/>
  <c r="I356" i="87" s="1"/>
  <c r="H356" i="87" a="1"/>
  <c r="H356" i="87" s="1"/>
  <c r="H367" i="87" s="1"/>
  <c r="G356" i="87" a="1"/>
  <c r="G356" i="87" s="1"/>
  <c r="G367" i="87" s="1"/>
  <c r="F356" i="87" a="1"/>
  <c r="F356" i="87" s="1"/>
  <c r="F367" i="87" s="1"/>
  <c r="E356" i="87" a="1"/>
  <c r="E356" i="87" s="1"/>
  <c r="E367" i="87" s="1"/>
  <c r="D356" i="87" a="1"/>
  <c r="D356" i="87" s="1"/>
  <c r="D367" i="87" s="1"/>
  <c r="L355" i="87" a="1"/>
  <c r="L355" i="87" s="1"/>
  <c r="O366" i="87" s="1"/>
  <c r="K355" i="87" a="1"/>
  <c r="K355" i="87" s="1"/>
  <c r="J355" i="87" a="1"/>
  <c r="J355" i="87" s="1"/>
  <c r="K366" i="87" s="1"/>
  <c r="I355" i="87" a="1"/>
  <c r="I355" i="87" s="1"/>
  <c r="J366" i="87" s="1"/>
  <c r="H355" i="87" a="1"/>
  <c r="H355" i="87" s="1"/>
  <c r="H366" i="87" s="1"/>
  <c r="G355" i="87" a="1"/>
  <c r="G355" i="87" s="1"/>
  <c r="G366" i="87" s="1"/>
  <c r="F355" i="87" a="1"/>
  <c r="F355" i="87" s="1"/>
  <c r="F366" i="87" s="1"/>
  <c r="E355" i="87" a="1"/>
  <c r="E355" i="87" s="1"/>
  <c r="E366" i="87" s="1"/>
  <c r="D355" i="87" a="1"/>
  <c r="D355" i="87" s="1"/>
  <c r="D366" i="87" s="1"/>
  <c r="L354" i="87" a="1"/>
  <c r="L354" i="87" s="1"/>
  <c r="O365" i="87" s="1"/>
  <c r="K354" i="87" a="1"/>
  <c r="K354" i="87" s="1"/>
  <c r="L365" i="87" s="1"/>
  <c r="J354" i="87" a="1"/>
  <c r="J354" i="87" s="1"/>
  <c r="K365" i="87" s="1"/>
  <c r="I354" i="87" a="1"/>
  <c r="I354" i="87" s="1"/>
  <c r="I365" i="87" s="1"/>
  <c r="H354" i="87" a="1"/>
  <c r="H354" i="87" s="1"/>
  <c r="H365" i="87" s="1"/>
  <c r="G354" i="87" a="1"/>
  <c r="G354" i="87" s="1"/>
  <c r="G365" i="87" s="1"/>
  <c r="F354" i="87" a="1"/>
  <c r="F354" i="87" s="1"/>
  <c r="F365" i="87" s="1"/>
  <c r="E354" i="87" a="1"/>
  <c r="E354" i="87" s="1"/>
  <c r="E365" i="87" s="1"/>
  <c r="D354" i="87" a="1"/>
  <c r="D354" i="87" s="1"/>
  <c r="D365" i="87" s="1"/>
  <c r="L353" i="87" a="1"/>
  <c r="L353" i="87" s="1"/>
  <c r="O364" i="87" s="1"/>
  <c r="K353" i="87" a="1"/>
  <c r="K353" i="87" s="1"/>
  <c r="M364" i="87" s="1"/>
  <c r="J353" i="87" a="1"/>
  <c r="J353" i="87" s="1"/>
  <c r="K364" i="87" s="1"/>
  <c r="I353" i="87" a="1"/>
  <c r="I353" i="87" s="1"/>
  <c r="I364" i="87" s="1"/>
  <c r="H353" i="87" a="1"/>
  <c r="H353" i="87" s="1"/>
  <c r="H364" i="87" s="1"/>
  <c r="G353" i="87" a="1"/>
  <c r="G353" i="87" s="1"/>
  <c r="G364" i="87" s="1"/>
  <c r="F353" i="87" a="1"/>
  <c r="F353" i="87" s="1"/>
  <c r="F364" i="87" s="1"/>
  <c r="E353" i="87" a="1"/>
  <c r="E353" i="87" s="1"/>
  <c r="E364" i="87" s="1"/>
  <c r="D353" i="87" a="1"/>
  <c r="D353" i="87" s="1"/>
  <c r="D364" i="87" s="1"/>
  <c r="L352" i="87" a="1"/>
  <c r="L352" i="87" s="1"/>
  <c r="O363" i="87" s="1"/>
  <c r="K352" i="87" a="1"/>
  <c r="K352" i="87" s="1"/>
  <c r="N363" i="87" s="1"/>
  <c r="J352" i="87" a="1"/>
  <c r="J352" i="87" s="1"/>
  <c r="K363" i="87" s="1"/>
  <c r="I352" i="87" a="1"/>
  <c r="I352" i="87" s="1"/>
  <c r="I363" i="87" s="1"/>
  <c r="H352" i="87" a="1"/>
  <c r="H352" i="87" s="1"/>
  <c r="H363" i="87" s="1"/>
  <c r="G352" i="87" a="1"/>
  <c r="G352" i="87" s="1"/>
  <c r="G363" i="87" s="1"/>
  <c r="F352" i="87" a="1"/>
  <c r="F352" i="87" s="1"/>
  <c r="F363" i="87" s="1"/>
  <c r="E352" i="87" a="1"/>
  <c r="E352" i="87" s="1"/>
  <c r="E363" i="87" s="1"/>
  <c r="D352" i="87" a="1"/>
  <c r="D352" i="87" s="1"/>
  <c r="D363" i="87" s="1"/>
  <c r="L351" i="87" a="1"/>
  <c r="L351" i="87" s="1"/>
  <c r="O362" i="87" s="1"/>
  <c r="K351" i="87" a="1"/>
  <c r="K351" i="87" s="1"/>
  <c r="J351" i="87" a="1"/>
  <c r="J351" i="87" s="1"/>
  <c r="K362" i="87" s="1"/>
  <c r="I351" i="87" a="1"/>
  <c r="I351" i="87" s="1"/>
  <c r="H351" i="87" a="1"/>
  <c r="H351" i="87" s="1"/>
  <c r="H362" i="87" s="1"/>
  <c r="G351" i="87" a="1"/>
  <c r="G351" i="87" s="1"/>
  <c r="G362" i="87" s="1"/>
  <c r="F351" i="87" a="1"/>
  <c r="F351" i="87" s="1"/>
  <c r="F362" i="87" s="1"/>
  <c r="E351" i="87" a="1"/>
  <c r="E351" i="87" s="1"/>
  <c r="E362" i="87" s="1"/>
  <c r="D351" i="87" a="1"/>
  <c r="D351" i="87" s="1"/>
  <c r="D362" i="87" s="1"/>
  <c r="D349" i="87" a="1"/>
  <c r="D349" i="87" s="1"/>
  <c r="D348" i="87" a="1"/>
  <c r="D348" i="87" s="1"/>
  <c r="D347" i="87" a="1"/>
  <c r="D347" i="87" s="1"/>
  <c r="D346" i="87" a="1"/>
  <c r="D346" i="87" s="1"/>
  <c r="D345" i="87" a="1"/>
  <c r="D345" i="87" s="1"/>
  <c r="G342" i="87" a="1"/>
  <c r="G342" i="87" s="1"/>
  <c r="F342" i="87" a="1"/>
  <c r="F342" i="87" s="1"/>
  <c r="E342" i="87" a="1"/>
  <c r="E342" i="87" s="1"/>
  <c r="D342" i="87" a="1"/>
  <c r="D342" i="87" s="1"/>
  <c r="G341" i="87" a="1"/>
  <c r="G341" i="87" s="1"/>
  <c r="L338" i="87" s="1"/>
  <c r="F341" i="87" a="1"/>
  <c r="F341" i="87" s="1"/>
  <c r="K338" i="87" s="1"/>
  <c r="E341" i="87" a="1"/>
  <c r="E341" i="87" s="1"/>
  <c r="D341" i="87" a="1"/>
  <c r="D341" i="87" s="1"/>
  <c r="I338" i="87" s="1"/>
  <c r="G340" i="87" a="1"/>
  <c r="G340" i="87" s="1"/>
  <c r="L337" i="87" s="1"/>
  <c r="F340" i="87" a="1"/>
  <c r="F340" i="87" s="1"/>
  <c r="K337" i="87" s="1"/>
  <c r="E340" i="87" a="1"/>
  <c r="E340" i="87" s="1"/>
  <c r="D340" i="87" a="1"/>
  <c r="D340" i="87" s="1"/>
  <c r="I337" i="87" s="1"/>
  <c r="G339" i="87" a="1"/>
  <c r="G339" i="87" s="1"/>
  <c r="F339" i="87" a="1"/>
  <c r="F339" i="87" s="1"/>
  <c r="E339" i="87" a="1"/>
  <c r="E339" i="87" s="1"/>
  <c r="D339" i="87" a="1"/>
  <c r="D339" i="87" s="1"/>
  <c r="G338" i="87" a="1"/>
  <c r="G338" i="87" s="1"/>
  <c r="F338" i="87" a="1"/>
  <c r="F338" i="87" s="1"/>
  <c r="E338" i="87" a="1"/>
  <c r="E338" i="87" s="1"/>
  <c r="D338" i="87" a="1"/>
  <c r="D338" i="87" s="1"/>
  <c r="G337" i="87" a="1"/>
  <c r="G337" i="87" s="1"/>
  <c r="F337" i="87" a="1"/>
  <c r="F337" i="87" s="1"/>
  <c r="E337" i="87" a="1"/>
  <c r="E337" i="87" s="1"/>
  <c r="D337" i="87" a="1"/>
  <c r="D337" i="87" s="1"/>
  <c r="G336" i="87" a="1"/>
  <c r="G336" i="87" s="1"/>
  <c r="L336" i="87" s="1"/>
  <c r="F336" i="87" a="1"/>
  <c r="F336" i="87" s="1"/>
  <c r="K336" i="87" s="1"/>
  <c r="E336" i="87" a="1"/>
  <c r="E336" i="87" s="1"/>
  <c r="D336" i="87" a="1"/>
  <c r="D336" i="87" s="1"/>
  <c r="I336" i="87" s="1"/>
  <c r="G335" i="87" a="1"/>
  <c r="G335" i="87" s="1"/>
  <c r="L335" i="87" s="1"/>
  <c r="F335" i="87" a="1"/>
  <c r="F335" i="87" s="1"/>
  <c r="K335" i="87" s="1"/>
  <c r="E335" i="87" a="1"/>
  <c r="E335" i="87" s="1"/>
  <c r="D335" i="87" a="1"/>
  <c r="D335" i="87" s="1"/>
  <c r="I335" i="87" s="1"/>
  <c r="D333" i="87" a="1"/>
  <c r="D333" i="87" s="1"/>
  <c r="D332" i="87" a="1"/>
  <c r="D332" i="87" s="1"/>
  <c r="D331" i="87" a="1"/>
  <c r="D331" i="87" s="1"/>
  <c r="I328" i="87" a="1"/>
  <c r="I328" i="87" s="1"/>
  <c r="H328" i="87" a="1"/>
  <c r="H328" i="87" s="1"/>
  <c r="G328" i="87" a="1"/>
  <c r="G328" i="87" s="1"/>
  <c r="F328" i="87" a="1"/>
  <c r="F328" i="87" s="1"/>
  <c r="E328" i="87" a="1"/>
  <c r="E328" i="87" s="1"/>
  <c r="D328" i="87" a="1"/>
  <c r="D328" i="87" s="1"/>
  <c r="I327" i="87" a="1"/>
  <c r="I327" i="87" s="1"/>
  <c r="H327" i="87" a="1"/>
  <c r="H327" i="87" s="1"/>
  <c r="G327" i="87" a="1"/>
  <c r="G327" i="87" s="1"/>
  <c r="F327" i="87" a="1"/>
  <c r="F327" i="87" s="1"/>
  <c r="E327" i="87" a="1"/>
  <c r="E327" i="87" s="1"/>
  <c r="D327" i="87" a="1"/>
  <c r="D327" i="87" s="1"/>
  <c r="I326" i="87" a="1"/>
  <c r="I326" i="87" s="1"/>
  <c r="H326" i="87" a="1"/>
  <c r="H326" i="87" s="1"/>
  <c r="G326" i="87" a="1"/>
  <c r="G326" i="87" s="1"/>
  <c r="F326" i="87" a="1"/>
  <c r="F326" i="87" s="1"/>
  <c r="E326" i="87" a="1"/>
  <c r="E326" i="87" s="1"/>
  <c r="D326" i="87" a="1"/>
  <c r="D326" i="87" s="1"/>
  <c r="I325" i="87" a="1"/>
  <c r="I325" i="87" s="1"/>
  <c r="H325" i="87" a="1"/>
  <c r="H325" i="87" s="1"/>
  <c r="G325" i="87" a="1"/>
  <c r="G325" i="87" s="1"/>
  <c r="F325" i="87" a="1"/>
  <c r="F325" i="87" s="1"/>
  <c r="E325" i="87" a="1"/>
  <c r="E325" i="87" s="1"/>
  <c r="D325" i="87" a="1"/>
  <c r="D325" i="87" s="1"/>
  <c r="I324" i="87" a="1"/>
  <c r="I324" i="87" s="1"/>
  <c r="H324" i="87" a="1"/>
  <c r="H324" i="87" s="1"/>
  <c r="G324" i="87" a="1"/>
  <c r="G324" i="87" s="1"/>
  <c r="F324" i="87" a="1"/>
  <c r="F324" i="87" s="1"/>
  <c r="E324" i="87" a="1"/>
  <c r="E324" i="87" s="1"/>
  <c r="D324" i="87" a="1"/>
  <c r="D324" i="87" s="1"/>
  <c r="I323" i="87" a="1"/>
  <c r="I323" i="87" s="1"/>
  <c r="H323" i="87" a="1"/>
  <c r="H323" i="87" s="1"/>
  <c r="G323" i="87" a="1"/>
  <c r="G323" i="87" s="1"/>
  <c r="F323" i="87" a="1"/>
  <c r="F323" i="87" s="1"/>
  <c r="E323" i="87" a="1"/>
  <c r="E323" i="87" s="1"/>
  <c r="D323" i="87" a="1"/>
  <c r="D323" i="87" s="1"/>
  <c r="I322" i="87" a="1"/>
  <c r="I322" i="87" s="1"/>
  <c r="H322" i="87" a="1"/>
  <c r="H322" i="87" s="1"/>
  <c r="G322" i="87" a="1"/>
  <c r="G322" i="87" s="1"/>
  <c r="F322" i="87" a="1"/>
  <c r="F322" i="87" s="1"/>
  <c r="E322" i="87" a="1"/>
  <c r="E322" i="87" s="1"/>
  <c r="D322" i="87" a="1"/>
  <c r="D322" i="87" s="1"/>
  <c r="I321" i="87" a="1"/>
  <c r="I321" i="87" s="1"/>
  <c r="H321" i="87" a="1"/>
  <c r="H321" i="87" s="1"/>
  <c r="G321" i="87" a="1"/>
  <c r="G321" i="87" s="1"/>
  <c r="F321" i="87" a="1"/>
  <c r="F321" i="87" s="1"/>
  <c r="E321" i="87" a="1"/>
  <c r="E321" i="87" s="1"/>
  <c r="D321" i="87" a="1"/>
  <c r="D321" i="87" s="1"/>
  <c r="I320" i="87" a="1"/>
  <c r="I320" i="87" s="1"/>
  <c r="H320" i="87" a="1"/>
  <c r="H320" i="87" s="1"/>
  <c r="G320" i="87" a="1"/>
  <c r="G320" i="87" s="1"/>
  <c r="F320" i="87" a="1"/>
  <c r="F320" i="87" s="1"/>
  <c r="E320" i="87" a="1"/>
  <c r="E320" i="87" s="1"/>
  <c r="D320" i="87" a="1"/>
  <c r="D320" i="87" s="1"/>
  <c r="I319" i="87" a="1"/>
  <c r="I319" i="87" s="1"/>
  <c r="H319" i="87" a="1"/>
  <c r="H319" i="87" s="1"/>
  <c r="G319" i="87" a="1"/>
  <c r="G319" i="87" s="1"/>
  <c r="F319" i="87" a="1"/>
  <c r="F319" i="87" s="1"/>
  <c r="E319" i="87" a="1"/>
  <c r="E319" i="87" s="1"/>
  <c r="D319" i="87" a="1"/>
  <c r="D319" i="87" s="1"/>
  <c r="I318" i="87" a="1"/>
  <c r="I318" i="87" s="1"/>
  <c r="H318" i="87" a="1"/>
  <c r="H318" i="87" s="1"/>
  <c r="G318" i="87" a="1"/>
  <c r="G318" i="87" s="1"/>
  <c r="F318" i="87" a="1"/>
  <c r="F318" i="87" s="1"/>
  <c r="E318" i="87" a="1"/>
  <c r="E318" i="87" s="1"/>
  <c r="D318" i="87" a="1"/>
  <c r="D318" i="87" s="1"/>
  <c r="I317" i="87" a="1"/>
  <c r="I317" i="87" s="1"/>
  <c r="H317" i="87" a="1"/>
  <c r="H317" i="87" s="1"/>
  <c r="G317" i="87" a="1"/>
  <c r="G317" i="87" s="1"/>
  <c r="F317" i="87" a="1"/>
  <c r="F317" i="87" s="1"/>
  <c r="E317" i="87" a="1"/>
  <c r="E317" i="87" s="1"/>
  <c r="D317" i="87" a="1"/>
  <c r="D317" i="87" s="1"/>
  <c r="I316" i="87" a="1"/>
  <c r="I316" i="87" s="1"/>
  <c r="H316" i="87" a="1"/>
  <c r="H316" i="87" s="1"/>
  <c r="G316" i="87" a="1"/>
  <c r="G316" i="87" s="1"/>
  <c r="F316" i="87" a="1"/>
  <c r="F316" i="87" s="1"/>
  <c r="E316" i="87" a="1"/>
  <c r="E316" i="87" s="1"/>
  <c r="D316" i="87" a="1"/>
  <c r="D316" i="87" s="1"/>
  <c r="I315" i="87" a="1"/>
  <c r="I315" i="87" s="1"/>
  <c r="H315" i="87" a="1"/>
  <c r="H315" i="87" s="1"/>
  <c r="G315" i="87" a="1"/>
  <c r="G315" i="87" s="1"/>
  <c r="F315" i="87" a="1"/>
  <c r="F315" i="87" s="1"/>
  <c r="E315" i="87" a="1"/>
  <c r="E315" i="87" s="1"/>
  <c r="D315" i="87" a="1"/>
  <c r="D315" i="87" s="1"/>
  <c r="I314" i="87" a="1"/>
  <c r="I314" i="87" s="1"/>
  <c r="H314" i="87" a="1"/>
  <c r="H314" i="87" s="1"/>
  <c r="G314" i="87" a="1"/>
  <c r="G314" i="87" s="1"/>
  <c r="F314" i="87" a="1"/>
  <c r="F314" i="87" s="1"/>
  <c r="E314" i="87" a="1"/>
  <c r="E314" i="87" s="1"/>
  <c r="D314" i="87" a="1"/>
  <c r="D314" i="87" s="1"/>
  <c r="D312" i="87" a="1"/>
  <c r="D312" i="87" s="1"/>
  <c r="D311" i="87" a="1"/>
  <c r="D311" i="87" s="1"/>
  <c r="D310" i="87" a="1"/>
  <c r="D310" i="87" s="1"/>
  <c r="D309" i="87" a="1"/>
  <c r="D309" i="87" s="1"/>
  <c r="D308" i="87" a="1"/>
  <c r="D308" i="87" s="1"/>
  <c r="I305" i="87" a="1"/>
  <c r="I305" i="87" s="1"/>
  <c r="H305" i="87" a="1"/>
  <c r="H305" i="87" s="1"/>
  <c r="G305" i="87" a="1"/>
  <c r="G305" i="87" s="1"/>
  <c r="F305" i="87" a="1"/>
  <c r="F305" i="87" s="1"/>
  <c r="E305" i="87" a="1"/>
  <c r="E305" i="87" s="1"/>
  <c r="D305" i="87" a="1"/>
  <c r="D305" i="87" s="1"/>
  <c r="I304" i="87" a="1"/>
  <c r="I304" i="87" s="1"/>
  <c r="H304" i="87" a="1"/>
  <c r="H304" i="87" s="1"/>
  <c r="G304" i="87" a="1"/>
  <c r="G304" i="87" s="1"/>
  <c r="F304" i="87" a="1"/>
  <c r="F304" i="87" s="1"/>
  <c r="E304" i="87" a="1"/>
  <c r="E304" i="87" s="1"/>
  <c r="D304" i="87" a="1"/>
  <c r="D304" i="87" s="1"/>
  <c r="I303" i="87" a="1"/>
  <c r="I303" i="87" s="1"/>
  <c r="H303" i="87" a="1"/>
  <c r="H303" i="87" s="1"/>
  <c r="G303" i="87" a="1"/>
  <c r="G303" i="87" s="1"/>
  <c r="F303" i="87" a="1"/>
  <c r="F303" i="87" s="1"/>
  <c r="E303" i="87" a="1"/>
  <c r="E303" i="87" s="1"/>
  <c r="D303" i="87" a="1"/>
  <c r="D303" i="87" s="1"/>
  <c r="I302" i="87" a="1"/>
  <c r="I302" i="87" s="1"/>
  <c r="H302" i="87" a="1"/>
  <c r="H302" i="87" s="1"/>
  <c r="G302" i="87" a="1"/>
  <c r="G302" i="87" s="1"/>
  <c r="F302" i="87" a="1"/>
  <c r="F302" i="87" s="1"/>
  <c r="E302" i="87" a="1"/>
  <c r="E302" i="87" s="1"/>
  <c r="D302" i="87" a="1"/>
  <c r="D302" i="87" s="1"/>
  <c r="I301" i="87" a="1"/>
  <c r="I301" i="87" s="1"/>
  <c r="H301" i="87" a="1"/>
  <c r="H301" i="87" s="1"/>
  <c r="G301" i="87" a="1"/>
  <c r="G301" i="87" s="1"/>
  <c r="F301" i="87" a="1"/>
  <c r="F301" i="87" s="1"/>
  <c r="E301" i="87" a="1"/>
  <c r="E301" i="87" s="1"/>
  <c r="D301" i="87" a="1"/>
  <c r="D301" i="87" s="1"/>
  <c r="I300" i="87" a="1"/>
  <c r="I300" i="87" s="1"/>
  <c r="H300" i="87" a="1"/>
  <c r="H300" i="87" s="1"/>
  <c r="G300" i="87" a="1"/>
  <c r="G300" i="87" s="1"/>
  <c r="F300" i="87" a="1"/>
  <c r="F300" i="87" s="1"/>
  <c r="E300" i="87" a="1"/>
  <c r="E300" i="87" s="1"/>
  <c r="D300" i="87" a="1"/>
  <c r="D300" i="87" s="1"/>
  <c r="I299" i="87" a="1"/>
  <c r="I299" i="87" s="1"/>
  <c r="H299" i="87" a="1"/>
  <c r="H299" i="87" s="1"/>
  <c r="G299" i="87" a="1"/>
  <c r="G299" i="87" s="1"/>
  <c r="F299" i="87" a="1"/>
  <c r="F299" i="87" s="1"/>
  <c r="E299" i="87" a="1"/>
  <c r="E299" i="87" s="1"/>
  <c r="D299" i="87" a="1"/>
  <c r="D299" i="87" s="1"/>
  <c r="I298" i="87" a="1"/>
  <c r="I298" i="87" s="1"/>
  <c r="H298" i="87" a="1"/>
  <c r="H298" i="87" s="1"/>
  <c r="G298" i="87" a="1"/>
  <c r="G298" i="87" s="1"/>
  <c r="F298" i="87" a="1"/>
  <c r="F298" i="87" s="1"/>
  <c r="E298" i="87" a="1"/>
  <c r="E298" i="87" s="1"/>
  <c r="D298" i="87" a="1"/>
  <c r="D298" i="87" s="1"/>
  <c r="I297" i="87" a="1"/>
  <c r="I297" i="87" s="1"/>
  <c r="H297" i="87" a="1"/>
  <c r="H297" i="87" s="1"/>
  <c r="G297" i="87" a="1"/>
  <c r="G297" i="87" s="1"/>
  <c r="F297" i="87" a="1"/>
  <c r="F297" i="87" s="1"/>
  <c r="E297" i="87" a="1"/>
  <c r="E297" i="87" s="1"/>
  <c r="D297" i="87" a="1"/>
  <c r="D297" i="87" s="1"/>
  <c r="I296" i="87" a="1"/>
  <c r="I296" i="87" s="1"/>
  <c r="H296" i="87" a="1"/>
  <c r="H296" i="87" s="1"/>
  <c r="G296" i="87" a="1"/>
  <c r="G296" i="87" s="1"/>
  <c r="F296" i="87" a="1"/>
  <c r="F296" i="87" s="1"/>
  <c r="E296" i="87" a="1"/>
  <c r="E296" i="87" s="1"/>
  <c r="D296" i="87" a="1"/>
  <c r="D296" i="87" s="1"/>
  <c r="I295" i="87" a="1"/>
  <c r="I295" i="87" s="1"/>
  <c r="H295" i="87" a="1"/>
  <c r="H295" i="87" s="1"/>
  <c r="G295" i="87" a="1"/>
  <c r="G295" i="87" s="1"/>
  <c r="F295" i="87" a="1"/>
  <c r="F295" i="87" s="1"/>
  <c r="E295" i="87" a="1"/>
  <c r="E295" i="87" s="1"/>
  <c r="D295" i="87" a="1"/>
  <c r="D295" i="87" s="1"/>
  <c r="I294" i="87" a="1"/>
  <c r="I294" i="87" s="1"/>
  <c r="H294" i="87" a="1"/>
  <c r="H294" i="87" s="1"/>
  <c r="G294" i="87" a="1"/>
  <c r="G294" i="87" s="1"/>
  <c r="F294" i="87" a="1"/>
  <c r="F294" i="87" s="1"/>
  <c r="E294" i="87" a="1"/>
  <c r="E294" i="87" s="1"/>
  <c r="D294" i="87" a="1"/>
  <c r="D294" i="87" s="1"/>
  <c r="I293" i="87" a="1"/>
  <c r="I293" i="87" s="1"/>
  <c r="H293" i="87" a="1"/>
  <c r="H293" i="87" s="1"/>
  <c r="G293" i="87" a="1"/>
  <c r="G293" i="87" s="1"/>
  <c r="F293" i="87" a="1"/>
  <c r="F293" i="87" s="1"/>
  <c r="E293" i="87" a="1"/>
  <c r="E293" i="87" s="1"/>
  <c r="D293" i="87" a="1"/>
  <c r="D293" i="87" s="1"/>
  <c r="I292" i="87" a="1"/>
  <c r="I292" i="87" s="1"/>
  <c r="H292" i="87" a="1"/>
  <c r="H292" i="87" s="1"/>
  <c r="G292" i="87" a="1"/>
  <c r="G292" i="87" s="1"/>
  <c r="F292" i="87" a="1"/>
  <c r="F292" i="87" s="1"/>
  <c r="E292" i="87" a="1"/>
  <c r="E292" i="87" s="1"/>
  <c r="D292" i="87" a="1"/>
  <c r="D292" i="87" s="1"/>
  <c r="I291" i="87" a="1"/>
  <c r="I291" i="87" s="1"/>
  <c r="H291" i="87" a="1"/>
  <c r="H291" i="87" s="1"/>
  <c r="G291" i="87" a="1"/>
  <c r="G291" i="87" s="1"/>
  <c r="F291" i="87" a="1"/>
  <c r="F291" i="87" s="1"/>
  <c r="E291" i="87" a="1"/>
  <c r="E291" i="87" s="1"/>
  <c r="D291" i="87" a="1"/>
  <c r="D291" i="87" s="1"/>
  <c r="D289" i="87" a="1"/>
  <c r="D289" i="87" s="1"/>
  <c r="D288" i="87" a="1"/>
  <c r="D288" i="87" s="1"/>
  <c r="D287" i="87" a="1"/>
  <c r="D287" i="87" s="1"/>
  <c r="D286" i="87" a="1"/>
  <c r="D286" i="87" s="1"/>
  <c r="D285" i="87" a="1"/>
  <c r="D285" i="87" s="1"/>
  <c r="P217" i="87" a="1"/>
  <c r="P217" i="87" s="1"/>
  <c r="P282" i="87" s="1"/>
  <c r="O217" i="87" a="1"/>
  <c r="O217" i="87" s="1"/>
  <c r="O282" i="87" s="1"/>
  <c r="N217" i="87" a="1"/>
  <c r="N217" i="87" s="1"/>
  <c r="N282" i="87" s="1"/>
  <c r="M217" i="87" a="1"/>
  <c r="M217" i="87" s="1"/>
  <c r="M282" i="87" s="1"/>
  <c r="L217" i="87" a="1"/>
  <c r="L217" i="87" s="1"/>
  <c r="L282" i="87" s="1"/>
  <c r="K217" i="87" a="1"/>
  <c r="K217" i="87" s="1"/>
  <c r="K282" i="87" s="1"/>
  <c r="J217" i="87" a="1"/>
  <c r="J217" i="87" s="1"/>
  <c r="J282" i="87" s="1"/>
  <c r="I217" i="87" a="1"/>
  <c r="I217" i="87" s="1"/>
  <c r="I282" i="87" s="1"/>
  <c r="H217" i="87" a="1"/>
  <c r="H217" i="87" s="1"/>
  <c r="H282" i="87" s="1"/>
  <c r="G217" i="87" a="1"/>
  <c r="G217" i="87" s="1"/>
  <c r="G282" i="87" s="1"/>
  <c r="F217" i="87" a="1"/>
  <c r="F217" i="87" s="1"/>
  <c r="F282" i="87" s="1"/>
  <c r="E217" i="87" a="1"/>
  <c r="E217" i="87" s="1"/>
  <c r="E282" i="87" s="1"/>
  <c r="D217" i="87" a="1"/>
  <c r="D217" i="87" s="1"/>
  <c r="P216" i="87" a="1"/>
  <c r="P216" i="87" s="1"/>
  <c r="P281" i="87" s="1"/>
  <c r="O216" i="87" a="1"/>
  <c r="O216" i="87" s="1"/>
  <c r="O281" i="87" s="1"/>
  <c r="N216" i="87" a="1"/>
  <c r="N216" i="87" s="1"/>
  <c r="N281" i="87" s="1"/>
  <c r="M216" i="87" a="1"/>
  <c r="M216" i="87" s="1"/>
  <c r="M281" i="87" s="1"/>
  <c r="L216" i="87" a="1"/>
  <c r="L216" i="87" s="1"/>
  <c r="L281" i="87" s="1"/>
  <c r="K216" i="87" a="1"/>
  <c r="K216" i="87" s="1"/>
  <c r="K281" i="87" s="1"/>
  <c r="J216" i="87" a="1"/>
  <c r="J216" i="87" s="1"/>
  <c r="J281" i="87" s="1"/>
  <c r="I216" i="87" a="1"/>
  <c r="I216" i="87" s="1"/>
  <c r="I281" i="87" s="1"/>
  <c r="H216" i="87" a="1"/>
  <c r="H216" i="87" s="1"/>
  <c r="H281" i="87" s="1"/>
  <c r="G216" i="87" a="1"/>
  <c r="G216" i="87" s="1"/>
  <c r="G281" i="87" s="1"/>
  <c r="F216" i="87" a="1"/>
  <c r="F216" i="87" s="1"/>
  <c r="F281" i="87" s="1"/>
  <c r="E216" i="87" a="1"/>
  <c r="E216" i="87" s="1"/>
  <c r="E281" i="87" s="1"/>
  <c r="D216" i="87" a="1"/>
  <c r="D216" i="87" s="1"/>
  <c r="P215" i="87" a="1"/>
  <c r="P215" i="87" s="1"/>
  <c r="P280" i="87" s="1"/>
  <c r="O215" i="87" a="1"/>
  <c r="O215" i="87" s="1"/>
  <c r="O280" i="87" s="1"/>
  <c r="N215" i="87" a="1"/>
  <c r="N215" i="87" s="1"/>
  <c r="N280" i="87" s="1"/>
  <c r="M215" i="87" a="1"/>
  <c r="M215" i="87" s="1"/>
  <c r="M280" i="87" s="1"/>
  <c r="L215" i="87" a="1"/>
  <c r="L215" i="87" s="1"/>
  <c r="L280" i="87" s="1"/>
  <c r="K215" i="87" a="1"/>
  <c r="K215" i="87" s="1"/>
  <c r="K280" i="87" s="1"/>
  <c r="J215" i="87" a="1"/>
  <c r="J215" i="87" s="1"/>
  <c r="J280" i="87" s="1"/>
  <c r="I215" i="87" a="1"/>
  <c r="I215" i="87" s="1"/>
  <c r="I280" i="87" s="1"/>
  <c r="H215" i="87" a="1"/>
  <c r="H215" i="87" s="1"/>
  <c r="H280" i="87" s="1"/>
  <c r="G215" i="87" a="1"/>
  <c r="G215" i="87" s="1"/>
  <c r="G280" i="87" s="1"/>
  <c r="F215" i="87" a="1"/>
  <c r="F215" i="87" s="1"/>
  <c r="F280" i="87" s="1"/>
  <c r="E215" i="87" a="1"/>
  <c r="E215" i="87" s="1"/>
  <c r="E280" i="87" s="1"/>
  <c r="D215" i="87" a="1"/>
  <c r="D215" i="87" s="1"/>
  <c r="P214" i="87" a="1"/>
  <c r="P214" i="87" s="1"/>
  <c r="P279" i="87" s="1"/>
  <c r="O214" i="87" a="1"/>
  <c r="O214" i="87" s="1"/>
  <c r="O279" i="87" s="1"/>
  <c r="N214" i="87" a="1"/>
  <c r="N214" i="87" s="1"/>
  <c r="N279" i="87" s="1"/>
  <c r="M214" i="87" a="1"/>
  <c r="M214" i="87" s="1"/>
  <c r="M279" i="87" s="1"/>
  <c r="L214" i="87" a="1"/>
  <c r="L214" i="87" s="1"/>
  <c r="L279" i="87" s="1"/>
  <c r="K214" i="87" a="1"/>
  <c r="K214" i="87" s="1"/>
  <c r="K279" i="87" s="1"/>
  <c r="J214" i="87" a="1"/>
  <c r="J214" i="87" s="1"/>
  <c r="J279" i="87" s="1"/>
  <c r="I214" i="87" a="1"/>
  <c r="I214" i="87" s="1"/>
  <c r="I279" i="87" s="1"/>
  <c r="H214" i="87" a="1"/>
  <c r="H214" i="87" s="1"/>
  <c r="H279" i="87" s="1"/>
  <c r="G214" i="87" a="1"/>
  <c r="G214" i="87" s="1"/>
  <c r="G279" i="87" s="1"/>
  <c r="F214" i="87" a="1"/>
  <c r="F214" i="87" s="1"/>
  <c r="F279" i="87" s="1"/>
  <c r="E214" i="87" a="1"/>
  <c r="E214" i="87" s="1"/>
  <c r="E279" i="87" s="1"/>
  <c r="D214" i="87" a="1"/>
  <c r="D214" i="87" s="1"/>
  <c r="P213" i="87" a="1"/>
  <c r="P213" i="87" s="1"/>
  <c r="P278" i="87" s="1"/>
  <c r="O213" i="87" a="1"/>
  <c r="O213" i="87" s="1"/>
  <c r="O278" i="87" s="1"/>
  <c r="N213" i="87" a="1"/>
  <c r="N213" i="87" s="1"/>
  <c r="N278" i="87" s="1"/>
  <c r="M213" i="87" a="1"/>
  <c r="M213" i="87" s="1"/>
  <c r="M278" i="87" s="1"/>
  <c r="L213" i="87" a="1"/>
  <c r="L213" i="87" s="1"/>
  <c r="L278" i="87" s="1"/>
  <c r="K213" i="87" a="1"/>
  <c r="K213" i="87" s="1"/>
  <c r="K278" i="87" s="1"/>
  <c r="J213" i="87" a="1"/>
  <c r="J213" i="87" s="1"/>
  <c r="J278" i="87" s="1"/>
  <c r="I213" i="87" a="1"/>
  <c r="I213" i="87" s="1"/>
  <c r="I278" i="87" s="1"/>
  <c r="H213" i="87" a="1"/>
  <c r="H213" i="87" s="1"/>
  <c r="H278" i="87" s="1"/>
  <c r="G213" i="87" a="1"/>
  <c r="G213" i="87" s="1"/>
  <c r="G278" i="87" s="1"/>
  <c r="F213" i="87" a="1"/>
  <c r="F213" i="87" s="1"/>
  <c r="F278" i="87" s="1"/>
  <c r="E213" i="87" a="1"/>
  <c r="E213" i="87" s="1"/>
  <c r="E278" i="87" s="1"/>
  <c r="D213" i="87" a="1"/>
  <c r="D213" i="87" s="1"/>
  <c r="P212" i="87" a="1"/>
  <c r="P212" i="87" s="1"/>
  <c r="P277" i="87" s="1"/>
  <c r="O212" i="87" a="1"/>
  <c r="O212" i="87" s="1"/>
  <c r="O277" i="87" s="1"/>
  <c r="N212" i="87" a="1"/>
  <c r="N212" i="87" s="1"/>
  <c r="N277" i="87" s="1"/>
  <c r="M212" i="87" a="1"/>
  <c r="M212" i="87" s="1"/>
  <c r="M277" i="87" s="1"/>
  <c r="L212" i="87" a="1"/>
  <c r="L212" i="87" s="1"/>
  <c r="L277" i="87" s="1"/>
  <c r="K212" i="87" a="1"/>
  <c r="K212" i="87" s="1"/>
  <c r="K277" i="87" s="1"/>
  <c r="J212" i="87" a="1"/>
  <c r="J212" i="87" s="1"/>
  <c r="J277" i="87" s="1"/>
  <c r="I212" i="87" a="1"/>
  <c r="I212" i="87" s="1"/>
  <c r="I277" i="87" s="1"/>
  <c r="H212" i="87" a="1"/>
  <c r="H212" i="87" s="1"/>
  <c r="H277" i="87" s="1"/>
  <c r="G212" i="87" a="1"/>
  <c r="G212" i="87" s="1"/>
  <c r="G277" i="87" s="1"/>
  <c r="F212" i="87" a="1"/>
  <c r="F212" i="87" s="1"/>
  <c r="F277" i="87" s="1"/>
  <c r="E212" i="87" a="1"/>
  <c r="E212" i="87" s="1"/>
  <c r="E277" i="87" s="1"/>
  <c r="D212" i="87" a="1"/>
  <c r="D212" i="87" s="1"/>
  <c r="P211" i="87" a="1"/>
  <c r="P211" i="87" s="1"/>
  <c r="P276" i="87" s="1"/>
  <c r="O211" i="87" a="1"/>
  <c r="O211" i="87" s="1"/>
  <c r="O276" i="87" s="1"/>
  <c r="N211" i="87" a="1"/>
  <c r="N211" i="87" s="1"/>
  <c r="N276" i="87" s="1"/>
  <c r="M211" i="87" a="1"/>
  <c r="M211" i="87" s="1"/>
  <c r="M276" i="87" s="1"/>
  <c r="L211" i="87" a="1"/>
  <c r="L211" i="87" s="1"/>
  <c r="L276" i="87" s="1"/>
  <c r="K211" i="87" a="1"/>
  <c r="K211" i="87" s="1"/>
  <c r="K276" i="87" s="1"/>
  <c r="J211" i="87" a="1"/>
  <c r="J211" i="87" s="1"/>
  <c r="J276" i="87" s="1"/>
  <c r="I211" i="87" a="1"/>
  <c r="I211" i="87" s="1"/>
  <c r="I276" i="87" s="1"/>
  <c r="H211" i="87" a="1"/>
  <c r="H211" i="87" s="1"/>
  <c r="H276" i="87" s="1"/>
  <c r="G211" i="87" a="1"/>
  <c r="G211" i="87" s="1"/>
  <c r="G276" i="87" s="1"/>
  <c r="F211" i="87" a="1"/>
  <c r="F211" i="87" s="1"/>
  <c r="F276" i="87" s="1"/>
  <c r="E211" i="87" a="1"/>
  <c r="E211" i="87" s="1"/>
  <c r="E276" i="87" s="1"/>
  <c r="D211" i="87" a="1"/>
  <c r="D211" i="87" s="1"/>
  <c r="P210" i="87" a="1"/>
  <c r="P210" i="87" s="1"/>
  <c r="P275" i="87" s="1"/>
  <c r="O210" i="87" a="1"/>
  <c r="O210" i="87" s="1"/>
  <c r="O275" i="87" s="1"/>
  <c r="N210" i="87" a="1"/>
  <c r="N210" i="87" s="1"/>
  <c r="N275" i="87" s="1"/>
  <c r="M210" i="87" a="1"/>
  <c r="M210" i="87" s="1"/>
  <c r="M275" i="87" s="1"/>
  <c r="L210" i="87" a="1"/>
  <c r="L210" i="87" s="1"/>
  <c r="L275" i="87" s="1"/>
  <c r="K210" i="87" a="1"/>
  <c r="K210" i="87" s="1"/>
  <c r="K275" i="87" s="1"/>
  <c r="J210" i="87" a="1"/>
  <c r="J210" i="87" s="1"/>
  <c r="J275" i="87" s="1"/>
  <c r="I210" i="87" a="1"/>
  <c r="I210" i="87" s="1"/>
  <c r="I275" i="87" s="1"/>
  <c r="H210" i="87" a="1"/>
  <c r="H210" i="87" s="1"/>
  <c r="H275" i="87" s="1"/>
  <c r="G210" i="87" a="1"/>
  <c r="G210" i="87" s="1"/>
  <c r="G275" i="87" s="1"/>
  <c r="F210" i="87" a="1"/>
  <c r="F210" i="87" s="1"/>
  <c r="F275" i="87" s="1"/>
  <c r="E210" i="87" a="1"/>
  <c r="E210" i="87" s="1"/>
  <c r="E275" i="87" s="1"/>
  <c r="D210" i="87" a="1"/>
  <c r="D210" i="87" s="1"/>
  <c r="P209" i="87" a="1"/>
  <c r="P209" i="87" s="1"/>
  <c r="P274" i="87" s="1"/>
  <c r="O209" i="87" a="1"/>
  <c r="O209" i="87" s="1"/>
  <c r="O274" i="87" s="1"/>
  <c r="N209" i="87" a="1"/>
  <c r="N209" i="87" s="1"/>
  <c r="N274" i="87" s="1"/>
  <c r="M209" i="87" a="1"/>
  <c r="M209" i="87" s="1"/>
  <c r="M274" i="87" s="1"/>
  <c r="L209" i="87" a="1"/>
  <c r="L209" i="87" s="1"/>
  <c r="L274" i="87" s="1"/>
  <c r="K209" i="87" a="1"/>
  <c r="K209" i="87" s="1"/>
  <c r="K274" i="87" s="1"/>
  <c r="J209" i="87" a="1"/>
  <c r="J209" i="87" s="1"/>
  <c r="J274" i="87" s="1"/>
  <c r="I209" i="87" a="1"/>
  <c r="I209" i="87" s="1"/>
  <c r="I274" i="87" s="1"/>
  <c r="H209" i="87" a="1"/>
  <c r="H209" i="87" s="1"/>
  <c r="H274" i="87" s="1"/>
  <c r="G209" i="87" a="1"/>
  <c r="G209" i="87" s="1"/>
  <c r="G274" i="87" s="1"/>
  <c r="F209" i="87" a="1"/>
  <c r="F209" i="87" s="1"/>
  <c r="F274" i="87" s="1"/>
  <c r="E209" i="87" a="1"/>
  <c r="E209" i="87" s="1"/>
  <c r="E274" i="87" s="1"/>
  <c r="D209" i="87" a="1"/>
  <c r="D209" i="87" s="1"/>
  <c r="P208" i="87" a="1"/>
  <c r="P208" i="87" s="1"/>
  <c r="P273" i="87" s="1"/>
  <c r="O208" i="87" a="1"/>
  <c r="O208" i="87" s="1"/>
  <c r="O273" i="87" s="1"/>
  <c r="N208" i="87" a="1"/>
  <c r="N208" i="87" s="1"/>
  <c r="N273" i="87" s="1"/>
  <c r="M208" i="87" a="1"/>
  <c r="M208" i="87" s="1"/>
  <c r="M273" i="87" s="1"/>
  <c r="L208" i="87" a="1"/>
  <c r="L208" i="87" s="1"/>
  <c r="L273" i="87" s="1"/>
  <c r="K208" i="87" a="1"/>
  <c r="K208" i="87" s="1"/>
  <c r="K273" i="87" s="1"/>
  <c r="J208" i="87" a="1"/>
  <c r="J208" i="87" s="1"/>
  <c r="J273" i="87" s="1"/>
  <c r="I208" i="87" a="1"/>
  <c r="I208" i="87" s="1"/>
  <c r="I273" i="87" s="1"/>
  <c r="H208" i="87" a="1"/>
  <c r="H208" i="87" s="1"/>
  <c r="H273" i="87" s="1"/>
  <c r="G208" i="87" a="1"/>
  <c r="G208" i="87" s="1"/>
  <c r="G273" i="87" s="1"/>
  <c r="F208" i="87" a="1"/>
  <c r="F208" i="87" s="1"/>
  <c r="F273" i="87" s="1"/>
  <c r="E208" i="87" a="1"/>
  <c r="E208" i="87" s="1"/>
  <c r="E273" i="87" s="1"/>
  <c r="D208" i="87" a="1"/>
  <c r="D208" i="87" s="1"/>
  <c r="P207" i="87" a="1"/>
  <c r="P207" i="87" s="1"/>
  <c r="P272" i="87" s="1"/>
  <c r="O207" i="87" a="1"/>
  <c r="O207" i="87" s="1"/>
  <c r="O272" i="87" s="1"/>
  <c r="N207" i="87" a="1"/>
  <c r="N207" i="87" s="1"/>
  <c r="N272" i="87" s="1"/>
  <c r="M207" i="87" a="1"/>
  <c r="M207" i="87" s="1"/>
  <c r="M272" i="87" s="1"/>
  <c r="L207" i="87" a="1"/>
  <c r="L207" i="87" s="1"/>
  <c r="L272" i="87" s="1"/>
  <c r="K207" i="87" a="1"/>
  <c r="K207" i="87" s="1"/>
  <c r="K272" i="87" s="1"/>
  <c r="J207" i="87" a="1"/>
  <c r="J207" i="87" s="1"/>
  <c r="J272" i="87" s="1"/>
  <c r="I207" i="87" a="1"/>
  <c r="I207" i="87" s="1"/>
  <c r="I272" i="87" s="1"/>
  <c r="H207" i="87" a="1"/>
  <c r="H207" i="87" s="1"/>
  <c r="H272" i="87" s="1"/>
  <c r="G207" i="87" a="1"/>
  <c r="G207" i="87" s="1"/>
  <c r="G272" i="87" s="1"/>
  <c r="F207" i="87" a="1"/>
  <c r="F207" i="87" s="1"/>
  <c r="F272" i="87" s="1"/>
  <c r="E207" i="87" a="1"/>
  <c r="E207" i="87" s="1"/>
  <c r="E272" i="87" s="1"/>
  <c r="D207" i="87" a="1"/>
  <c r="D207" i="87" s="1"/>
  <c r="P206" i="87" a="1"/>
  <c r="P206" i="87" s="1"/>
  <c r="P271" i="87" s="1"/>
  <c r="O206" i="87" a="1"/>
  <c r="O206" i="87" s="1"/>
  <c r="O271" i="87" s="1"/>
  <c r="N206" i="87" a="1"/>
  <c r="N206" i="87" s="1"/>
  <c r="N271" i="87" s="1"/>
  <c r="M206" i="87" a="1"/>
  <c r="M206" i="87" s="1"/>
  <c r="M271" i="87" s="1"/>
  <c r="L206" i="87" a="1"/>
  <c r="L206" i="87" s="1"/>
  <c r="L271" i="87" s="1"/>
  <c r="K206" i="87" a="1"/>
  <c r="K206" i="87" s="1"/>
  <c r="K271" i="87" s="1"/>
  <c r="J206" i="87" a="1"/>
  <c r="J206" i="87" s="1"/>
  <c r="J271" i="87" s="1"/>
  <c r="I206" i="87" a="1"/>
  <c r="I206" i="87" s="1"/>
  <c r="I271" i="87" s="1"/>
  <c r="H206" i="87" a="1"/>
  <c r="H206" i="87" s="1"/>
  <c r="H271" i="87" s="1"/>
  <c r="G206" i="87" a="1"/>
  <c r="G206" i="87" s="1"/>
  <c r="G271" i="87" s="1"/>
  <c r="F206" i="87" a="1"/>
  <c r="F206" i="87" s="1"/>
  <c r="F271" i="87" s="1"/>
  <c r="E206" i="87" a="1"/>
  <c r="E206" i="87" s="1"/>
  <c r="E271" i="87" s="1"/>
  <c r="D206" i="87" a="1"/>
  <c r="D206" i="87" s="1"/>
  <c r="P205" i="87" a="1"/>
  <c r="P205" i="87" s="1"/>
  <c r="P270" i="87" s="1"/>
  <c r="O205" i="87" a="1"/>
  <c r="O205" i="87" s="1"/>
  <c r="O270" i="87" s="1"/>
  <c r="N205" i="87" a="1"/>
  <c r="N205" i="87" s="1"/>
  <c r="N270" i="87" s="1"/>
  <c r="M205" i="87" a="1"/>
  <c r="M205" i="87" s="1"/>
  <c r="M270" i="87" s="1"/>
  <c r="L205" i="87" a="1"/>
  <c r="L205" i="87" s="1"/>
  <c r="L270" i="87" s="1"/>
  <c r="K205" i="87" a="1"/>
  <c r="K205" i="87" s="1"/>
  <c r="K270" i="87" s="1"/>
  <c r="J205" i="87" a="1"/>
  <c r="J205" i="87" s="1"/>
  <c r="J270" i="87" s="1"/>
  <c r="I205" i="87" a="1"/>
  <c r="I205" i="87" s="1"/>
  <c r="I270" i="87" s="1"/>
  <c r="H205" i="87" a="1"/>
  <c r="H205" i="87" s="1"/>
  <c r="H270" i="87" s="1"/>
  <c r="G205" i="87" a="1"/>
  <c r="G205" i="87" s="1"/>
  <c r="G270" i="87" s="1"/>
  <c r="F205" i="87" a="1"/>
  <c r="F205" i="87" s="1"/>
  <c r="F270" i="87" s="1"/>
  <c r="E205" i="87" a="1"/>
  <c r="E205" i="87" s="1"/>
  <c r="E270" i="87" s="1"/>
  <c r="D205" i="87" a="1"/>
  <c r="D205" i="87" s="1"/>
  <c r="P204" i="87" a="1"/>
  <c r="P204" i="87" s="1"/>
  <c r="P269" i="87" s="1"/>
  <c r="O204" i="87" a="1"/>
  <c r="O204" i="87" s="1"/>
  <c r="O269" i="87" s="1"/>
  <c r="N204" i="87" a="1"/>
  <c r="N204" i="87" s="1"/>
  <c r="N269" i="87" s="1"/>
  <c r="M204" i="87" a="1"/>
  <c r="M204" i="87" s="1"/>
  <c r="M269" i="87" s="1"/>
  <c r="L204" i="87" a="1"/>
  <c r="L204" i="87" s="1"/>
  <c r="L269" i="87" s="1"/>
  <c r="K204" i="87" a="1"/>
  <c r="K204" i="87" s="1"/>
  <c r="K269" i="87" s="1"/>
  <c r="J204" i="87" a="1"/>
  <c r="J204" i="87" s="1"/>
  <c r="J269" i="87" s="1"/>
  <c r="I204" i="87" a="1"/>
  <c r="I204" i="87" s="1"/>
  <c r="I269" i="87" s="1"/>
  <c r="H204" i="87" a="1"/>
  <c r="H204" i="87" s="1"/>
  <c r="H269" i="87" s="1"/>
  <c r="G204" i="87" a="1"/>
  <c r="G204" i="87" s="1"/>
  <c r="G269" i="87" s="1"/>
  <c r="F204" i="87" a="1"/>
  <c r="F204" i="87" s="1"/>
  <c r="F269" i="87" s="1"/>
  <c r="E204" i="87" a="1"/>
  <c r="E204" i="87" s="1"/>
  <c r="E269" i="87" s="1"/>
  <c r="D204" i="87" a="1"/>
  <c r="D204" i="87" s="1"/>
  <c r="P203" i="87" a="1"/>
  <c r="P203" i="87" s="1"/>
  <c r="P268" i="87" s="1"/>
  <c r="O203" i="87" a="1"/>
  <c r="O203" i="87" s="1"/>
  <c r="O268" i="87" s="1"/>
  <c r="N203" i="87" a="1"/>
  <c r="N203" i="87" s="1"/>
  <c r="N268" i="87" s="1"/>
  <c r="M203" i="87" a="1"/>
  <c r="M203" i="87" s="1"/>
  <c r="M268" i="87" s="1"/>
  <c r="L203" i="87" a="1"/>
  <c r="L203" i="87" s="1"/>
  <c r="L268" i="87" s="1"/>
  <c r="K203" i="87" a="1"/>
  <c r="K203" i="87" s="1"/>
  <c r="K268" i="87" s="1"/>
  <c r="J203" i="87" a="1"/>
  <c r="J203" i="87" s="1"/>
  <c r="J268" i="87" s="1"/>
  <c r="I203" i="87" a="1"/>
  <c r="I203" i="87" s="1"/>
  <c r="I268" i="87" s="1"/>
  <c r="H203" i="87" a="1"/>
  <c r="H203" i="87" s="1"/>
  <c r="H268" i="87" s="1"/>
  <c r="G203" i="87" a="1"/>
  <c r="G203" i="87" s="1"/>
  <c r="G268" i="87" s="1"/>
  <c r="F203" i="87" a="1"/>
  <c r="F203" i="87" s="1"/>
  <c r="F268" i="87" s="1"/>
  <c r="E203" i="87" a="1"/>
  <c r="E203" i="87" s="1"/>
  <c r="E268" i="87" s="1"/>
  <c r="D203" i="87" a="1"/>
  <c r="D203" i="87" s="1"/>
  <c r="P202" i="87" a="1"/>
  <c r="P202" i="87" s="1"/>
  <c r="P267" i="87" s="1"/>
  <c r="O202" i="87" a="1"/>
  <c r="O202" i="87" s="1"/>
  <c r="O267" i="87" s="1"/>
  <c r="N202" i="87" a="1"/>
  <c r="N202" i="87" s="1"/>
  <c r="N267" i="87" s="1"/>
  <c r="M202" i="87" a="1"/>
  <c r="M202" i="87" s="1"/>
  <c r="M267" i="87" s="1"/>
  <c r="L202" i="87" a="1"/>
  <c r="L202" i="87" s="1"/>
  <c r="L267" i="87" s="1"/>
  <c r="K202" i="87" a="1"/>
  <c r="K202" i="87" s="1"/>
  <c r="K267" i="87" s="1"/>
  <c r="J202" i="87" a="1"/>
  <c r="J202" i="87" s="1"/>
  <c r="J267" i="87" s="1"/>
  <c r="I202" i="87" a="1"/>
  <c r="I202" i="87" s="1"/>
  <c r="I267" i="87" s="1"/>
  <c r="H202" i="87" a="1"/>
  <c r="H202" i="87" s="1"/>
  <c r="H267" i="87" s="1"/>
  <c r="G202" i="87" a="1"/>
  <c r="G202" i="87" s="1"/>
  <c r="G267" i="87" s="1"/>
  <c r="F202" i="87" a="1"/>
  <c r="F202" i="87" s="1"/>
  <c r="F267" i="87" s="1"/>
  <c r="E202" i="87" a="1"/>
  <c r="E202" i="87" s="1"/>
  <c r="E267" i="87" s="1"/>
  <c r="D202" i="87" a="1"/>
  <c r="D202" i="87" s="1"/>
  <c r="P201" i="87" a="1"/>
  <c r="P201" i="87" s="1"/>
  <c r="P266" i="87" s="1"/>
  <c r="O201" i="87" a="1"/>
  <c r="O201" i="87" s="1"/>
  <c r="O266" i="87" s="1"/>
  <c r="N201" i="87" a="1"/>
  <c r="N201" i="87" s="1"/>
  <c r="N266" i="87" s="1"/>
  <c r="M201" i="87" a="1"/>
  <c r="M201" i="87" s="1"/>
  <c r="M266" i="87" s="1"/>
  <c r="L201" i="87" a="1"/>
  <c r="L201" i="87" s="1"/>
  <c r="L266" i="87" s="1"/>
  <c r="K201" i="87" a="1"/>
  <c r="K201" i="87" s="1"/>
  <c r="K266" i="87" s="1"/>
  <c r="J201" i="87" a="1"/>
  <c r="J201" i="87" s="1"/>
  <c r="J266" i="87" s="1"/>
  <c r="I201" i="87" a="1"/>
  <c r="I201" i="87" s="1"/>
  <c r="I266" i="87" s="1"/>
  <c r="H201" i="87" a="1"/>
  <c r="H201" i="87" s="1"/>
  <c r="H266" i="87" s="1"/>
  <c r="G201" i="87" a="1"/>
  <c r="G201" i="87" s="1"/>
  <c r="G266" i="87" s="1"/>
  <c r="F201" i="87" a="1"/>
  <c r="F201" i="87" s="1"/>
  <c r="F266" i="87" s="1"/>
  <c r="E201" i="87" a="1"/>
  <c r="E201" i="87" s="1"/>
  <c r="E266" i="87" s="1"/>
  <c r="D201" i="87" a="1"/>
  <c r="D201" i="87" s="1"/>
  <c r="P200" i="87" a="1"/>
  <c r="P200" i="87" s="1"/>
  <c r="P265" i="87" s="1"/>
  <c r="O200" i="87" a="1"/>
  <c r="O200" i="87" s="1"/>
  <c r="O265" i="87" s="1"/>
  <c r="N200" i="87" a="1"/>
  <c r="N200" i="87" s="1"/>
  <c r="N265" i="87" s="1"/>
  <c r="M200" i="87" a="1"/>
  <c r="M200" i="87" s="1"/>
  <c r="M265" i="87" s="1"/>
  <c r="L200" i="87" a="1"/>
  <c r="L200" i="87" s="1"/>
  <c r="L265" i="87" s="1"/>
  <c r="K200" i="87" a="1"/>
  <c r="K200" i="87" s="1"/>
  <c r="K265" i="87" s="1"/>
  <c r="J200" i="87" a="1"/>
  <c r="J200" i="87" s="1"/>
  <c r="J265" i="87" s="1"/>
  <c r="I200" i="87" a="1"/>
  <c r="I200" i="87" s="1"/>
  <c r="I265" i="87" s="1"/>
  <c r="H200" i="87" a="1"/>
  <c r="H200" i="87" s="1"/>
  <c r="H265" i="87" s="1"/>
  <c r="G200" i="87" a="1"/>
  <c r="G200" i="87" s="1"/>
  <c r="G265" i="87" s="1"/>
  <c r="F200" i="87" a="1"/>
  <c r="F200" i="87" s="1"/>
  <c r="F265" i="87" s="1"/>
  <c r="E200" i="87" a="1"/>
  <c r="E200" i="87" s="1"/>
  <c r="E265" i="87" s="1"/>
  <c r="D200" i="87" a="1"/>
  <c r="D200" i="87" s="1"/>
  <c r="P199" i="87" a="1"/>
  <c r="P199" i="87" s="1"/>
  <c r="P264" i="87" s="1"/>
  <c r="O199" i="87" a="1"/>
  <c r="O199" i="87" s="1"/>
  <c r="O264" i="87" s="1"/>
  <c r="N199" i="87" a="1"/>
  <c r="N199" i="87" s="1"/>
  <c r="N264" i="87" s="1"/>
  <c r="M199" i="87" a="1"/>
  <c r="M199" i="87" s="1"/>
  <c r="M264" i="87" s="1"/>
  <c r="L199" i="87" a="1"/>
  <c r="L199" i="87" s="1"/>
  <c r="L264" i="87" s="1"/>
  <c r="K199" i="87" a="1"/>
  <c r="K199" i="87" s="1"/>
  <c r="K264" i="87" s="1"/>
  <c r="J199" i="87" a="1"/>
  <c r="J199" i="87" s="1"/>
  <c r="J264" i="87" s="1"/>
  <c r="I199" i="87" a="1"/>
  <c r="I199" i="87" s="1"/>
  <c r="I264" i="87" s="1"/>
  <c r="H199" i="87" a="1"/>
  <c r="H199" i="87" s="1"/>
  <c r="H264" i="87" s="1"/>
  <c r="G199" i="87" a="1"/>
  <c r="G199" i="87" s="1"/>
  <c r="G264" i="87" s="1"/>
  <c r="F199" i="87" a="1"/>
  <c r="F199" i="87" s="1"/>
  <c r="F264" i="87" s="1"/>
  <c r="E199" i="87" a="1"/>
  <c r="E199" i="87" s="1"/>
  <c r="E264" i="87" s="1"/>
  <c r="D199" i="87" a="1"/>
  <c r="D199" i="87" s="1"/>
  <c r="P198" i="87" a="1"/>
  <c r="P198" i="87" s="1"/>
  <c r="P263" i="87" s="1"/>
  <c r="O198" i="87" a="1"/>
  <c r="O198" i="87" s="1"/>
  <c r="O263" i="87" s="1"/>
  <c r="N198" i="87" a="1"/>
  <c r="N198" i="87" s="1"/>
  <c r="N263" i="87" s="1"/>
  <c r="M198" i="87" a="1"/>
  <c r="M198" i="87" s="1"/>
  <c r="M263" i="87" s="1"/>
  <c r="L198" i="87" a="1"/>
  <c r="L198" i="87" s="1"/>
  <c r="L263" i="87" s="1"/>
  <c r="K198" i="87" a="1"/>
  <c r="K198" i="87" s="1"/>
  <c r="K263" i="87" s="1"/>
  <c r="J198" i="87" a="1"/>
  <c r="J198" i="87" s="1"/>
  <c r="J263" i="87" s="1"/>
  <c r="I198" i="87" a="1"/>
  <c r="I198" i="87" s="1"/>
  <c r="I263" i="87" s="1"/>
  <c r="H198" i="87" a="1"/>
  <c r="H198" i="87" s="1"/>
  <c r="H263" i="87" s="1"/>
  <c r="G198" i="87" a="1"/>
  <c r="G198" i="87" s="1"/>
  <c r="G263" i="87" s="1"/>
  <c r="F198" i="87" a="1"/>
  <c r="F198" i="87" s="1"/>
  <c r="F263" i="87" s="1"/>
  <c r="E198" i="87" a="1"/>
  <c r="E198" i="87" s="1"/>
  <c r="E263" i="87" s="1"/>
  <c r="D198" i="87" a="1"/>
  <c r="D198" i="87" s="1"/>
  <c r="P197" i="87" a="1"/>
  <c r="P197" i="87" s="1"/>
  <c r="P262" i="87" s="1"/>
  <c r="O197" i="87" a="1"/>
  <c r="O197" i="87" s="1"/>
  <c r="O262" i="87" s="1"/>
  <c r="N197" i="87" a="1"/>
  <c r="N197" i="87" s="1"/>
  <c r="N262" i="87" s="1"/>
  <c r="M197" i="87" a="1"/>
  <c r="M197" i="87" s="1"/>
  <c r="M262" i="87" s="1"/>
  <c r="L197" i="87" a="1"/>
  <c r="L197" i="87" s="1"/>
  <c r="L262" i="87" s="1"/>
  <c r="K197" i="87" a="1"/>
  <c r="K197" i="87" s="1"/>
  <c r="K262" i="87" s="1"/>
  <c r="J197" i="87" a="1"/>
  <c r="J197" i="87" s="1"/>
  <c r="J262" i="87" s="1"/>
  <c r="I197" i="87" a="1"/>
  <c r="I197" i="87" s="1"/>
  <c r="I262" i="87" s="1"/>
  <c r="H197" i="87" a="1"/>
  <c r="H197" i="87" s="1"/>
  <c r="H262" i="87" s="1"/>
  <c r="G197" i="87" a="1"/>
  <c r="G197" i="87" s="1"/>
  <c r="G262" i="87" s="1"/>
  <c r="F197" i="87" a="1"/>
  <c r="F197" i="87" s="1"/>
  <c r="F262" i="87" s="1"/>
  <c r="E197" i="87" a="1"/>
  <c r="E197" i="87" s="1"/>
  <c r="E262" i="87" s="1"/>
  <c r="D197" i="87" a="1"/>
  <c r="D197" i="87" s="1"/>
  <c r="P196" i="87" a="1"/>
  <c r="P196" i="87" s="1"/>
  <c r="P261" i="87" s="1"/>
  <c r="O196" i="87" a="1"/>
  <c r="O196" i="87" s="1"/>
  <c r="O261" i="87" s="1"/>
  <c r="N196" i="87" a="1"/>
  <c r="N196" i="87" s="1"/>
  <c r="N261" i="87" s="1"/>
  <c r="M196" i="87" a="1"/>
  <c r="M196" i="87" s="1"/>
  <c r="M261" i="87" s="1"/>
  <c r="L196" i="87" a="1"/>
  <c r="L196" i="87" s="1"/>
  <c r="L261" i="87" s="1"/>
  <c r="K196" i="87" a="1"/>
  <c r="K196" i="87" s="1"/>
  <c r="K261" i="87" s="1"/>
  <c r="J196" i="87" a="1"/>
  <c r="J196" i="87" s="1"/>
  <c r="J261" i="87" s="1"/>
  <c r="I196" i="87" a="1"/>
  <c r="I196" i="87" s="1"/>
  <c r="I261" i="87" s="1"/>
  <c r="H196" i="87" a="1"/>
  <c r="H196" i="87" s="1"/>
  <c r="H261" i="87" s="1"/>
  <c r="G196" i="87" a="1"/>
  <c r="G196" i="87" s="1"/>
  <c r="G261" i="87" s="1"/>
  <c r="F196" i="87" a="1"/>
  <c r="F196" i="87" s="1"/>
  <c r="F261" i="87" s="1"/>
  <c r="E196" i="87" a="1"/>
  <c r="E196" i="87" s="1"/>
  <c r="E261" i="87" s="1"/>
  <c r="D196" i="87" a="1"/>
  <c r="D196" i="87" s="1"/>
  <c r="P195" i="87" a="1"/>
  <c r="P195" i="87" s="1"/>
  <c r="P260" i="87" s="1"/>
  <c r="O195" i="87" a="1"/>
  <c r="O195" i="87" s="1"/>
  <c r="O260" i="87" s="1"/>
  <c r="N195" i="87" a="1"/>
  <c r="N195" i="87" s="1"/>
  <c r="N260" i="87" s="1"/>
  <c r="M195" i="87" a="1"/>
  <c r="M195" i="87" s="1"/>
  <c r="M260" i="87" s="1"/>
  <c r="L195" i="87" a="1"/>
  <c r="L195" i="87" s="1"/>
  <c r="L260" i="87" s="1"/>
  <c r="K195" i="87" a="1"/>
  <c r="K195" i="87" s="1"/>
  <c r="K260" i="87" s="1"/>
  <c r="J195" i="87" a="1"/>
  <c r="J195" i="87" s="1"/>
  <c r="J260" i="87" s="1"/>
  <c r="I195" i="87" a="1"/>
  <c r="I195" i="87" s="1"/>
  <c r="I260" i="87" s="1"/>
  <c r="H195" i="87" a="1"/>
  <c r="H195" i="87" s="1"/>
  <c r="H260" i="87" s="1"/>
  <c r="G195" i="87" a="1"/>
  <c r="G195" i="87" s="1"/>
  <c r="G260" i="87" s="1"/>
  <c r="F195" i="87" a="1"/>
  <c r="F195" i="87" s="1"/>
  <c r="F260" i="87" s="1"/>
  <c r="E195" i="87" a="1"/>
  <c r="E195" i="87" s="1"/>
  <c r="E260" i="87" s="1"/>
  <c r="D195" i="87" a="1"/>
  <c r="D195" i="87" s="1"/>
  <c r="P194" i="87" a="1"/>
  <c r="P194" i="87" s="1"/>
  <c r="P259" i="87" s="1"/>
  <c r="O194" i="87" a="1"/>
  <c r="O194" i="87" s="1"/>
  <c r="O259" i="87" s="1"/>
  <c r="N194" i="87" a="1"/>
  <c r="N194" i="87" s="1"/>
  <c r="N259" i="87" s="1"/>
  <c r="M194" i="87" a="1"/>
  <c r="M194" i="87" s="1"/>
  <c r="M259" i="87" s="1"/>
  <c r="L194" i="87" a="1"/>
  <c r="L194" i="87" s="1"/>
  <c r="L259" i="87" s="1"/>
  <c r="K194" i="87" a="1"/>
  <c r="K194" i="87" s="1"/>
  <c r="K259" i="87" s="1"/>
  <c r="J194" i="87" a="1"/>
  <c r="J194" i="87" s="1"/>
  <c r="J259" i="87" s="1"/>
  <c r="I194" i="87" a="1"/>
  <c r="I194" i="87" s="1"/>
  <c r="I259" i="87" s="1"/>
  <c r="H194" i="87" a="1"/>
  <c r="H194" i="87" s="1"/>
  <c r="H259" i="87" s="1"/>
  <c r="G194" i="87" a="1"/>
  <c r="G194" i="87" s="1"/>
  <c r="G259" i="87" s="1"/>
  <c r="F194" i="87" a="1"/>
  <c r="F194" i="87" s="1"/>
  <c r="F259" i="87" s="1"/>
  <c r="E194" i="87" a="1"/>
  <c r="E194" i="87" s="1"/>
  <c r="E259" i="87" s="1"/>
  <c r="D194" i="87" a="1"/>
  <c r="D194" i="87" s="1"/>
  <c r="P193" i="87" a="1"/>
  <c r="P193" i="87" s="1"/>
  <c r="P258" i="87" s="1"/>
  <c r="O193" i="87" a="1"/>
  <c r="O193" i="87" s="1"/>
  <c r="O258" i="87" s="1"/>
  <c r="N193" i="87" a="1"/>
  <c r="N193" i="87" s="1"/>
  <c r="N258" i="87" s="1"/>
  <c r="M193" i="87" a="1"/>
  <c r="M193" i="87" s="1"/>
  <c r="M258" i="87" s="1"/>
  <c r="L193" i="87" a="1"/>
  <c r="L193" i="87" s="1"/>
  <c r="L258" i="87" s="1"/>
  <c r="K193" i="87" a="1"/>
  <c r="K193" i="87" s="1"/>
  <c r="K258" i="87" s="1"/>
  <c r="J193" i="87" a="1"/>
  <c r="J193" i="87" s="1"/>
  <c r="J258" i="87" s="1"/>
  <c r="I193" i="87" a="1"/>
  <c r="I193" i="87" s="1"/>
  <c r="I258" i="87" s="1"/>
  <c r="H193" i="87" a="1"/>
  <c r="H193" i="87" s="1"/>
  <c r="H258" i="87" s="1"/>
  <c r="G193" i="87" a="1"/>
  <c r="G193" i="87" s="1"/>
  <c r="G258" i="87" s="1"/>
  <c r="F193" i="87" a="1"/>
  <c r="F193" i="87" s="1"/>
  <c r="F258" i="87" s="1"/>
  <c r="E193" i="87" a="1"/>
  <c r="E193" i="87" s="1"/>
  <c r="E258" i="87" s="1"/>
  <c r="D193" i="87" a="1"/>
  <c r="D193" i="87" s="1"/>
  <c r="P192" i="87" a="1"/>
  <c r="P192" i="87" s="1"/>
  <c r="P257" i="87" s="1"/>
  <c r="O192" i="87" a="1"/>
  <c r="O192" i="87" s="1"/>
  <c r="O257" i="87" s="1"/>
  <c r="N192" i="87" a="1"/>
  <c r="N192" i="87" s="1"/>
  <c r="N257" i="87" s="1"/>
  <c r="M192" i="87" a="1"/>
  <c r="M192" i="87" s="1"/>
  <c r="M257" i="87" s="1"/>
  <c r="L192" i="87" a="1"/>
  <c r="L192" i="87" s="1"/>
  <c r="L257" i="87" s="1"/>
  <c r="K192" i="87" a="1"/>
  <c r="K192" i="87" s="1"/>
  <c r="K257" i="87" s="1"/>
  <c r="J192" i="87" a="1"/>
  <c r="J192" i="87" s="1"/>
  <c r="J257" i="87" s="1"/>
  <c r="I192" i="87" a="1"/>
  <c r="I192" i="87" s="1"/>
  <c r="I257" i="87" s="1"/>
  <c r="H192" i="87" a="1"/>
  <c r="H192" i="87" s="1"/>
  <c r="H257" i="87" s="1"/>
  <c r="G192" i="87" a="1"/>
  <c r="G192" i="87" s="1"/>
  <c r="G257" i="87" s="1"/>
  <c r="F192" i="87" a="1"/>
  <c r="F192" i="87" s="1"/>
  <c r="F257" i="87" s="1"/>
  <c r="E192" i="87" a="1"/>
  <c r="E192" i="87" s="1"/>
  <c r="E257" i="87" s="1"/>
  <c r="D192" i="87" a="1"/>
  <c r="D192" i="87" s="1"/>
  <c r="P191" i="87" a="1"/>
  <c r="P191" i="87" s="1"/>
  <c r="P256" i="87" s="1"/>
  <c r="O191" i="87" a="1"/>
  <c r="O191" i="87" s="1"/>
  <c r="O256" i="87" s="1"/>
  <c r="N191" i="87" a="1"/>
  <c r="N191" i="87" s="1"/>
  <c r="N256" i="87" s="1"/>
  <c r="M191" i="87" a="1"/>
  <c r="M191" i="87" s="1"/>
  <c r="M256" i="87" s="1"/>
  <c r="L191" i="87" a="1"/>
  <c r="L191" i="87" s="1"/>
  <c r="L256" i="87" s="1"/>
  <c r="K191" i="87" a="1"/>
  <c r="K191" i="87" s="1"/>
  <c r="K256" i="87" s="1"/>
  <c r="J191" i="87" a="1"/>
  <c r="J191" i="87" s="1"/>
  <c r="J256" i="87" s="1"/>
  <c r="I191" i="87" a="1"/>
  <c r="I191" i="87" s="1"/>
  <c r="I256" i="87" s="1"/>
  <c r="H191" i="87" a="1"/>
  <c r="H191" i="87" s="1"/>
  <c r="H256" i="87" s="1"/>
  <c r="G191" i="87" a="1"/>
  <c r="G191" i="87" s="1"/>
  <c r="G256" i="87" s="1"/>
  <c r="F191" i="87" a="1"/>
  <c r="F191" i="87" s="1"/>
  <c r="F256" i="87" s="1"/>
  <c r="E191" i="87" a="1"/>
  <c r="E191" i="87" s="1"/>
  <c r="E256" i="87" s="1"/>
  <c r="D191" i="87" a="1"/>
  <c r="D191" i="87" s="1"/>
  <c r="P190" i="87" a="1"/>
  <c r="P190" i="87" s="1"/>
  <c r="P255" i="87" s="1"/>
  <c r="O190" i="87" a="1"/>
  <c r="O190" i="87" s="1"/>
  <c r="O255" i="87" s="1"/>
  <c r="N190" i="87" a="1"/>
  <c r="N190" i="87" s="1"/>
  <c r="N255" i="87" s="1"/>
  <c r="M190" i="87" a="1"/>
  <c r="M190" i="87" s="1"/>
  <c r="M255" i="87" s="1"/>
  <c r="L190" i="87" a="1"/>
  <c r="L190" i="87" s="1"/>
  <c r="L255" i="87" s="1"/>
  <c r="K190" i="87" a="1"/>
  <c r="K190" i="87" s="1"/>
  <c r="K255" i="87" s="1"/>
  <c r="J190" i="87" a="1"/>
  <c r="J190" i="87" s="1"/>
  <c r="J255" i="87" s="1"/>
  <c r="I190" i="87" a="1"/>
  <c r="I190" i="87" s="1"/>
  <c r="I255" i="87" s="1"/>
  <c r="H190" i="87" a="1"/>
  <c r="H190" i="87" s="1"/>
  <c r="H255" i="87" s="1"/>
  <c r="G190" i="87" a="1"/>
  <c r="G190" i="87" s="1"/>
  <c r="G255" i="87" s="1"/>
  <c r="F190" i="87" a="1"/>
  <c r="F190" i="87" s="1"/>
  <c r="F255" i="87" s="1"/>
  <c r="E190" i="87" a="1"/>
  <c r="E190" i="87" s="1"/>
  <c r="E255" i="87" s="1"/>
  <c r="D190" i="87" a="1"/>
  <c r="D190" i="87" s="1"/>
  <c r="D188" i="87" a="1"/>
  <c r="D188" i="87" s="1"/>
  <c r="D187" i="87" a="1"/>
  <c r="D187" i="87" s="1"/>
  <c r="D186" i="87" a="1"/>
  <c r="D186" i="87" s="1"/>
  <c r="D185" i="87" a="1"/>
  <c r="D185" i="87" s="1"/>
  <c r="M182" i="87" a="1"/>
  <c r="M182" i="87" s="1"/>
  <c r="L182" i="87" a="1"/>
  <c r="L182" i="87" s="1"/>
  <c r="M254" i="87" s="1"/>
  <c r="K182" i="87" a="1"/>
  <c r="K182" i="87" s="1"/>
  <c r="J182" i="87" a="1"/>
  <c r="J182" i="87" s="1"/>
  <c r="J254" i="87" s="1"/>
  <c r="I182" i="87" a="1"/>
  <c r="I182" i="87" s="1"/>
  <c r="I254" i="87" s="1"/>
  <c r="H182" i="87" a="1"/>
  <c r="H182" i="87" s="1"/>
  <c r="H254" i="87" s="1"/>
  <c r="G182" i="87" a="1"/>
  <c r="G182" i="87" s="1"/>
  <c r="G254" i="87" s="1"/>
  <c r="F182" i="87" a="1"/>
  <c r="F182" i="87" s="1"/>
  <c r="F254" i="87" s="1"/>
  <c r="E182" i="87" a="1"/>
  <c r="E182" i="87" s="1"/>
  <c r="E254" i="87" s="1"/>
  <c r="D182" i="87" a="1"/>
  <c r="D182" i="87" s="1"/>
  <c r="M181" i="87" a="1"/>
  <c r="M181" i="87" s="1"/>
  <c r="L181" i="87" a="1"/>
  <c r="L181" i="87" s="1"/>
  <c r="M253" i="87" s="1"/>
  <c r="K181" i="87" a="1"/>
  <c r="K181" i="87" s="1"/>
  <c r="J181" i="87" a="1"/>
  <c r="J181" i="87" s="1"/>
  <c r="J253" i="87" s="1"/>
  <c r="I181" i="87" a="1"/>
  <c r="I181" i="87" s="1"/>
  <c r="I253" i="87" s="1"/>
  <c r="H181" i="87" a="1"/>
  <c r="H181" i="87" s="1"/>
  <c r="H253" i="87" s="1"/>
  <c r="G181" i="87" a="1"/>
  <c r="G181" i="87" s="1"/>
  <c r="G253" i="87" s="1"/>
  <c r="F181" i="87" a="1"/>
  <c r="F181" i="87" s="1"/>
  <c r="F253" i="87" s="1"/>
  <c r="E181" i="87" a="1"/>
  <c r="E181" i="87" s="1"/>
  <c r="E253" i="87" s="1"/>
  <c r="D181" i="87" a="1"/>
  <c r="D181" i="87" s="1"/>
  <c r="M180" i="87" a="1"/>
  <c r="M180" i="87" s="1"/>
  <c r="L180" i="87" a="1"/>
  <c r="L180" i="87" s="1"/>
  <c r="M252" i="87" s="1"/>
  <c r="K180" i="87" a="1"/>
  <c r="K180" i="87" s="1"/>
  <c r="J180" i="87" a="1"/>
  <c r="J180" i="87" s="1"/>
  <c r="J252" i="87" s="1"/>
  <c r="I180" i="87" a="1"/>
  <c r="I180" i="87" s="1"/>
  <c r="I252" i="87" s="1"/>
  <c r="H180" i="87" a="1"/>
  <c r="H180" i="87" s="1"/>
  <c r="H252" i="87" s="1"/>
  <c r="G180" i="87" a="1"/>
  <c r="G180" i="87" s="1"/>
  <c r="G252" i="87" s="1"/>
  <c r="F180" i="87" a="1"/>
  <c r="F180" i="87" s="1"/>
  <c r="F252" i="87" s="1"/>
  <c r="E180" i="87" a="1"/>
  <c r="E180" i="87" s="1"/>
  <c r="E252" i="87" s="1"/>
  <c r="D180" i="87" a="1"/>
  <c r="D180" i="87" s="1"/>
  <c r="M179" i="87" a="1"/>
  <c r="M179" i="87" s="1"/>
  <c r="L179" i="87" a="1"/>
  <c r="L179" i="87" s="1"/>
  <c r="M251" i="87" s="1"/>
  <c r="K179" i="87" a="1"/>
  <c r="K179" i="87" s="1"/>
  <c r="J179" i="87" a="1"/>
  <c r="J179" i="87" s="1"/>
  <c r="J251" i="87" s="1"/>
  <c r="I179" i="87" a="1"/>
  <c r="I179" i="87" s="1"/>
  <c r="I251" i="87" s="1"/>
  <c r="H179" i="87" a="1"/>
  <c r="H179" i="87" s="1"/>
  <c r="H251" i="87" s="1"/>
  <c r="G179" i="87" a="1"/>
  <c r="G179" i="87" s="1"/>
  <c r="G251" i="87" s="1"/>
  <c r="F179" i="87" a="1"/>
  <c r="F179" i="87" s="1"/>
  <c r="F251" i="87" s="1"/>
  <c r="E179" i="87" a="1"/>
  <c r="E179" i="87" s="1"/>
  <c r="E251" i="87" s="1"/>
  <c r="D179" i="87" a="1"/>
  <c r="D179" i="87" s="1"/>
  <c r="M178" i="87" a="1"/>
  <c r="M178" i="87" s="1"/>
  <c r="L178" i="87" a="1"/>
  <c r="L178" i="87" s="1"/>
  <c r="M250" i="87" s="1"/>
  <c r="K178" i="87" a="1"/>
  <c r="K178" i="87" s="1"/>
  <c r="J178" i="87" a="1"/>
  <c r="J178" i="87" s="1"/>
  <c r="J250" i="87" s="1"/>
  <c r="I178" i="87" a="1"/>
  <c r="I178" i="87" s="1"/>
  <c r="I250" i="87" s="1"/>
  <c r="H178" i="87" a="1"/>
  <c r="H178" i="87" s="1"/>
  <c r="H250" i="87" s="1"/>
  <c r="G178" i="87" a="1"/>
  <c r="G178" i="87" s="1"/>
  <c r="G250" i="87" s="1"/>
  <c r="F178" i="87" a="1"/>
  <c r="F178" i="87" s="1"/>
  <c r="F250" i="87" s="1"/>
  <c r="E178" i="87" a="1"/>
  <c r="E178" i="87" s="1"/>
  <c r="E250" i="87" s="1"/>
  <c r="D178" i="87" a="1"/>
  <c r="D178" i="87" s="1"/>
  <c r="M177" i="87" a="1"/>
  <c r="M177" i="87" s="1"/>
  <c r="L177" i="87" a="1"/>
  <c r="L177" i="87" s="1"/>
  <c r="M249" i="87" s="1"/>
  <c r="K177" i="87" a="1"/>
  <c r="K177" i="87" s="1"/>
  <c r="J177" i="87" a="1"/>
  <c r="J177" i="87" s="1"/>
  <c r="J249" i="87" s="1"/>
  <c r="I177" i="87" a="1"/>
  <c r="I177" i="87" s="1"/>
  <c r="I249" i="87" s="1"/>
  <c r="H177" i="87" a="1"/>
  <c r="H177" i="87" s="1"/>
  <c r="H249" i="87" s="1"/>
  <c r="G177" i="87" a="1"/>
  <c r="G177" i="87" s="1"/>
  <c r="G249" i="87" s="1"/>
  <c r="F177" i="87" a="1"/>
  <c r="F177" i="87" s="1"/>
  <c r="F249" i="87" s="1"/>
  <c r="E177" i="87" a="1"/>
  <c r="E177" i="87" s="1"/>
  <c r="E249" i="87" s="1"/>
  <c r="D177" i="87" a="1"/>
  <c r="D177" i="87" s="1"/>
  <c r="M176" i="87" a="1"/>
  <c r="M176" i="87" s="1"/>
  <c r="L176" i="87" a="1"/>
  <c r="L176" i="87" s="1"/>
  <c r="M248" i="87" s="1"/>
  <c r="K176" i="87" a="1"/>
  <c r="K176" i="87" s="1"/>
  <c r="J176" i="87" a="1"/>
  <c r="J176" i="87" s="1"/>
  <c r="J248" i="87" s="1"/>
  <c r="I176" i="87" a="1"/>
  <c r="I176" i="87" s="1"/>
  <c r="I248" i="87" s="1"/>
  <c r="H176" i="87" a="1"/>
  <c r="H176" i="87" s="1"/>
  <c r="H248" i="87" s="1"/>
  <c r="G176" i="87" a="1"/>
  <c r="G176" i="87" s="1"/>
  <c r="G248" i="87" s="1"/>
  <c r="F176" i="87" a="1"/>
  <c r="F176" i="87" s="1"/>
  <c r="F248" i="87" s="1"/>
  <c r="E176" i="87" a="1"/>
  <c r="E176" i="87" s="1"/>
  <c r="E248" i="87" s="1"/>
  <c r="D176" i="87" a="1"/>
  <c r="D176" i="87" s="1"/>
  <c r="M175" i="87" a="1"/>
  <c r="M175" i="87" s="1"/>
  <c r="L175" i="87" a="1"/>
  <c r="L175" i="87" s="1"/>
  <c r="M247" i="87" s="1"/>
  <c r="K175" i="87" a="1"/>
  <c r="K175" i="87" s="1"/>
  <c r="J175" i="87" a="1"/>
  <c r="J175" i="87" s="1"/>
  <c r="J247" i="87" s="1"/>
  <c r="I175" i="87" a="1"/>
  <c r="I175" i="87" s="1"/>
  <c r="I247" i="87" s="1"/>
  <c r="H175" i="87" a="1"/>
  <c r="H175" i="87" s="1"/>
  <c r="H247" i="87" s="1"/>
  <c r="G175" i="87" a="1"/>
  <c r="G175" i="87" s="1"/>
  <c r="G247" i="87" s="1"/>
  <c r="F175" i="87" a="1"/>
  <c r="F175" i="87" s="1"/>
  <c r="F247" i="87" s="1"/>
  <c r="E175" i="87" a="1"/>
  <c r="E175" i="87" s="1"/>
  <c r="E247" i="87" s="1"/>
  <c r="D175" i="87" a="1"/>
  <c r="D175" i="87" s="1"/>
  <c r="M174" i="87" a="1"/>
  <c r="M174" i="87" s="1"/>
  <c r="L174" i="87" a="1"/>
  <c r="L174" i="87" s="1"/>
  <c r="M246" i="87" s="1"/>
  <c r="K174" i="87" a="1"/>
  <c r="K174" i="87" s="1"/>
  <c r="J174" i="87" a="1"/>
  <c r="J174" i="87" s="1"/>
  <c r="J246" i="87" s="1"/>
  <c r="I174" i="87" a="1"/>
  <c r="I174" i="87" s="1"/>
  <c r="I246" i="87" s="1"/>
  <c r="H174" i="87" a="1"/>
  <c r="H174" i="87" s="1"/>
  <c r="H246" i="87" s="1"/>
  <c r="G174" i="87" a="1"/>
  <c r="G174" i="87" s="1"/>
  <c r="G246" i="87" s="1"/>
  <c r="F174" i="87" a="1"/>
  <c r="F174" i="87" s="1"/>
  <c r="F246" i="87" s="1"/>
  <c r="E174" i="87" a="1"/>
  <c r="E174" i="87" s="1"/>
  <c r="E246" i="87" s="1"/>
  <c r="D174" i="87" a="1"/>
  <c r="D174" i="87" s="1"/>
  <c r="M173" i="87" a="1"/>
  <c r="M173" i="87" s="1"/>
  <c r="L173" i="87" a="1"/>
  <c r="L173" i="87" s="1"/>
  <c r="M245" i="87" s="1"/>
  <c r="K173" i="87" a="1"/>
  <c r="K173" i="87" s="1"/>
  <c r="J173" i="87" a="1"/>
  <c r="J173" i="87" s="1"/>
  <c r="J245" i="87" s="1"/>
  <c r="I173" i="87" a="1"/>
  <c r="I173" i="87" s="1"/>
  <c r="I245" i="87" s="1"/>
  <c r="H173" i="87" a="1"/>
  <c r="H173" i="87" s="1"/>
  <c r="H245" i="87" s="1"/>
  <c r="G173" i="87" a="1"/>
  <c r="G173" i="87" s="1"/>
  <c r="G245" i="87" s="1"/>
  <c r="F173" i="87" a="1"/>
  <c r="F173" i="87" s="1"/>
  <c r="F245" i="87" s="1"/>
  <c r="E173" i="87" a="1"/>
  <c r="E173" i="87" s="1"/>
  <c r="E245" i="87" s="1"/>
  <c r="D173" i="87" a="1"/>
  <c r="D173" i="87" s="1"/>
  <c r="M172" i="87" a="1"/>
  <c r="M172" i="87" s="1"/>
  <c r="L172" i="87" a="1"/>
  <c r="L172" i="87" s="1"/>
  <c r="M244" i="87" s="1"/>
  <c r="K172" i="87" a="1"/>
  <c r="K172" i="87" s="1"/>
  <c r="J172" i="87" a="1"/>
  <c r="J172" i="87" s="1"/>
  <c r="J244" i="87" s="1"/>
  <c r="I172" i="87" a="1"/>
  <c r="I172" i="87" s="1"/>
  <c r="I244" i="87" s="1"/>
  <c r="H172" i="87" a="1"/>
  <c r="H172" i="87" s="1"/>
  <c r="H244" i="87" s="1"/>
  <c r="G172" i="87" a="1"/>
  <c r="G172" i="87" s="1"/>
  <c r="G244" i="87" s="1"/>
  <c r="F172" i="87" a="1"/>
  <c r="F172" i="87" s="1"/>
  <c r="F244" i="87" s="1"/>
  <c r="E172" i="87" a="1"/>
  <c r="E172" i="87" s="1"/>
  <c r="E244" i="87" s="1"/>
  <c r="D172" i="87" a="1"/>
  <c r="D172" i="87" s="1"/>
  <c r="M171" i="87" a="1"/>
  <c r="M171" i="87" s="1"/>
  <c r="L171" i="87" a="1"/>
  <c r="L171" i="87" s="1"/>
  <c r="M243" i="87" s="1"/>
  <c r="K171" i="87" a="1"/>
  <c r="K171" i="87" s="1"/>
  <c r="J171" i="87" a="1"/>
  <c r="J171" i="87" s="1"/>
  <c r="J243" i="87" s="1"/>
  <c r="I171" i="87" a="1"/>
  <c r="I171" i="87" s="1"/>
  <c r="I243" i="87" s="1"/>
  <c r="H171" i="87" a="1"/>
  <c r="H171" i="87" s="1"/>
  <c r="H243" i="87" s="1"/>
  <c r="G171" i="87" a="1"/>
  <c r="G171" i="87" s="1"/>
  <c r="G243" i="87" s="1"/>
  <c r="F171" i="87" a="1"/>
  <c r="F171" i="87" s="1"/>
  <c r="F243" i="87" s="1"/>
  <c r="E171" i="87" a="1"/>
  <c r="E171" i="87" s="1"/>
  <c r="E243" i="87" s="1"/>
  <c r="D171" i="87" a="1"/>
  <c r="D171" i="87" s="1"/>
  <c r="M170" i="87" a="1"/>
  <c r="M170" i="87" s="1"/>
  <c r="L170" i="87" a="1"/>
  <c r="L170" i="87" s="1"/>
  <c r="M242" i="87" s="1"/>
  <c r="K170" i="87" a="1"/>
  <c r="K170" i="87" s="1"/>
  <c r="J170" i="87" a="1"/>
  <c r="J170" i="87" s="1"/>
  <c r="J242" i="87" s="1"/>
  <c r="I170" i="87" a="1"/>
  <c r="I170" i="87" s="1"/>
  <c r="I242" i="87" s="1"/>
  <c r="H170" i="87" a="1"/>
  <c r="H170" i="87" s="1"/>
  <c r="H242" i="87" s="1"/>
  <c r="G170" i="87" a="1"/>
  <c r="G170" i="87" s="1"/>
  <c r="G242" i="87" s="1"/>
  <c r="F170" i="87" a="1"/>
  <c r="F170" i="87" s="1"/>
  <c r="F242" i="87" s="1"/>
  <c r="E170" i="87" a="1"/>
  <c r="E170" i="87" s="1"/>
  <c r="D170" i="87" a="1"/>
  <c r="D170" i="87" s="1"/>
  <c r="M169" i="87" a="1"/>
  <c r="M169" i="87" s="1"/>
  <c r="L169" i="87" a="1"/>
  <c r="L169" i="87" s="1"/>
  <c r="M241" i="87" s="1"/>
  <c r="K169" i="87" a="1"/>
  <c r="K169" i="87" s="1"/>
  <c r="J169" i="87" a="1"/>
  <c r="J169" i="87" s="1"/>
  <c r="J241" i="87" s="1"/>
  <c r="I169" i="87" a="1"/>
  <c r="I169" i="87" s="1"/>
  <c r="I241" i="87" s="1"/>
  <c r="H169" i="87" a="1"/>
  <c r="H169" i="87" s="1"/>
  <c r="H241" i="87" s="1"/>
  <c r="G169" i="87" a="1"/>
  <c r="G169" i="87" s="1"/>
  <c r="G241" i="87" s="1"/>
  <c r="F169" i="87" a="1"/>
  <c r="F169" i="87" s="1"/>
  <c r="F241" i="87" s="1"/>
  <c r="E169" i="87" a="1"/>
  <c r="E169" i="87" s="1"/>
  <c r="D169" i="87" a="1"/>
  <c r="D169" i="87" s="1"/>
  <c r="M168" i="87" a="1"/>
  <c r="M168" i="87" s="1"/>
  <c r="L168" i="87" a="1"/>
  <c r="L168" i="87" s="1"/>
  <c r="M240" i="87" s="1"/>
  <c r="K168" i="87" a="1"/>
  <c r="K168" i="87" s="1"/>
  <c r="J168" i="87" a="1"/>
  <c r="J168" i="87" s="1"/>
  <c r="J240" i="87" s="1"/>
  <c r="I168" i="87" a="1"/>
  <c r="I168" i="87" s="1"/>
  <c r="I240" i="87" s="1"/>
  <c r="H168" i="87" a="1"/>
  <c r="H168" i="87" s="1"/>
  <c r="H240" i="87" s="1"/>
  <c r="G168" i="87" a="1"/>
  <c r="G168" i="87" s="1"/>
  <c r="G240" i="87" s="1"/>
  <c r="F168" i="87" a="1"/>
  <c r="F168" i="87" s="1"/>
  <c r="F240" i="87" s="1"/>
  <c r="E168" i="87" a="1"/>
  <c r="E168" i="87" s="1"/>
  <c r="D168" i="87" a="1"/>
  <c r="D168" i="87" s="1"/>
  <c r="M167" i="87" a="1"/>
  <c r="M167" i="87" s="1"/>
  <c r="L167" i="87" a="1"/>
  <c r="L167" i="87" s="1"/>
  <c r="M239" i="87" s="1"/>
  <c r="K167" i="87" a="1"/>
  <c r="K167" i="87" s="1"/>
  <c r="J167" i="87" a="1"/>
  <c r="J167" i="87" s="1"/>
  <c r="J239" i="87" s="1"/>
  <c r="I167" i="87" a="1"/>
  <c r="I167" i="87" s="1"/>
  <c r="I239" i="87" s="1"/>
  <c r="H167" i="87" a="1"/>
  <c r="H167" i="87" s="1"/>
  <c r="H239" i="87" s="1"/>
  <c r="G167" i="87" a="1"/>
  <c r="G167" i="87" s="1"/>
  <c r="G239" i="87" s="1"/>
  <c r="F167" i="87" a="1"/>
  <c r="F167" i="87" s="1"/>
  <c r="F239" i="87" s="1"/>
  <c r="E167" i="87" a="1"/>
  <c r="E167" i="87" s="1"/>
  <c r="D167" i="87" a="1"/>
  <c r="D167" i="87" s="1"/>
  <c r="M166" i="87" a="1"/>
  <c r="M166" i="87" s="1"/>
  <c r="L166" i="87" a="1"/>
  <c r="L166" i="87" s="1"/>
  <c r="M238" i="87" s="1"/>
  <c r="K166" i="87" a="1"/>
  <c r="K166" i="87" s="1"/>
  <c r="J166" i="87" a="1"/>
  <c r="J166" i="87" s="1"/>
  <c r="J238" i="87" s="1"/>
  <c r="I166" i="87" a="1"/>
  <c r="I166" i="87" s="1"/>
  <c r="I238" i="87" s="1"/>
  <c r="H166" i="87" a="1"/>
  <c r="H166" i="87" s="1"/>
  <c r="H238" i="87" s="1"/>
  <c r="G166" i="87" a="1"/>
  <c r="G166" i="87" s="1"/>
  <c r="G238" i="87" s="1"/>
  <c r="F166" i="87" a="1"/>
  <c r="F166" i="87" s="1"/>
  <c r="F238" i="87" s="1"/>
  <c r="E166" i="87" a="1"/>
  <c r="E166" i="87" s="1"/>
  <c r="D166" i="87" a="1"/>
  <c r="D166" i="87" s="1"/>
  <c r="M165" i="87" a="1"/>
  <c r="M165" i="87" s="1"/>
  <c r="L165" i="87" a="1"/>
  <c r="L165" i="87" s="1"/>
  <c r="M237" i="87" s="1"/>
  <c r="K165" i="87" a="1"/>
  <c r="K165" i="87" s="1"/>
  <c r="J165" i="87" a="1"/>
  <c r="J165" i="87" s="1"/>
  <c r="J237" i="87" s="1"/>
  <c r="I165" i="87" a="1"/>
  <c r="I165" i="87" s="1"/>
  <c r="I237" i="87" s="1"/>
  <c r="H165" i="87" a="1"/>
  <c r="H165" i="87" s="1"/>
  <c r="H237" i="87" s="1"/>
  <c r="G165" i="87" a="1"/>
  <c r="G165" i="87" s="1"/>
  <c r="G237" i="87" s="1"/>
  <c r="F165" i="87" a="1"/>
  <c r="F165" i="87" s="1"/>
  <c r="F237" i="87" s="1"/>
  <c r="E165" i="87" a="1"/>
  <c r="E165" i="87" s="1"/>
  <c r="D165" i="87" a="1"/>
  <c r="D165" i="87" s="1"/>
  <c r="M164" i="87" a="1"/>
  <c r="M164" i="87" s="1"/>
  <c r="L164" i="87" a="1"/>
  <c r="L164" i="87" s="1"/>
  <c r="M236" i="87" s="1"/>
  <c r="K164" i="87" a="1"/>
  <c r="K164" i="87" s="1"/>
  <c r="J164" i="87" a="1"/>
  <c r="J164" i="87" s="1"/>
  <c r="J236" i="87" s="1"/>
  <c r="I164" i="87" a="1"/>
  <c r="I164" i="87" s="1"/>
  <c r="I236" i="87" s="1"/>
  <c r="H164" i="87" a="1"/>
  <c r="H164" i="87" s="1"/>
  <c r="H236" i="87" s="1"/>
  <c r="G164" i="87" a="1"/>
  <c r="G164" i="87" s="1"/>
  <c r="G236" i="87" s="1"/>
  <c r="F164" i="87" a="1"/>
  <c r="F164" i="87" s="1"/>
  <c r="F236" i="87" s="1"/>
  <c r="E164" i="87" a="1"/>
  <c r="E164" i="87" s="1"/>
  <c r="D164" i="87" a="1"/>
  <c r="D164" i="87" s="1"/>
  <c r="M163" i="87" a="1"/>
  <c r="M163" i="87" s="1"/>
  <c r="L163" i="87" a="1"/>
  <c r="L163" i="87" s="1"/>
  <c r="M235" i="87" s="1"/>
  <c r="K163" i="87" a="1"/>
  <c r="K163" i="87" s="1"/>
  <c r="J163" i="87" a="1"/>
  <c r="J163" i="87" s="1"/>
  <c r="J235" i="87" s="1"/>
  <c r="I163" i="87" a="1"/>
  <c r="I163" i="87" s="1"/>
  <c r="I235" i="87" s="1"/>
  <c r="H163" i="87" a="1"/>
  <c r="H163" i="87" s="1"/>
  <c r="H235" i="87" s="1"/>
  <c r="G163" i="87" a="1"/>
  <c r="G163" i="87" s="1"/>
  <c r="G235" i="87" s="1"/>
  <c r="F163" i="87" a="1"/>
  <c r="F163" i="87" s="1"/>
  <c r="F235" i="87" s="1"/>
  <c r="E163" i="87" a="1"/>
  <c r="E163" i="87" s="1"/>
  <c r="D163" i="87" a="1"/>
  <c r="D163" i="87" s="1"/>
  <c r="M162" i="87" a="1"/>
  <c r="M162" i="87" s="1"/>
  <c r="L162" i="87" a="1"/>
  <c r="L162" i="87" s="1"/>
  <c r="M234" i="87" s="1"/>
  <c r="K162" i="87" a="1"/>
  <c r="K162" i="87" s="1"/>
  <c r="J162" i="87" a="1"/>
  <c r="J162" i="87" s="1"/>
  <c r="J234" i="87" s="1"/>
  <c r="I162" i="87" a="1"/>
  <c r="I162" i="87" s="1"/>
  <c r="I234" i="87" s="1"/>
  <c r="H162" i="87" a="1"/>
  <c r="H162" i="87" s="1"/>
  <c r="H234" i="87" s="1"/>
  <c r="G162" i="87" a="1"/>
  <c r="G162" i="87" s="1"/>
  <c r="G234" i="87" s="1"/>
  <c r="F162" i="87" a="1"/>
  <c r="F162" i="87" s="1"/>
  <c r="F234" i="87" s="1"/>
  <c r="E162" i="87" a="1"/>
  <c r="E162" i="87" s="1"/>
  <c r="D162" i="87" a="1"/>
  <c r="D162" i="87" s="1"/>
  <c r="M161" i="87" a="1"/>
  <c r="M161" i="87" s="1"/>
  <c r="L161" i="87" a="1"/>
  <c r="L161" i="87" s="1"/>
  <c r="M233" i="87" s="1"/>
  <c r="K161" i="87" a="1"/>
  <c r="K161" i="87" s="1"/>
  <c r="J161" i="87" a="1"/>
  <c r="J161" i="87" s="1"/>
  <c r="J233" i="87" s="1"/>
  <c r="I161" i="87" a="1"/>
  <c r="I161" i="87" s="1"/>
  <c r="I233" i="87" s="1"/>
  <c r="H161" i="87" a="1"/>
  <c r="H161" i="87" s="1"/>
  <c r="H233" i="87" s="1"/>
  <c r="G161" i="87" a="1"/>
  <c r="G161" i="87" s="1"/>
  <c r="G233" i="87" s="1"/>
  <c r="F161" i="87" a="1"/>
  <c r="F161" i="87" s="1"/>
  <c r="F233" i="87" s="1"/>
  <c r="E161" i="87" a="1"/>
  <c r="E161" i="87" s="1"/>
  <c r="D161" i="87" a="1"/>
  <c r="D161" i="87" s="1"/>
  <c r="M160" i="87" a="1"/>
  <c r="M160" i="87" s="1"/>
  <c r="L160" i="87" a="1"/>
  <c r="L160" i="87" s="1"/>
  <c r="M232" i="87" s="1"/>
  <c r="K160" i="87" a="1"/>
  <c r="K160" i="87" s="1"/>
  <c r="J160" i="87" a="1"/>
  <c r="J160" i="87" s="1"/>
  <c r="J232" i="87" s="1"/>
  <c r="I160" i="87" a="1"/>
  <c r="I160" i="87" s="1"/>
  <c r="I232" i="87" s="1"/>
  <c r="H160" i="87" a="1"/>
  <c r="H160" i="87" s="1"/>
  <c r="H232" i="87" s="1"/>
  <c r="G160" i="87" a="1"/>
  <c r="G160" i="87" s="1"/>
  <c r="G232" i="87" s="1"/>
  <c r="F160" i="87" a="1"/>
  <c r="F160" i="87" s="1"/>
  <c r="F232" i="87" s="1"/>
  <c r="E160" i="87" a="1"/>
  <c r="E160" i="87" s="1"/>
  <c r="D160" i="87" a="1"/>
  <c r="D160" i="87" s="1"/>
  <c r="M159" i="87" a="1"/>
  <c r="M159" i="87" s="1"/>
  <c r="L159" i="87" a="1"/>
  <c r="L159" i="87" s="1"/>
  <c r="M231" i="87" s="1"/>
  <c r="K159" i="87" a="1"/>
  <c r="K159" i="87" s="1"/>
  <c r="J159" i="87" a="1"/>
  <c r="J159" i="87" s="1"/>
  <c r="J231" i="87" s="1"/>
  <c r="I159" i="87" a="1"/>
  <c r="I159" i="87" s="1"/>
  <c r="I231" i="87" s="1"/>
  <c r="H159" i="87" a="1"/>
  <c r="H159" i="87" s="1"/>
  <c r="H231" i="87" s="1"/>
  <c r="G159" i="87" a="1"/>
  <c r="G159" i="87" s="1"/>
  <c r="G231" i="87" s="1"/>
  <c r="F159" i="87" a="1"/>
  <c r="F159" i="87" s="1"/>
  <c r="F231" i="87" s="1"/>
  <c r="E159" i="87" a="1"/>
  <c r="E159" i="87" s="1"/>
  <c r="D159" i="87" a="1"/>
  <c r="D159" i="87" s="1"/>
  <c r="M158" i="87" a="1"/>
  <c r="M158" i="87" s="1"/>
  <c r="L158" i="87" a="1"/>
  <c r="L158" i="87" s="1"/>
  <c r="K158" i="87" a="1"/>
  <c r="K158" i="87" s="1"/>
  <c r="J158" i="87" a="1"/>
  <c r="J158" i="87" s="1"/>
  <c r="I158" i="87" a="1"/>
  <c r="I158" i="87" s="1"/>
  <c r="H158" i="87" a="1"/>
  <c r="H158" i="87" s="1"/>
  <c r="G158" i="87" a="1"/>
  <c r="G158" i="87" s="1"/>
  <c r="F158" i="87" a="1"/>
  <c r="F158" i="87" s="1"/>
  <c r="E158" i="87" a="1"/>
  <c r="E158" i="87" s="1"/>
  <c r="D158" i="87" a="1"/>
  <c r="D158" i="87" s="1"/>
  <c r="M157" i="87" a="1"/>
  <c r="M157" i="87" s="1"/>
  <c r="L157" i="87" a="1"/>
  <c r="L157" i="87" s="1"/>
  <c r="K157" i="87" a="1"/>
  <c r="K157" i="87" s="1"/>
  <c r="J157" i="87" a="1"/>
  <c r="J157" i="87" s="1"/>
  <c r="I157" i="87" a="1"/>
  <c r="I157" i="87" s="1"/>
  <c r="H157" i="87" a="1"/>
  <c r="H157" i="87" s="1"/>
  <c r="G157" i="87" a="1"/>
  <c r="G157" i="87" s="1"/>
  <c r="F157" i="87" a="1"/>
  <c r="F157" i="87" s="1"/>
  <c r="E157" i="87" a="1"/>
  <c r="E157" i="87" s="1"/>
  <c r="D157" i="87" a="1"/>
  <c r="D157" i="87" s="1"/>
  <c r="M156" i="87" a="1"/>
  <c r="M156" i="87" s="1"/>
  <c r="L156" i="87" a="1"/>
  <c r="L156" i="87" s="1"/>
  <c r="K156" i="87" a="1"/>
  <c r="K156" i="87" s="1"/>
  <c r="J156" i="87" a="1"/>
  <c r="J156" i="87" s="1"/>
  <c r="I156" i="87" a="1"/>
  <c r="I156" i="87" s="1"/>
  <c r="H156" i="87" a="1"/>
  <c r="H156" i="87" s="1"/>
  <c r="G156" i="87" a="1"/>
  <c r="G156" i="87" s="1"/>
  <c r="F156" i="87" a="1"/>
  <c r="F156" i="87" s="1"/>
  <c r="E156" i="87" a="1"/>
  <c r="E156" i="87" s="1"/>
  <c r="D156" i="87" a="1"/>
  <c r="D156" i="87" s="1"/>
  <c r="M155" i="87" a="1"/>
  <c r="M155" i="87" s="1"/>
  <c r="L155" i="87" a="1"/>
  <c r="L155" i="87" s="1"/>
  <c r="K155" i="87" a="1"/>
  <c r="K155" i="87" s="1"/>
  <c r="J155" i="87" a="1"/>
  <c r="J155" i="87" s="1"/>
  <c r="I155" i="87" a="1"/>
  <c r="I155" i="87" s="1"/>
  <c r="H155" i="87" a="1"/>
  <c r="H155" i="87" s="1"/>
  <c r="G155" i="87" a="1"/>
  <c r="G155" i="87" s="1"/>
  <c r="F155" i="87" a="1"/>
  <c r="F155" i="87" s="1"/>
  <c r="E155" i="87" a="1"/>
  <c r="E155" i="87" s="1"/>
  <c r="D155" i="87" a="1"/>
  <c r="D155" i="87" s="1"/>
  <c r="D153" i="87" a="1"/>
  <c r="D153" i="87" s="1"/>
  <c r="D152" i="87" a="1"/>
  <c r="D152" i="87" s="1"/>
  <c r="D151" i="87" a="1"/>
  <c r="D151" i="87" s="1"/>
  <c r="D150" i="87" a="1"/>
  <c r="D150" i="87" s="1"/>
  <c r="P81" i="87" a="1"/>
  <c r="P81" i="87" s="1"/>
  <c r="P145" i="87" s="1"/>
  <c r="O81" i="87" a="1"/>
  <c r="O81" i="87" s="1"/>
  <c r="O145" i="87" s="1"/>
  <c r="N81" i="87" a="1"/>
  <c r="N81" i="87" s="1"/>
  <c r="N145" i="87" s="1"/>
  <c r="M81" i="87" a="1"/>
  <c r="M81" i="87" s="1"/>
  <c r="M145" i="87" s="1"/>
  <c r="L81" i="87" a="1"/>
  <c r="L81" i="87" s="1"/>
  <c r="L145" i="87" s="1"/>
  <c r="K81" i="87" a="1"/>
  <c r="K81" i="87" s="1"/>
  <c r="K145" i="87" s="1"/>
  <c r="J81" i="87" a="1"/>
  <c r="J81" i="87" s="1"/>
  <c r="J145" i="87" s="1"/>
  <c r="I81" i="87" a="1"/>
  <c r="I81" i="87" s="1"/>
  <c r="I145" i="87" s="1"/>
  <c r="H81" i="87" a="1"/>
  <c r="H81" i="87" s="1"/>
  <c r="H145" i="87" s="1"/>
  <c r="G81" i="87" a="1"/>
  <c r="G81" i="87" s="1"/>
  <c r="G145" i="87" s="1"/>
  <c r="F81" i="87" a="1"/>
  <c r="F81" i="87" s="1"/>
  <c r="F145" i="87" s="1"/>
  <c r="F149" i="87" s="1"/>
  <c r="E81" i="87" a="1"/>
  <c r="E81" i="87" s="1"/>
  <c r="E145" i="87" s="1"/>
  <c r="D81" i="87" a="1"/>
  <c r="D81" i="87" s="1"/>
  <c r="P80" i="87" a="1"/>
  <c r="P80" i="87" s="1"/>
  <c r="P144" i="87" s="1"/>
  <c r="O80" i="87" a="1"/>
  <c r="O80" i="87" s="1"/>
  <c r="O144" i="87" s="1"/>
  <c r="N80" i="87" a="1"/>
  <c r="N80" i="87" s="1"/>
  <c r="N144" i="87" s="1"/>
  <c r="M80" i="87" a="1"/>
  <c r="M80" i="87" s="1"/>
  <c r="M144" i="87" s="1"/>
  <c r="L80" i="87" a="1"/>
  <c r="L80" i="87" s="1"/>
  <c r="L144" i="87" s="1"/>
  <c r="K80" i="87" a="1"/>
  <c r="K80" i="87" s="1"/>
  <c r="K144" i="87" s="1"/>
  <c r="J80" i="87" a="1"/>
  <c r="J80" i="87" s="1"/>
  <c r="J144" i="87" s="1"/>
  <c r="I80" i="87" a="1"/>
  <c r="I80" i="87" s="1"/>
  <c r="I144" i="87" s="1"/>
  <c r="H80" i="87" a="1"/>
  <c r="H80" i="87" s="1"/>
  <c r="H144" i="87" s="1"/>
  <c r="G80" i="87" a="1"/>
  <c r="G80" i="87" s="1"/>
  <c r="G144" i="87" s="1"/>
  <c r="F80" i="87" a="1"/>
  <c r="F80" i="87" s="1"/>
  <c r="F144" i="87" s="1"/>
  <c r="F148" i="87" s="1"/>
  <c r="E80" i="87" a="1"/>
  <c r="E80" i="87" s="1"/>
  <c r="E144" i="87" s="1"/>
  <c r="D80" i="87" a="1"/>
  <c r="D80" i="87" s="1"/>
  <c r="P79" i="87" a="1"/>
  <c r="P79" i="87" s="1"/>
  <c r="P143" i="87" s="1"/>
  <c r="O79" i="87" a="1"/>
  <c r="O79" i="87" s="1"/>
  <c r="O143" i="87" s="1"/>
  <c r="N79" i="87" a="1"/>
  <c r="N79" i="87" s="1"/>
  <c r="N143" i="87" s="1"/>
  <c r="M79" i="87" a="1"/>
  <c r="M79" i="87" s="1"/>
  <c r="M143" i="87" s="1"/>
  <c r="L79" i="87" a="1"/>
  <c r="L79" i="87" s="1"/>
  <c r="L143" i="87" s="1"/>
  <c r="K79" i="87" a="1"/>
  <c r="K79" i="87" s="1"/>
  <c r="K143" i="87" s="1"/>
  <c r="J79" i="87" a="1"/>
  <c r="J79" i="87" s="1"/>
  <c r="J143" i="87" s="1"/>
  <c r="I79" i="87" a="1"/>
  <c r="I79" i="87" s="1"/>
  <c r="I143" i="87" s="1"/>
  <c r="H79" i="87" a="1"/>
  <c r="H79" i="87" s="1"/>
  <c r="H143" i="87" s="1"/>
  <c r="G79" i="87" a="1"/>
  <c r="G79" i="87" s="1"/>
  <c r="G143" i="87" s="1"/>
  <c r="F79" i="87" a="1"/>
  <c r="F79" i="87" s="1"/>
  <c r="F143" i="87" s="1"/>
  <c r="F147" i="87" s="1"/>
  <c r="E79" i="87" a="1"/>
  <c r="E79" i="87" s="1"/>
  <c r="E143" i="87" s="1"/>
  <c r="D79" i="87" a="1"/>
  <c r="D79" i="87" s="1"/>
  <c r="P78" i="87" a="1"/>
  <c r="P78" i="87" s="1"/>
  <c r="P142" i="87" s="1"/>
  <c r="O78" i="87" a="1"/>
  <c r="O78" i="87" s="1"/>
  <c r="O142" i="87" s="1"/>
  <c r="N78" i="87" a="1"/>
  <c r="N78" i="87" s="1"/>
  <c r="N142" i="87" s="1"/>
  <c r="M78" i="87" a="1"/>
  <c r="M78" i="87" s="1"/>
  <c r="M142" i="87" s="1"/>
  <c r="L78" i="87" a="1"/>
  <c r="L78" i="87" s="1"/>
  <c r="L142" i="87" s="1"/>
  <c r="K78" i="87" a="1"/>
  <c r="K78" i="87" s="1"/>
  <c r="K142" i="87" s="1"/>
  <c r="J78" i="87" a="1"/>
  <c r="J78" i="87" s="1"/>
  <c r="J142" i="87" s="1"/>
  <c r="I78" i="87" a="1"/>
  <c r="I78" i="87" s="1"/>
  <c r="I142" i="87" s="1"/>
  <c r="H78" i="87" a="1"/>
  <c r="H78" i="87" s="1"/>
  <c r="H142" i="87" s="1"/>
  <c r="G78" i="87" a="1"/>
  <c r="G78" i="87" s="1"/>
  <c r="G142" i="87" s="1"/>
  <c r="F78" i="87" a="1"/>
  <c r="F78" i="87" s="1"/>
  <c r="F142" i="87" s="1"/>
  <c r="F146" i="87" s="1"/>
  <c r="E78" i="87" a="1"/>
  <c r="E78" i="87" s="1"/>
  <c r="E142" i="87" s="1"/>
  <c r="D78" i="87" a="1"/>
  <c r="D78" i="87" s="1"/>
  <c r="P77" i="87" a="1"/>
  <c r="P77" i="87" s="1"/>
  <c r="P141" i="87" s="1"/>
  <c r="O77" i="87" a="1"/>
  <c r="O77" i="87" s="1"/>
  <c r="O141" i="87" s="1"/>
  <c r="N77" i="87" a="1"/>
  <c r="N77" i="87" s="1"/>
  <c r="N141" i="87" s="1"/>
  <c r="M77" i="87" a="1"/>
  <c r="M77" i="87" s="1"/>
  <c r="M141" i="87" s="1"/>
  <c r="L77" i="87" a="1"/>
  <c r="L77" i="87" s="1"/>
  <c r="L141" i="87" s="1"/>
  <c r="K77" i="87" a="1"/>
  <c r="K77" i="87" s="1"/>
  <c r="K141" i="87" s="1"/>
  <c r="J77" i="87" a="1"/>
  <c r="J77" i="87" s="1"/>
  <c r="J141" i="87" s="1"/>
  <c r="I77" i="87" a="1"/>
  <c r="I77" i="87" s="1"/>
  <c r="I141" i="87" s="1"/>
  <c r="H77" i="87" a="1"/>
  <c r="H77" i="87" s="1"/>
  <c r="H141" i="87" s="1"/>
  <c r="G77" i="87" a="1"/>
  <c r="G77" i="87" s="1"/>
  <c r="G141" i="87" s="1"/>
  <c r="F77" i="87" a="1"/>
  <c r="F77" i="87" s="1"/>
  <c r="F141" i="87" s="1"/>
  <c r="E77" i="87" a="1"/>
  <c r="E77" i="87" s="1"/>
  <c r="E141" i="87" s="1"/>
  <c r="D77" i="87" a="1"/>
  <c r="D77" i="87" s="1"/>
  <c r="P76" i="87" a="1"/>
  <c r="P76" i="87" s="1"/>
  <c r="P140" i="87" s="1"/>
  <c r="O76" i="87" a="1"/>
  <c r="O76" i="87" s="1"/>
  <c r="O140" i="87" s="1"/>
  <c r="N76" i="87" a="1"/>
  <c r="N76" i="87" s="1"/>
  <c r="N140" i="87" s="1"/>
  <c r="M76" i="87" a="1"/>
  <c r="M76" i="87" s="1"/>
  <c r="M140" i="87" s="1"/>
  <c r="L76" i="87" a="1"/>
  <c r="L76" i="87" s="1"/>
  <c r="L140" i="87" s="1"/>
  <c r="K76" i="87" a="1"/>
  <c r="K76" i="87" s="1"/>
  <c r="K140" i="87" s="1"/>
  <c r="J76" i="87" a="1"/>
  <c r="J76" i="87" s="1"/>
  <c r="J140" i="87" s="1"/>
  <c r="I76" i="87" a="1"/>
  <c r="I76" i="87" s="1"/>
  <c r="I140" i="87" s="1"/>
  <c r="H76" i="87" a="1"/>
  <c r="H76" i="87" s="1"/>
  <c r="H140" i="87" s="1"/>
  <c r="G76" i="87" a="1"/>
  <c r="G76" i="87" s="1"/>
  <c r="G140" i="87" s="1"/>
  <c r="F76" i="87" a="1"/>
  <c r="F76" i="87" s="1"/>
  <c r="F140" i="87" s="1"/>
  <c r="E76" i="87" a="1"/>
  <c r="E76" i="87" s="1"/>
  <c r="E140" i="87" s="1"/>
  <c r="D76" i="87" a="1"/>
  <c r="D76" i="87" s="1"/>
  <c r="P75" i="87" a="1"/>
  <c r="P75" i="87" s="1"/>
  <c r="P139" i="87" s="1"/>
  <c r="O75" i="87" a="1"/>
  <c r="O75" i="87" s="1"/>
  <c r="O139" i="87" s="1"/>
  <c r="N75" i="87" a="1"/>
  <c r="N75" i="87" s="1"/>
  <c r="N139" i="87" s="1"/>
  <c r="M75" i="87" a="1"/>
  <c r="M75" i="87" s="1"/>
  <c r="M139" i="87" s="1"/>
  <c r="L75" i="87" a="1"/>
  <c r="L75" i="87" s="1"/>
  <c r="L139" i="87" s="1"/>
  <c r="K75" i="87" a="1"/>
  <c r="K75" i="87" s="1"/>
  <c r="K139" i="87" s="1"/>
  <c r="J75" i="87" a="1"/>
  <c r="J75" i="87" s="1"/>
  <c r="J139" i="87" s="1"/>
  <c r="I75" i="87" a="1"/>
  <c r="I75" i="87" s="1"/>
  <c r="I139" i="87" s="1"/>
  <c r="H75" i="87" a="1"/>
  <c r="H75" i="87" s="1"/>
  <c r="H139" i="87" s="1"/>
  <c r="G75" i="87" a="1"/>
  <c r="G75" i="87" s="1"/>
  <c r="G139" i="87" s="1"/>
  <c r="F75" i="87" a="1"/>
  <c r="F75" i="87" s="1"/>
  <c r="F139" i="87" s="1"/>
  <c r="E75" i="87" a="1"/>
  <c r="E75" i="87" s="1"/>
  <c r="E139" i="87" s="1"/>
  <c r="D75" i="87" a="1"/>
  <c r="D75" i="87" s="1"/>
  <c r="P74" i="87" a="1"/>
  <c r="P74" i="87" s="1"/>
  <c r="P138" i="87" s="1"/>
  <c r="O74" i="87" a="1"/>
  <c r="O74" i="87" s="1"/>
  <c r="O138" i="87" s="1"/>
  <c r="N74" i="87" a="1"/>
  <c r="N74" i="87" s="1"/>
  <c r="N138" i="87" s="1"/>
  <c r="M74" i="87" a="1"/>
  <c r="M74" i="87" s="1"/>
  <c r="M138" i="87" s="1"/>
  <c r="L74" i="87" a="1"/>
  <c r="L74" i="87" s="1"/>
  <c r="L138" i="87" s="1"/>
  <c r="K74" i="87" a="1"/>
  <c r="K74" i="87" s="1"/>
  <c r="K138" i="87" s="1"/>
  <c r="J74" i="87" a="1"/>
  <c r="J74" i="87" s="1"/>
  <c r="J138" i="87" s="1"/>
  <c r="I74" i="87" a="1"/>
  <c r="I74" i="87" s="1"/>
  <c r="I138" i="87" s="1"/>
  <c r="H74" i="87" a="1"/>
  <c r="H74" i="87" s="1"/>
  <c r="H138" i="87" s="1"/>
  <c r="G74" i="87" a="1"/>
  <c r="G74" i="87" s="1"/>
  <c r="G138" i="87" s="1"/>
  <c r="F74" i="87" a="1"/>
  <c r="F74" i="87" s="1"/>
  <c r="F138" i="87" s="1"/>
  <c r="E74" i="87" a="1"/>
  <c r="E74" i="87" s="1"/>
  <c r="E138" i="87" s="1"/>
  <c r="D74" i="87" a="1"/>
  <c r="D74" i="87" s="1"/>
  <c r="P73" i="87" a="1"/>
  <c r="P73" i="87" s="1"/>
  <c r="P137" i="87" s="1"/>
  <c r="O73" i="87" a="1"/>
  <c r="O73" i="87" s="1"/>
  <c r="O137" i="87" s="1"/>
  <c r="N73" i="87" a="1"/>
  <c r="N73" i="87" s="1"/>
  <c r="N137" i="87" s="1"/>
  <c r="M73" i="87" a="1"/>
  <c r="M73" i="87" s="1"/>
  <c r="M137" i="87" s="1"/>
  <c r="L73" i="87" a="1"/>
  <c r="L73" i="87" s="1"/>
  <c r="L137" i="87" s="1"/>
  <c r="K73" i="87" a="1"/>
  <c r="K73" i="87" s="1"/>
  <c r="K137" i="87" s="1"/>
  <c r="J73" i="87" a="1"/>
  <c r="J73" i="87" s="1"/>
  <c r="J137" i="87" s="1"/>
  <c r="I73" i="87" a="1"/>
  <c r="I73" i="87" s="1"/>
  <c r="I137" i="87" s="1"/>
  <c r="H73" i="87" a="1"/>
  <c r="H73" i="87" s="1"/>
  <c r="H137" i="87" s="1"/>
  <c r="G73" i="87" a="1"/>
  <c r="G73" i="87" s="1"/>
  <c r="G137" i="87" s="1"/>
  <c r="F73" i="87" a="1"/>
  <c r="F73" i="87" s="1"/>
  <c r="F137" i="87" s="1"/>
  <c r="E73" i="87" a="1"/>
  <c r="E73" i="87" s="1"/>
  <c r="E137" i="87" s="1"/>
  <c r="D73" i="87" a="1"/>
  <c r="D73" i="87" s="1"/>
  <c r="P72" i="87" a="1"/>
  <c r="P72" i="87" s="1"/>
  <c r="P136" i="87" s="1"/>
  <c r="O72" i="87" a="1"/>
  <c r="O72" i="87" s="1"/>
  <c r="O136" i="87" s="1"/>
  <c r="N72" i="87" a="1"/>
  <c r="N72" i="87" s="1"/>
  <c r="N136" i="87" s="1"/>
  <c r="M72" i="87" a="1"/>
  <c r="M72" i="87" s="1"/>
  <c r="M136" i="87" s="1"/>
  <c r="L72" i="87" a="1"/>
  <c r="L72" i="87" s="1"/>
  <c r="L136" i="87" s="1"/>
  <c r="K72" i="87" a="1"/>
  <c r="K72" i="87" s="1"/>
  <c r="K136" i="87" s="1"/>
  <c r="J72" i="87" a="1"/>
  <c r="J72" i="87" s="1"/>
  <c r="J136" i="87" s="1"/>
  <c r="I72" i="87" a="1"/>
  <c r="I72" i="87" s="1"/>
  <c r="I136" i="87" s="1"/>
  <c r="H72" i="87" a="1"/>
  <c r="H72" i="87" s="1"/>
  <c r="H136" i="87" s="1"/>
  <c r="G72" i="87" a="1"/>
  <c r="G72" i="87" s="1"/>
  <c r="G136" i="87" s="1"/>
  <c r="F72" i="87" a="1"/>
  <c r="F72" i="87" s="1"/>
  <c r="F136" i="87" s="1"/>
  <c r="E72" i="87" a="1"/>
  <c r="E72" i="87" s="1"/>
  <c r="E136" i="87" s="1"/>
  <c r="D72" i="87" a="1"/>
  <c r="D72" i="87" s="1"/>
  <c r="P71" i="87" a="1"/>
  <c r="P71" i="87" s="1"/>
  <c r="P135" i="87" s="1"/>
  <c r="O71" i="87" a="1"/>
  <c r="O71" i="87" s="1"/>
  <c r="O135" i="87" s="1"/>
  <c r="N71" i="87" a="1"/>
  <c r="N71" i="87" s="1"/>
  <c r="N135" i="87" s="1"/>
  <c r="M71" i="87" a="1"/>
  <c r="M71" i="87" s="1"/>
  <c r="M135" i="87" s="1"/>
  <c r="L71" i="87" a="1"/>
  <c r="L71" i="87" s="1"/>
  <c r="L135" i="87" s="1"/>
  <c r="K71" i="87" a="1"/>
  <c r="K71" i="87" s="1"/>
  <c r="K135" i="87" s="1"/>
  <c r="J71" i="87" a="1"/>
  <c r="J71" i="87" s="1"/>
  <c r="J135" i="87" s="1"/>
  <c r="I71" i="87" a="1"/>
  <c r="I71" i="87" s="1"/>
  <c r="I135" i="87" s="1"/>
  <c r="H71" i="87" a="1"/>
  <c r="H71" i="87" s="1"/>
  <c r="H135" i="87" s="1"/>
  <c r="G71" i="87" a="1"/>
  <c r="G71" i="87" s="1"/>
  <c r="G135" i="87" s="1"/>
  <c r="F71" i="87" a="1"/>
  <c r="F71" i="87" s="1"/>
  <c r="F135" i="87" s="1"/>
  <c r="E71" i="87" a="1"/>
  <c r="E71" i="87" s="1"/>
  <c r="E135" i="87" s="1"/>
  <c r="D71" i="87" a="1"/>
  <c r="D71" i="87" s="1"/>
  <c r="P70" i="87" a="1"/>
  <c r="P70" i="87" s="1"/>
  <c r="P134" i="87" s="1"/>
  <c r="O70" i="87" a="1"/>
  <c r="O70" i="87" s="1"/>
  <c r="O134" i="87" s="1"/>
  <c r="N70" i="87" a="1"/>
  <c r="N70" i="87" s="1"/>
  <c r="N134" i="87" s="1"/>
  <c r="M70" i="87" a="1"/>
  <c r="M70" i="87" s="1"/>
  <c r="M134" i="87" s="1"/>
  <c r="L70" i="87" a="1"/>
  <c r="L70" i="87" s="1"/>
  <c r="L134" i="87" s="1"/>
  <c r="K70" i="87" a="1"/>
  <c r="K70" i="87" s="1"/>
  <c r="K134" i="87" s="1"/>
  <c r="J70" i="87" a="1"/>
  <c r="J70" i="87" s="1"/>
  <c r="J134" i="87" s="1"/>
  <c r="I70" i="87" a="1"/>
  <c r="I70" i="87" s="1"/>
  <c r="I134" i="87" s="1"/>
  <c r="H70" i="87" a="1"/>
  <c r="H70" i="87" s="1"/>
  <c r="H134" i="87" s="1"/>
  <c r="G70" i="87" a="1"/>
  <c r="G70" i="87" s="1"/>
  <c r="G134" i="87" s="1"/>
  <c r="F70" i="87" a="1"/>
  <c r="F70" i="87" s="1"/>
  <c r="F134" i="87" s="1"/>
  <c r="E70" i="87" a="1"/>
  <c r="E70" i="87" s="1"/>
  <c r="E134" i="87" s="1"/>
  <c r="D70" i="87" a="1"/>
  <c r="D70" i="87" s="1"/>
  <c r="P69" i="87" a="1"/>
  <c r="P69" i="87" s="1"/>
  <c r="P133" i="87" s="1"/>
  <c r="O69" i="87" a="1"/>
  <c r="O69" i="87" s="1"/>
  <c r="O133" i="87" s="1"/>
  <c r="N69" i="87" a="1"/>
  <c r="N69" i="87" s="1"/>
  <c r="N133" i="87" s="1"/>
  <c r="M69" i="87" a="1"/>
  <c r="M69" i="87" s="1"/>
  <c r="M133" i="87" s="1"/>
  <c r="L69" i="87" a="1"/>
  <c r="L69" i="87" s="1"/>
  <c r="L133" i="87" s="1"/>
  <c r="K69" i="87" a="1"/>
  <c r="K69" i="87" s="1"/>
  <c r="K133" i="87" s="1"/>
  <c r="J69" i="87" a="1"/>
  <c r="J69" i="87" s="1"/>
  <c r="J133" i="87" s="1"/>
  <c r="I69" i="87" a="1"/>
  <c r="I69" i="87" s="1"/>
  <c r="I133" i="87" s="1"/>
  <c r="H69" i="87" a="1"/>
  <c r="H69" i="87" s="1"/>
  <c r="H133" i="87" s="1"/>
  <c r="G69" i="87" a="1"/>
  <c r="G69" i="87" s="1"/>
  <c r="G133" i="87" s="1"/>
  <c r="F69" i="87" a="1"/>
  <c r="F69" i="87" s="1"/>
  <c r="F133" i="87" s="1"/>
  <c r="E69" i="87" a="1"/>
  <c r="E69" i="87" s="1"/>
  <c r="E133" i="87" s="1"/>
  <c r="D69" i="87" a="1"/>
  <c r="D69" i="87" s="1"/>
  <c r="P68" i="87" a="1"/>
  <c r="P68" i="87" s="1"/>
  <c r="P132" i="87" s="1"/>
  <c r="O68" i="87" a="1"/>
  <c r="O68" i="87" s="1"/>
  <c r="O132" i="87" s="1"/>
  <c r="N68" i="87" a="1"/>
  <c r="N68" i="87" s="1"/>
  <c r="N132" i="87" s="1"/>
  <c r="M68" i="87" a="1"/>
  <c r="M68" i="87" s="1"/>
  <c r="M132" i="87" s="1"/>
  <c r="L68" i="87" a="1"/>
  <c r="L68" i="87" s="1"/>
  <c r="L132" i="87" s="1"/>
  <c r="K68" i="87" a="1"/>
  <c r="K68" i="87" s="1"/>
  <c r="K132" i="87" s="1"/>
  <c r="J68" i="87" a="1"/>
  <c r="J68" i="87" s="1"/>
  <c r="J132" i="87" s="1"/>
  <c r="I68" i="87" a="1"/>
  <c r="I68" i="87" s="1"/>
  <c r="I132" i="87" s="1"/>
  <c r="H68" i="87" a="1"/>
  <c r="H68" i="87" s="1"/>
  <c r="H132" i="87" s="1"/>
  <c r="G68" i="87" a="1"/>
  <c r="G68" i="87" s="1"/>
  <c r="G132" i="87" s="1"/>
  <c r="F68" i="87" a="1"/>
  <c r="F68" i="87" s="1"/>
  <c r="F132" i="87" s="1"/>
  <c r="E68" i="87" a="1"/>
  <c r="E68" i="87" s="1"/>
  <c r="E132" i="87" s="1"/>
  <c r="D68" i="87" a="1"/>
  <c r="D68" i="87" s="1"/>
  <c r="P67" i="87" a="1"/>
  <c r="P67" i="87" s="1"/>
  <c r="P131" i="87" s="1"/>
  <c r="O67" i="87" a="1"/>
  <c r="O67" i="87" s="1"/>
  <c r="O131" i="87" s="1"/>
  <c r="N67" i="87" a="1"/>
  <c r="N67" i="87" s="1"/>
  <c r="N131" i="87" s="1"/>
  <c r="M67" i="87" a="1"/>
  <c r="M67" i="87" s="1"/>
  <c r="M131" i="87" s="1"/>
  <c r="L67" i="87" a="1"/>
  <c r="L67" i="87" s="1"/>
  <c r="L131" i="87" s="1"/>
  <c r="K67" i="87" a="1"/>
  <c r="K67" i="87" s="1"/>
  <c r="K131" i="87" s="1"/>
  <c r="J67" i="87" a="1"/>
  <c r="J67" i="87" s="1"/>
  <c r="J131" i="87" s="1"/>
  <c r="I67" i="87" a="1"/>
  <c r="I67" i="87" s="1"/>
  <c r="I131" i="87" s="1"/>
  <c r="H67" i="87" a="1"/>
  <c r="H67" i="87" s="1"/>
  <c r="H131" i="87" s="1"/>
  <c r="G67" i="87" a="1"/>
  <c r="G67" i="87" s="1"/>
  <c r="G131" i="87" s="1"/>
  <c r="F67" i="87" a="1"/>
  <c r="F67" i="87" s="1"/>
  <c r="F131" i="87" s="1"/>
  <c r="E67" i="87" a="1"/>
  <c r="E67" i="87" s="1"/>
  <c r="E131" i="87" s="1"/>
  <c r="D67" i="87" a="1"/>
  <c r="D67" i="87" s="1"/>
  <c r="P66" i="87" a="1"/>
  <c r="P66" i="87" s="1"/>
  <c r="P130" i="87" s="1"/>
  <c r="O66" i="87" a="1"/>
  <c r="O66" i="87" s="1"/>
  <c r="O130" i="87" s="1"/>
  <c r="N66" i="87" a="1"/>
  <c r="N66" i="87" s="1"/>
  <c r="N130" i="87" s="1"/>
  <c r="M66" i="87" a="1"/>
  <c r="M66" i="87" s="1"/>
  <c r="M130" i="87" s="1"/>
  <c r="L66" i="87" a="1"/>
  <c r="L66" i="87" s="1"/>
  <c r="L130" i="87" s="1"/>
  <c r="K66" i="87" a="1"/>
  <c r="K66" i="87" s="1"/>
  <c r="K130" i="87" s="1"/>
  <c r="J66" i="87" a="1"/>
  <c r="J66" i="87" s="1"/>
  <c r="J130" i="87" s="1"/>
  <c r="I66" i="87" a="1"/>
  <c r="I66" i="87" s="1"/>
  <c r="I130" i="87" s="1"/>
  <c r="H66" i="87" a="1"/>
  <c r="H66" i="87" s="1"/>
  <c r="H130" i="87" s="1"/>
  <c r="G66" i="87" a="1"/>
  <c r="G66" i="87" s="1"/>
  <c r="G130" i="87" s="1"/>
  <c r="F66" i="87" a="1"/>
  <c r="F66" i="87" s="1"/>
  <c r="F130" i="87" s="1"/>
  <c r="E66" i="87" a="1"/>
  <c r="E66" i="87" s="1"/>
  <c r="E130" i="87" s="1"/>
  <c r="D66" i="87" a="1"/>
  <c r="D66" i="87" s="1"/>
  <c r="P65" i="87" a="1"/>
  <c r="P65" i="87" s="1"/>
  <c r="P129" i="87" s="1"/>
  <c r="O65" i="87" a="1"/>
  <c r="O65" i="87" s="1"/>
  <c r="O129" i="87" s="1"/>
  <c r="N65" i="87" a="1"/>
  <c r="N65" i="87" s="1"/>
  <c r="N129" i="87" s="1"/>
  <c r="M65" i="87" a="1"/>
  <c r="M65" i="87" s="1"/>
  <c r="M129" i="87" s="1"/>
  <c r="L65" i="87" a="1"/>
  <c r="L65" i="87" s="1"/>
  <c r="L129" i="87" s="1"/>
  <c r="K65" i="87" a="1"/>
  <c r="K65" i="87" s="1"/>
  <c r="K129" i="87" s="1"/>
  <c r="J65" i="87" a="1"/>
  <c r="J65" i="87" s="1"/>
  <c r="J129" i="87" s="1"/>
  <c r="I65" i="87" a="1"/>
  <c r="I65" i="87" s="1"/>
  <c r="I129" i="87" s="1"/>
  <c r="H65" i="87" a="1"/>
  <c r="H65" i="87" s="1"/>
  <c r="H129" i="87" s="1"/>
  <c r="G65" i="87" a="1"/>
  <c r="G65" i="87" s="1"/>
  <c r="G129" i="87" s="1"/>
  <c r="F65" i="87" a="1"/>
  <c r="F65" i="87" s="1"/>
  <c r="F129" i="87" s="1"/>
  <c r="E65" i="87" a="1"/>
  <c r="E65" i="87" s="1"/>
  <c r="E129" i="87" s="1"/>
  <c r="D65" i="87" a="1"/>
  <c r="D65" i="87" s="1"/>
  <c r="P64" i="87" a="1"/>
  <c r="P64" i="87" s="1"/>
  <c r="P128" i="87" s="1"/>
  <c r="O64" i="87" a="1"/>
  <c r="O64" i="87" s="1"/>
  <c r="O128" i="87" s="1"/>
  <c r="N64" i="87" a="1"/>
  <c r="N64" i="87" s="1"/>
  <c r="N128" i="87" s="1"/>
  <c r="M64" i="87" a="1"/>
  <c r="M64" i="87" s="1"/>
  <c r="M128" i="87" s="1"/>
  <c r="L64" i="87" a="1"/>
  <c r="L64" i="87" s="1"/>
  <c r="L128" i="87" s="1"/>
  <c r="K64" i="87" a="1"/>
  <c r="K64" i="87" s="1"/>
  <c r="K128" i="87" s="1"/>
  <c r="J64" i="87" a="1"/>
  <c r="J64" i="87" s="1"/>
  <c r="J128" i="87" s="1"/>
  <c r="I64" i="87" a="1"/>
  <c r="I64" i="87" s="1"/>
  <c r="I128" i="87" s="1"/>
  <c r="H64" i="87" a="1"/>
  <c r="H64" i="87" s="1"/>
  <c r="H128" i="87" s="1"/>
  <c r="G64" i="87" a="1"/>
  <c r="G64" i="87" s="1"/>
  <c r="G128" i="87" s="1"/>
  <c r="F64" i="87" a="1"/>
  <c r="F64" i="87" s="1"/>
  <c r="F128" i="87" s="1"/>
  <c r="E64" i="87" a="1"/>
  <c r="E64" i="87" s="1"/>
  <c r="E128" i="87" s="1"/>
  <c r="D64" i="87" a="1"/>
  <c r="D64" i="87" s="1"/>
  <c r="P63" i="87" a="1"/>
  <c r="P63" i="87" s="1"/>
  <c r="P127" i="87" s="1"/>
  <c r="O63" i="87" a="1"/>
  <c r="O63" i="87" s="1"/>
  <c r="O127" i="87" s="1"/>
  <c r="N63" i="87" a="1"/>
  <c r="N63" i="87" s="1"/>
  <c r="N127" i="87" s="1"/>
  <c r="M63" i="87" a="1"/>
  <c r="M63" i="87" s="1"/>
  <c r="M127" i="87" s="1"/>
  <c r="L63" i="87" a="1"/>
  <c r="L63" i="87" s="1"/>
  <c r="L127" i="87" s="1"/>
  <c r="K63" i="87" a="1"/>
  <c r="K63" i="87" s="1"/>
  <c r="K127" i="87" s="1"/>
  <c r="J63" i="87" a="1"/>
  <c r="J63" i="87" s="1"/>
  <c r="J127" i="87" s="1"/>
  <c r="I63" i="87" a="1"/>
  <c r="I63" i="87" s="1"/>
  <c r="I127" i="87" s="1"/>
  <c r="H63" i="87" a="1"/>
  <c r="H63" i="87" s="1"/>
  <c r="H127" i="87" s="1"/>
  <c r="G63" i="87" a="1"/>
  <c r="G63" i="87" s="1"/>
  <c r="G127" i="87" s="1"/>
  <c r="F63" i="87" a="1"/>
  <c r="F63" i="87" s="1"/>
  <c r="F127" i="87" s="1"/>
  <c r="E63" i="87" a="1"/>
  <c r="E63" i="87" s="1"/>
  <c r="E127" i="87" s="1"/>
  <c r="D63" i="87" a="1"/>
  <c r="D63" i="87" s="1"/>
  <c r="P62" i="87" a="1"/>
  <c r="P62" i="87" s="1"/>
  <c r="P126" i="87" s="1"/>
  <c r="O62" i="87" a="1"/>
  <c r="O62" i="87" s="1"/>
  <c r="O126" i="87" s="1"/>
  <c r="N62" i="87" a="1"/>
  <c r="N62" i="87" s="1"/>
  <c r="N126" i="87" s="1"/>
  <c r="M62" i="87" a="1"/>
  <c r="M62" i="87" s="1"/>
  <c r="M126" i="87" s="1"/>
  <c r="L62" i="87" a="1"/>
  <c r="L62" i="87" s="1"/>
  <c r="L126" i="87" s="1"/>
  <c r="K62" i="87" a="1"/>
  <c r="K62" i="87" s="1"/>
  <c r="K126" i="87" s="1"/>
  <c r="J62" i="87" a="1"/>
  <c r="J62" i="87" s="1"/>
  <c r="J126" i="87" s="1"/>
  <c r="I62" i="87" a="1"/>
  <c r="I62" i="87" s="1"/>
  <c r="I126" i="87" s="1"/>
  <c r="H62" i="87" a="1"/>
  <c r="H62" i="87" s="1"/>
  <c r="H126" i="87" s="1"/>
  <c r="G62" i="87" a="1"/>
  <c r="G62" i="87" s="1"/>
  <c r="G126" i="87" s="1"/>
  <c r="F62" i="87" a="1"/>
  <c r="F62" i="87" s="1"/>
  <c r="F126" i="87" s="1"/>
  <c r="E62" i="87" a="1"/>
  <c r="E62" i="87" s="1"/>
  <c r="E126" i="87" s="1"/>
  <c r="D62" i="87" a="1"/>
  <c r="D62" i="87" s="1"/>
  <c r="P61" i="87" a="1"/>
  <c r="P61" i="87" s="1"/>
  <c r="P125" i="87" s="1"/>
  <c r="O61" i="87" a="1"/>
  <c r="O61" i="87" s="1"/>
  <c r="O125" i="87" s="1"/>
  <c r="N61" i="87" a="1"/>
  <c r="N61" i="87" s="1"/>
  <c r="N125" i="87" s="1"/>
  <c r="M61" i="87" a="1"/>
  <c r="M61" i="87" s="1"/>
  <c r="M125" i="87" s="1"/>
  <c r="L61" i="87" a="1"/>
  <c r="L61" i="87" s="1"/>
  <c r="L125" i="87" s="1"/>
  <c r="K61" i="87" a="1"/>
  <c r="K61" i="87" s="1"/>
  <c r="K125" i="87" s="1"/>
  <c r="J61" i="87" a="1"/>
  <c r="J61" i="87" s="1"/>
  <c r="J125" i="87" s="1"/>
  <c r="I61" i="87" a="1"/>
  <c r="I61" i="87" s="1"/>
  <c r="I125" i="87" s="1"/>
  <c r="H61" i="87" a="1"/>
  <c r="H61" i="87" s="1"/>
  <c r="H125" i="87" s="1"/>
  <c r="G61" i="87" a="1"/>
  <c r="G61" i="87" s="1"/>
  <c r="G125" i="87" s="1"/>
  <c r="F61" i="87" a="1"/>
  <c r="F61" i="87" s="1"/>
  <c r="F125" i="87" s="1"/>
  <c r="E61" i="87" a="1"/>
  <c r="E61" i="87" s="1"/>
  <c r="E125" i="87" s="1"/>
  <c r="D61" i="87" a="1"/>
  <c r="D61" i="87" s="1"/>
  <c r="P60" i="87" a="1"/>
  <c r="P60" i="87" s="1"/>
  <c r="P124" i="87" s="1"/>
  <c r="O60" i="87" a="1"/>
  <c r="O60" i="87" s="1"/>
  <c r="O124" i="87" s="1"/>
  <c r="N60" i="87" a="1"/>
  <c r="N60" i="87" s="1"/>
  <c r="N124" i="87" s="1"/>
  <c r="M60" i="87" a="1"/>
  <c r="M60" i="87" s="1"/>
  <c r="M124" i="87" s="1"/>
  <c r="L60" i="87" a="1"/>
  <c r="L60" i="87" s="1"/>
  <c r="L124" i="87" s="1"/>
  <c r="K60" i="87" a="1"/>
  <c r="K60" i="87" s="1"/>
  <c r="K124" i="87" s="1"/>
  <c r="J60" i="87" a="1"/>
  <c r="J60" i="87" s="1"/>
  <c r="J124" i="87" s="1"/>
  <c r="I60" i="87" a="1"/>
  <c r="I60" i="87" s="1"/>
  <c r="I124" i="87" s="1"/>
  <c r="H60" i="87" a="1"/>
  <c r="H60" i="87" s="1"/>
  <c r="H124" i="87" s="1"/>
  <c r="G60" i="87" a="1"/>
  <c r="G60" i="87" s="1"/>
  <c r="G124" i="87" s="1"/>
  <c r="F60" i="87" a="1"/>
  <c r="F60" i="87" s="1"/>
  <c r="F124" i="87" s="1"/>
  <c r="E60" i="87" a="1"/>
  <c r="E60" i="87" s="1"/>
  <c r="E124" i="87" s="1"/>
  <c r="D60" i="87" a="1"/>
  <c r="D60" i="87" s="1"/>
  <c r="P59" i="87" a="1"/>
  <c r="P59" i="87" s="1"/>
  <c r="P123" i="87" s="1"/>
  <c r="O59" i="87" a="1"/>
  <c r="O59" i="87" s="1"/>
  <c r="O123" i="87" s="1"/>
  <c r="N59" i="87" a="1"/>
  <c r="N59" i="87" s="1"/>
  <c r="N123" i="87" s="1"/>
  <c r="M59" i="87" a="1"/>
  <c r="M59" i="87" s="1"/>
  <c r="M123" i="87" s="1"/>
  <c r="L59" i="87" a="1"/>
  <c r="L59" i="87" s="1"/>
  <c r="L123" i="87" s="1"/>
  <c r="K59" i="87" a="1"/>
  <c r="K59" i="87" s="1"/>
  <c r="K123" i="87" s="1"/>
  <c r="J59" i="87" a="1"/>
  <c r="J59" i="87" s="1"/>
  <c r="J123" i="87" s="1"/>
  <c r="I59" i="87" a="1"/>
  <c r="I59" i="87" s="1"/>
  <c r="I123" i="87" s="1"/>
  <c r="H59" i="87" a="1"/>
  <c r="H59" i="87" s="1"/>
  <c r="H123" i="87" s="1"/>
  <c r="G59" i="87" a="1"/>
  <c r="G59" i="87" s="1"/>
  <c r="G123" i="87" s="1"/>
  <c r="F59" i="87" a="1"/>
  <c r="F59" i="87" s="1"/>
  <c r="F123" i="87" s="1"/>
  <c r="E59" i="87" a="1"/>
  <c r="E59" i="87" s="1"/>
  <c r="E123" i="87" s="1"/>
  <c r="D59" i="87" a="1"/>
  <c r="D59" i="87" s="1"/>
  <c r="P58" i="87" a="1"/>
  <c r="P58" i="87" s="1"/>
  <c r="P122" i="87" s="1"/>
  <c r="O58" i="87" a="1"/>
  <c r="O58" i="87" s="1"/>
  <c r="O122" i="87" s="1"/>
  <c r="N58" i="87" a="1"/>
  <c r="N58" i="87" s="1"/>
  <c r="N122" i="87" s="1"/>
  <c r="M58" i="87" a="1"/>
  <c r="M58" i="87" s="1"/>
  <c r="M122" i="87" s="1"/>
  <c r="L58" i="87" a="1"/>
  <c r="L58" i="87" s="1"/>
  <c r="L122" i="87" s="1"/>
  <c r="K58" i="87" a="1"/>
  <c r="K58" i="87" s="1"/>
  <c r="K122" i="87" s="1"/>
  <c r="J58" i="87" a="1"/>
  <c r="J58" i="87" s="1"/>
  <c r="J122" i="87" s="1"/>
  <c r="I58" i="87" a="1"/>
  <c r="I58" i="87" s="1"/>
  <c r="I122" i="87" s="1"/>
  <c r="H58" i="87" a="1"/>
  <c r="H58" i="87" s="1"/>
  <c r="H122" i="87" s="1"/>
  <c r="G58" i="87" a="1"/>
  <c r="G58" i="87" s="1"/>
  <c r="G122" i="87" s="1"/>
  <c r="F58" i="87" a="1"/>
  <c r="F58" i="87" s="1"/>
  <c r="F122" i="87" s="1"/>
  <c r="E58" i="87" a="1"/>
  <c r="E58" i="87" s="1"/>
  <c r="E122" i="87" s="1"/>
  <c r="D58" i="87" a="1"/>
  <c r="D58" i="87" s="1"/>
  <c r="P57" i="87" a="1"/>
  <c r="P57" i="87" s="1"/>
  <c r="P121" i="87" s="1"/>
  <c r="O57" i="87" a="1"/>
  <c r="O57" i="87" s="1"/>
  <c r="O121" i="87" s="1"/>
  <c r="N57" i="87" a="1"/>
  <c r="N57" i="87" s="1"/>
  <c r="N121" i="87" s="1"/>
  <c r="M57" i="87" a="1"/>
  <c r="M57" i="87" s="1"/>
  <c r="M121" i="87" s="1"/>
  <c r="L57" i="87" a="1"/>
  <c r="L57" i="87" s="1"/>
  <c r="L121" i="87" s="1"/>
  <c r="K57" i="87" a="1"/>
  <c r="K57" i="87" s="1"/>
  <c r="K121" i="87" s="1"/>
  <c r="J57" i="87" a="1"/>
  <c r="J57" i="87" s="1"/>
  <c r="J121" i="87" s="1"/>
  <c r="I57" i="87" a="1"/>
  <c r="I57" i="87" s="1"/>
  <c r="I121" i="87" s="1"/>
  <c r="H57" i="87" a="1"/>
  <c r="H57" i="87" s="1"/>
  <c r="H121" i="87" s="1"/>
  <c r="G57" i="87" a="1"/>
  <c r="G57" i="87" s="1"/>
  <c r="G121" i="87" s="1"/>
  <c r="F57" i="87" a="1"/>
  <c r="F57" i="87" s="1"/>
  <c r="F121" i="87" s="1"/>
  <c r="E57" i="87" a="1"/>
  <c r="E57" i="87" s="1"/>
  <c r="E121" i="87" s="1"/>
  <c r="D57" i="87" a="1"/>
  <c r="D57" i="87" s="1"/>
  <c r="P56" i="87" a="1"/>
  <c r="P56" i="87" s="1"/>
  <c r="P120" i="87" s="1"/>
  <c r="O56" i="87" a="1"/>
  <c r="O56" i="87" s="1"/>
  <c r="O120" i="87" s="1"/>
  <c r="N56" i="87" a="1"/>
  <c r="N56" i="87" s="1"/>
  <c r="N120" i="87" s="1"/>
  <c r="M56" i="87" a="1"/>
  <c r="M56" i="87" s="1"/>
  <c r="M120" i="87" s="1"/>
  <c r="L56" i="87" a="1"/>
  <c r="L56" i="87" s="1"/>
  <c r="L120" i="87" s="1"/>
  <c r="K56" i="87" a="1"/>
  <c r="K56" i="87" s="1"/>
  <c r="K120" i="87" s="1"/>
  <c r="J56" i="87" a="1"/>
  <c r="J56" i="87" s="1"/>
  <c r="J120" i="87" s="1"/>
  <c r="I56" i="87" a="1"/>
  <c r="I56" i="87" s="1"/>
  <c r="I120" i="87" s="1"/>
  <c r="H56" i="87" a="1"/>
  <c r="H56" i="87" s="1"/>
  <c r="H120" i="87" s="1"/>
  <c r="G56" i="87" a="1"/>
  <c r="G56" i="87" s="1"/>
  <c r="G120" i="87" s="1"/>
  <c r="F56" i="87" a="1"/>
  <c r="F56" i="87" s="1"/>
  <c r="F120" i="87" s="1"/>
  <c r="E56" i="87" a="1"/>
  <c r="E56" i="87" s="1"/>
  <c r="E120" i="87" s="1"/>
  <c r="D56" i="87" a="1"/>
  <c r="D56" i="87" s="1"/>
  <c r="P55" i="87" a="1"/>
  <c r="P55" i="87" s="1"/>
  <c r="P119" i="87" s="1"/>
  <c r="O55" i="87" a="1"/>
  <c r="O55" i="87" s="1"/>
  <c r="O119" i="87" s="1"/>
  <c r="N55" i="87" a="1"/>
  <c r="N55" i="87" s="1"/>
  <c r="N119" i="87" s="1"/>
  <c r="M55" i="87" a="1"/>
  <c r="M55" i="87" s="1"/>
  <c r="M119" i="87" s="1"/>
  <c r="L55" i="87" a="1"/>
  <c r="L55" i="87" s="1"/>
  <c r="L119" i="87" s="1"/>
  <c r="K55" i="87" a="1"/>
  <c r="K55" i="87" s="1"/>
  <c r="K119" i="87" s="1"/>
  <c r="J55" i="87" a="1"/>
  <c r="J55" i="87" s="1"/>
  <c r="J119" i="87" s="1"/>
  <c r="I55" i="87" a="1"/>
  <c r="I55" i="87" s="1"/>
  <c r="I119" i="87" s="1"/>
  <c r="H55" i="87" a="1"/>
  <c r="H55" i="87" s="1"/>
  <c r="H119" i="87" s="1"/>
  <c r="G55" i="87" a="1"/>
  <c r="G55" i="87" s="1"/>
  <c r="G119" i="87" s="1"/>
  <c r="F55" i="87" a="1"/>
  <c r="F55" i="87" s="1"/>
  <c r="F119" i="87" s="1"/>
  <c r="E55" i="87" a="1"/>
  <c r="E55" i="87" s="1"/>
  <c r="E119" i="87" s="1"/>
  <c r="D55" i="87" a="1"/>
  <c r="D55" i="87" s="1"/>
  <c r="P54" i="87" a="1"/>
  <c r="P54" i="87" s="1"/>
  <c r="P118" i="87" s="1"/>
  <c r="O54" i="87" a="1"/>
  <c r="O54" i="87" s="1"/>
  <c r="O118" i="87" s="1"/>
  <c r="N54" i="87" a="1"/>
  <c r="N54" i="87" s="1"/>
  <c r="N118" i="87" s="1"/>
  <c r="M54" i="87" a="1"/>
  <c r="M54" i="87" s="1"/>
  <c r="M118" i="87" s="1"/>
  <c r="L54" i="87" a="1"/>
  <c r="L54" i="87" s="1"/>
  <c r="L118" i="87" s="1"/>
  <c r="K54" i="87" a="1"/>
  <c r="K54" i="87" s="1"/>
  <c r="K118" i="87" s="1"/>
  <c r="J54" i="87" a="1"/>
  <c r="J54" i="87" s="1"/>
  <c r="J118" i="87" s="1"/>
  <c r="I54" i="87" a="1"/>
  <c r="I54" i="87" s="1"/>
  <c r="I118" i="87" s="1"/>
  <c r="H54" i="87" a="1"/>
  <c r="H54" i="87" s="1"/>
  <c r="H118" i="87" s="1"/>
  <c r="G54" i="87" a="1"/>
  <c r="G54" i="87" s="1"/>
  <c r="G118" i="87" s="1"/>
  <c r="F54" i="87" a="1"/>
  <c r="F54" i="87" s="1"/>
  <c r="F118" i="87" s="1"/>
  <c r="E54" i="87" a="1"/>
  <c r="E54" i="87" s="1"/>
  <c r="E118" i="87" s="1"/>
  <c r="D54" i="87" a="1"/>
  <c r="D54" i="87" s="1"/>
  <c r="D52" i="87" a="1"/>
  <c r="D52" i="87" s="1"/>
  <c r="D51" i="87" a="1"/>
  <c r="D51" i="87" s="1"/>
  <c r="D50" i="87" a="1"/>
  <c r="D50" i="87" s="1"/>
  <c r="D49" i="87" a="1"/>
  <c r="D49" i="87" s="1"/>
  <c r="M46" i="87" a="1"/>
  <c r="M46" i="87" s="1"/>
  <c r="L46" i="87" a="1"/>
  <c r="L46" i="87" s="1"/>
  <c r="M117" i="87" s="1"/>
  <c r="K46" i="87" a="1"/>
  <c r="K46" i="87" s="1"/>
  <c r="L117" i="87" s="1"/>
  <c r="J46" i="87" a="1"/>
  <c r="J46" i="87" s="1"/>
  <c r="J117" i="87" s="1"/>
  <c r="I46" i="87" a="1"/>
  <c r="I46" i="87" s="1"/>
  <c r="I117" i="87" s="1"/>
  <c r="H46" i="87" a="1"/>
  <c r="H46" i="87" s="1"/>
  <c r="H117" i="87" s="1"/>
  <c r="G46" i="87" a="1"/>
  <c r="G46" i="87" s="1"/>
  <c r="G117" i="87" s="1"/>
  <c r="F46" i="87" a="1"/>
  <c r="F46" i="87" s="1"/>
  <c r="F117" i="87" s="1"/>
  <c r="E46" i="87" a="1"/>
  <c r="E46" i="87" s="1"/>
  <c r="E117" i="87" s="1"/>
  <c r="D46" i="87" a="1"/>
  <c r="D46" i="87" s="1"/>
  <c r="M45" i="87" a="1"/>
  <c r="M45" i="87" s="1"/>
  <c r="L45" i="87" a="1"/>
  <c r="L45" i="87" s="1"/>
  <c r="M116" i="87" s="1"/>
  <c r="K45" i="87" a="1"/>
  <c r="K45" i="87" s="1"/>
  <c r="L116" i="87" s="1"/>
  <c r="J45" i="87" a="1"/>
  <c r="J45" i="87" s="1"/>
  <c r="J116" i="87" s="1"/>
  <c r="I45" i="87" a="1"/>
  <c r="I45" i="87" s="1"/>
  <c r="I116" i="87" s="1"/>
  <c r="H45" i="87" a="1"/>
  <c r="H45" i="87" s="1"/>
  <c r="H116" i="87" s="1"/>
  <c r="G45" i="87" a="1"/>
  <c r="G45" i="87" s="1"/>
  <c r="G116" i="87" s="1"/>
  <c r="F45" i="87" a="1"/>
  <c r="F45" i="87" s="1"/>
  <c r="F116" i="87" s="1"/>
  <c r="E45" i="87" a="1"/>
  <c r="E45" i="87" s="1"/>
  <c r="E116" i="87" s="1"/>
  <c r="D45" i="87" a="1"/>
  <c r="D45" i="87" s="1"/>
  <c r="M44" i="87" a="1"/>
  <c r="M44" i="87" s="1"/>
  <c r="L44" i="87" a="1"/>
  <c r="L44" i="87" s="1"/>
  <c r="M115" i="87" s="1"/>
  <c r="K44" i="87" a="1"/>
  <c r="K44" i="87" s="1"/>
  <c r="J44" i="87" a="1"/>
  <c r="J44" i="87" s="1"/>
  <c r="J115" i="87" s="1"/>
  <c r="I44" i="87" a="1"/>
  <c r="I44" i="87" s="1"/>
  <c r="I115" i="87" s="1"/>
  <c r="H44" i="87" a="1"/>
  <c r="H44" i="87" s="1"/>
  <c r="H115" i="87" s="1"/>
  <c r="G44" i="87" a="1"/>
  <c r="G44" i="87" s="1"/>
  <c r="G115" i="87" s="1"/>
  <c r="F44" i="87" a="1"/>
  <c r="F44" i="87" s="1"/>
  <c r="F115" i="87" s="1"/>
  <c r="E44" i="87" a="1"/>
  <c r="E44" i="87" s="1"/>
  <c r="E115" i="87" s="1"/>
  <c r="D44" i="87" a="1"/>
  <c r="D44" i="87" s="1"/>
  <c r="M43" i="87" a="1"/>
  <c r="M43" i="87" s="1"/>
  <c r="L43" i="87" a="1"/>
  <c r="L43" i="87" s="1"/>
  <c r="M114" i="87" s="1"/>
  <c r="K43" i="87" a="1"/>
  <c r="K43" i="87" s="1"/>
  <c r="J43" i="87" a="1"/>
  <c r="J43" i="87" s="1"/>
  <c r="J114" i="87" s="1"/>
  <c r="I43" i="87" a="1"/>
  <c r="I43" i="87" s="1"/>
  <c r="I114" i="87" s="1"/>
  <c r="H43" i="87" a="1"/>
  <c r="H43" i="87" s="1"/>
  <c r="H114" i="87" s="1"/>
  <c r="G43" i="87" a="1"/>
  <c r="G43" i="87" s="1"/>
  <c r="G114" i="87" s="1"/>
  <c r="F43" i="87" a="1"/>
  <c r="F43" i="87" s="1"/>
  <c r="F114" i="87" s="1"/>
  <c r="E43" i="87" a="1"/>
  <c r="E43" i="87" s="1"/>
  <c r="E114" i="87" s="1"/>
  <c r="D43" i="87" a="1"/>
  <c r="D43" i="87" s="1"/>
  <c r="M42" i="87" a="1"/>
  <c r="M42" i="87" s="1"/>
  <c r="L42" i="87" a="1"/>
  <c r="L42" i="87" s="1"/>
  <c r="M113" i="87" s="1"/>
  <c r="K42" i="87" a="1"/>
  <c r="K42" i="87" s="1"/>
  <c r="J42" i="87" a="1"/>
  <c r="J42" i="87" s="1"/>
  <c r="J113" i="87" s="1"/>
  <c r="I42" i="87" a="1"/>
  <c r="I42" i="87" s="1"/>
  <c r="I113" i="87" s="1"/>
  <c r="H42" i="87" a="1"/>
  <c r="H42" i="87" s="1"/>
  <c r="H113" i="87" s="1"/>
  <c r="G42" i="87" a="1"/>
  <c r="G42" i="87" s="1"/>
  <c r="G113" i="87" s="1"/>
  <c r="F42" i="87" a="1"/>
  <c r="F42" i="87" s="1"/>
  <c r="F113" i="87" s="1"/>
  <c r="E42" i="87" a="1"/>
  <c r="E42" i="87" s="1"/>
  <c r="E113" i="87" s="1"/>
  <c r="D42" i="87" a="1"/>
  <c r="D42" i="87" s="1"/>
  <c r="M41" i="87" a="1"/>
  <c r="M41" i="87" s="1"/>
  <c r="L41" i="87" a="1"/>
  <c r="L41" i="87" s="1"/>
  <c r="M112" i="87" s="1"/>
  <c r="K41" i="87" a="1"/>
  <c r="K41" i="87" s="1"/>
  <c r="J41" i="87" a="1"/>
  <c r="J41" i="87" s="1"/>
  <c r="J112" i="87" s="1"/>
  <c r="I41" i="87" a="1"/>
  <c r="I41" i="87" s="1"/>
  <c r="I112" i="87" s="1"/>
  <c r="H41" i="87" a="1"/>
  <c r="H41" i="87" s="1"/>
  <c r="H112" i="87" s="1"/>
  <c r="G41" i="87" a="1"/>
  <c r="G41" i="87" s="1"/>
  <c r="G112" i="87" s="1"/>
  <c r="F41" i="87" a="1"/>
  <c r="F41" i="87" s="1"/>
  <c r="F112" i="87" s="1"/>
  <c r="E41" i="87" a="1"/>
  <c r="E41" i="87" s="1"/>
  <c r="E112" i="87" s="1"/>
  <c r="D41" i="87" a="1"/>
  <c r="D41" i="87" s="1"/>
  <c r="M40" i="87" a="1"/>
  <c r="M40" i="87" s="1"/>
  <c r="L40" i="87" a="1"/>
  <c r="L40" i="87" s="1"/>
  <c r="M111" i="87" s="1"/>
  <c r="K40" i="87" a="1"/>
  <c r="K40" i="87" s="1"/>
  <c r="J40" i="87" a="1"/>
  <c r="J40" i="87" s="1"/>
  <c r="J111" i="87" s="1"/>
  <c r="I40" i="87" a="1"/>
  <c r="I40" i="87" s="1"/>
  <c r="I111" i="87" s="1"/>
  <c r="H40" i="87" a="1"/>
  <c r="H40" i="87" s="1"/>
  <c r="H111" i="87" s="1"/>
  <c r="G40" i="87" a="1"/>
  <c r="G40" i="87" s="1"/>
  <c r="G111" i="87" s="1"/>
  <c r="F40" i="87" a="1"/>
  <c r="F40" i="87" s="1"/>
  <c r="F111" i="87" s="1"/>
  <c r="E40" i="87" a="1"/>
  <c r="E40" i="87" s="1"/>
  <c r="E111" i="87" s="1"/>
  <c r="D40" i="87" a="1"/>
  <c r="D40" i="87" s="1"/>
  <c r="M39" i="87" a="1"/>
  <c r="M39" i="87" s="1"/>
  <c r="L39" i="87" a="1"/>
  <c r="L39" i="87" s="1"/>
  <c r="M110" i="87" s="1"/>
  <c r="K39" i="87" a="1"/>
  <c r="K39" i="87" s="1"/>
  <c r="J39" i="87" a="1"/>
  <c r="J39" i="87" s="1"/>
  <c r="J110" i="87" s="1"/>
  <c r="I39" i="87" a="1"/>
  <c r="I39" i="87" s="1"/>
  <c r="I110" i="87" s="1"/>
  <c r="H39" i="87" a="1"/>
  <c r="H39" i="87" s="1"/>
  <c r="H110" i="87" s="1"/>
  <c r="G39" i="87" a="1"/>
  <c r="G39" i="87" s="1"/>
  <c r="G110" i="87" s="1"/>
  <c r="F39" i="87" a="1"/>
  <c r="F39" i="87" s="1"/>
  <c r="F110" i="87" s="1"/>
  <c r="E39" i="87" a="1"/>
  <c r="E39" i="87" s="1"/>
  <c r="E110" i="87" s="1"/>
  <c r="D39" i="87" a="1"/>
  <c r="D39" i="87" s="1"/>
  <c r="M38" i="87" a="1"/>
  <c r="M38" i="87" s="1"/>
  <c r="L38" i="87" a="1"/>
  <c r="L38" i="87" s="1"/>
  <c r="M109" i="87" s="1"/>
  <c r="K38" i="87" a="1"/>
  <c r="K38" i="87" s="1"/>
  <c r="L109" i="87" s="1"/>
  <c r="J38" i="87" a="1"/>
  <c r="J38" i="87" s="1"/>
  <c r="J109" i="87" s="1"/>
  <c r="I38" i="87" a="1"/>
  <c r="I38" i="87" s="1"/>
  <c r="I109" i="87" s="1"/>
  <c r="H38" i="87" a="1"/>
  <c r="H38" i="87" s="1"/>
  <c r="H109" i="87" s="1"/>
  <c r="G38" i="87" a="1"/>
  <c r="G38" i="87" s="1"/>
  <c r="G109" i="87" s="1"/>
  <c r="F38" i="87" a="1"/>
  <c r="F38" i="87" s="1"/>
  <c r="F109" i="87" s="1"/>
  <c r="E38" i="87" a="1"/>
  <c r="E38" i="87" s="1"/>
  <c r="E109" i="87" s="1"/>
  <c r="D38" i="87" a="1"/>
  <c r="D38" i="87" s="1"/>
  <c r="M37" i="87" a="1"/>
  <c r="M37" i="87" s="1"/>
  <c r="L37" i="87" a="1"/>
  <c r="L37" i="87" s="1"/>
  <c r="M108" i="87" s="1"/>
  <c r="K37" i="87" a="1"/>
  <c r="K37" i="87" s="1"/>
  <c r="L108" i="87" s="1"/>
  <c r="J37" i="87" a="1"/>
  <c r="J37" i="87" s="1"/>
  <c r="J108" i="87" s="1"/>
  <c r="I37" i="87" a="1"/>
  <c r="I37" i="87" s="1"/>
  <c r="I108" i="87" s="1"/>
  <c r="H37" i="87" a="1"/>
  <c r="H37" i="87" s="1"/>
  <c r="H108" i="87" s="1"/>
  <c r="G37" i="87" a="1"/>
  <c r="G37" i="87" s="1"/>
  <c r="G108" i="87" s="1"/>
  <c r="F37" i="87" a="1"/>
  <c r="F37" i="87" s="1"/>
  <c r="F108" i="87" s="1"/>
  <c r="E37" i="87" a="1"/>
  <c r="E37" i="87" s="1"/>
  <c r="E108" i="87" s="1"/>
  <c r="D37" i="87" a="1"/>
  <c r="D37" i="87" s="1"/>
  <c r="M36" i="87" a="1"/>
  <c r="M36" i="87" s="1"/>
  <c r="L36" i="87" a="1"/>
  <c r="L36" i="87" s="1"/>
  <c r="M107" i="87" s="1"/>
  <c r="K36" i="87" a="1"/>
  <c r="K36" i="87" s="1"/>
  <c r="J36" i="87" a="1"/>
  <c r="J36" i="87" s="1"/>
  <c r="J107" i="87" s="1"/>
  <c r="I36" i="87" a="1"/>
  <c r="I36" i="87" s="1"/>
  <c r="I107" i="87" s="1"/>
  <c r="H36" i="87" a="1"/>
  <c r="H36" i="87" s="1"/>
  <c r="H107" i="87" s="1"/>
  <c r="G36" i="87" a="1"/>
  <c r="G36" i="87" s="1"/>
  <c r="G107" i="87" s="1"/>
  <c r="F36" i="87" a="1"/>
  <c r="F36" i="87" s="1"/>
  <c r="F107" i="87" s="1"/>
  <c r="E36" i="87" a="1"/>
  <c r="E36" i="87" s="1"/>
  <c r="E107" i="87" s="1"/>
  <c r="D36" i="87" a="1"/>
  <c r="D36" i="87" s="1"/>
  <c r="M35" i="87" a="1"/>
  <c r="M35" i="87" s="1"/>
  <c r="O106" i="87" s="1"/>
  <c r="L35" i="87" a="1"/>
  <c r="L35" i="87" s="1"/>
  <c r="M106" i="87" s="1"/>
  <c r="K35" i="87" a="1"/>
  <c r="K35" i="87" s="1"/>
  <c r="J35" i="87" a="1"/>
  <c r="J35" i="87" s="1"/>
  <c r="J106" i="87" s="1"/>
  <c r="I35" i="87" a="1"/>
  <c r="I35" i="87" s="1"/>
  <c r="I106" i="87" s="1"/>
  <c r="H35" i="87" a="1"/>
  <c r="H35" i="87" s="1"/>
  <c r="H106" i="87" s="1"/>
  <c r="G35" i="87" a="1"/>
  <c r="G35" i="87" s="1"/>
  <c r="G106" i="87" s="1"/>
  <c r="F35" i="87" a="1"/>
  <c r="F35" i="87" s="1"/>
  <c r="E35" i="87" a="1"/>
  <c r="E35" i="87" s="1"/>
  <c r="E106" i="87" s="1"/>
  <c r="D35" i="87" a="1"/>
  <c r="D35" i="87" s="1"/>
  <c r="M34" i="87" a="1"/>
  <c r="M34" i="87" s="1"/>
  <c r="L34" i="87" a="1"/>
  <c r="L34" i="87" s="1"/>
  <c r="M105" i="87" s="1"/>
  <c r="K34" i="87" a="1"/>
  <c r="K34" i="87" s="1"/>
  <c r="J34" i="87" a="1"/>
  <c r="J34" i="87" s="1"/>
  <c r="J105" i="87" s="1"/>
  <c r="I34" i="87" a="1"/>
  <c r="I34" i="87" s="1"/>
  <c r="I105" i="87" s="1"/>
  <c r="H34" i="87" a="1"/>
  <c r="H34" i="87" s="1"/>
  <c r="H105" i="87" s="1"/>
  <c r="G34" i="87" a="1"/>
  <c r="G34" i="87" s="1"/>
  <c r="G105" i="87" s="1"/>
  <c r="F34" i="87" a="1"/>
  <c r="F34" i="87" s="1"/>
  <c r="E34" i="87" a="1"/>
  <c r="E34" i="87" s="1"/>
  <c r="D34" i="87" a="1"/>
  <c r="D34" i="87" s="1"/>
  <c r="M33" i="87" a="1"/>
  <c r="M33" i="87" s="1"/>
  <c r="L33" i="87" a="1"/>
  <c r="L33" i="87" s="1"/>
  <c r="M104" i="87" s="1"/>
  <c r="K33" i="87" a="1"/>
  <c r="K33" i="87" s="1"/>
  <c r="J33" i="87" a="1"/>
  <c r="J33" i="87" s="1"/>
  <c r="J104" i="87" s="1"/>
  <c r="I33" i="87" a="1"/>
  <c r="I33" i="87" s="1"/>
  <c r="I104" i="87" s="1"/>
  <c r="H33" i="87" a="1"/>
  <c r="H33" i="87" s="1"/>
  <c r="H104" i="87" s="1"/>
  <c r="G33" i="87" a="1"/>
  <c r="G33" i="87" s="1"/>
  <c r="G104" i="87" s="1"/>
  <c r="F33" i="87" a="1"/>
  <c r="F33" i="87" s="1"/>
  <c r="E33" i="87" a="1"/>
  <c r="E33" i="87" s="1"/>
  <c r="D33" i="87" a="1"/>
  <c r="D33" i="87" s="1"/>
  <c r="M32" i="87" a="1"/>
  <c r="M32" i="87" s="1"/>
  <c r="L32" i="87" a="1"/>
  <c r="L32" i="87" s="1"/>
  <c r="M103" i="87" s="1"/>
  <c r="K32" i="87" a="1"/>
  <c r="K32" i="87" s="1"/>
  <c r="J32" i="87" a="1"/>
  <c r="J32" i="87" s="1"/>
  <c r="J103" i="87" s="1"/>
  <c r="I32" i="87" a="1"/>
  <c r="I32" i="87" s="1"/>
  <c r="I103" i="87" s="1"/>
  <c r="H32" i="87" a="1"/>
  <c r="H32" i="87" s="1"/>
  <c r="H103" i="87" s="1"/>
  <c r="G32" i="87" a="1"/>
  <c r="G32" i="87" s="1"/>
  <c r="G103" i="87" s="1"/>
  <c r="F32" i="87" a="1"/>
  <c r="F32" i="87" s="1"/>
  <c r="E32" i="87" a="1"/>
  <c r="E32" i="87" s="1"/>
  <c r="D32" i="87" a="1"/>
  <c r="D32" i="87" s="1"/>
  <c r="M31" i="87" a="1"/>
  <c r="M31" i="87" s="1"/>
  <c r="L31" i="87" a="1"/>
  <c r="L31" i="87" s="1"/>
  <c r="M102" i="87" s="1"/>
  <c r="K31" i="87" a="1"/>
  <c r="K31" i="87" s="1"/>
  <c r="L102" i="87" s="1"/>
  <c r="J31" i="87" a="1"/>
  <c r="J31" i="87" s="1"/>
  <c r="J102" i="87" s="1"/>
  <c r="I31" i="87" a="1"/>
  <c r="I31" i="87" s="1"/>
  <c r="I102" i="87" s="1"/>
  <c r="H31" i="87" a="1"/>
  <c r="H31" i="87" s="1"/>
  <c r="H102" i="87" s="1"/>
  <c r="G31" i="87" a="1"/>
  <c r="G31" i="87" s="1"/>
  <c r="G102" i="87" s="1"/>
  <c r="F31" i="87" a="1"/>
  <c r="F31" i="87" s="1"/>
  <c r="F98" i="87" s="1"/>
  <c r="E31" i="87" a="1"/>
  <c r="E31" i="87" s="1"/>
  <c r="D31" i="87" a="1"/>
  <c r="D31" i="87" s="1"/>
  <c r="M30" i="87" a="1"/>
  <c r="M30" i="87" s="1"/>
  <c r="P101" i="87" s="1"/>
  <c r="L30" i="87" a="1"/>
  <c r="L30" i="87" s="1"/>
  <c r="M101" i="87" s="1"/>
  <c r="K30" i="87" a="1"/>
  <c r="K30" i="87" s="1"/>
  <c r="J30" i="87" a="1"/>
  <c r="J30" i="87" s="1"/>
  <c r="J101" i="87" s="1"/>
  <c r="I30" i="87" a="1"/>
  <c r="I30" i="87" s="1"/>
  <c r="I101" i="87" s="1"/>
  <c r="H30" i="87" a="1"/>
  <c r="H30" i="87" s="1"/>
  <c r="H101" i="87" s="1"/>
  <c r="G30" i="87" a="1"/>
  <c r="G30" i="87" s="1"/>
  <c r="G101" i="87" s="1"/>
  <c r="F30" i="87" a="1"/>
  <c r="F30" i="87" s="1"/>
  <c r="E30" i="87" a="1"/>
  <c r="E30" i="87" s="1"/>
  <c r="D30" i="87" a="1"/>
  <c r="D30" i="87" s="1"/>
  <c r="M29" i="87" a="1"/>
  <c r="M29" i="87" s="1"/>
  <c r="L29" i="87" a="1"/>
  <c r="L29" i="87" s="1"/>
  <c r="M100" i="87" s="1"/>
  <c r="K29" i="87" a="1"/>
  <c r="K29" i="87" s="1"/>
  <c r="J29" i="87" a="1"/>
  <c r="J29" i="87" s="1"/>
  <c r="J100" i="87" s="1"/>
  <c r="I29" i="87" a="1"/>
  <c r="I29" i="87" s="1"/>
  <c r="I100" i="87" s="1"/>
  <c r="H29" i="87" a="1"/>
  <c r="H29" i="87" s="1"/>
  <c r="H100" i="87" s="1"/>
  <c r="G29" i="87" a="1"/>
  <c r="G29" i="87" s="1"/>
  <c r="G100" i="87" s="1"/>
  <c r="F29" i="87" a="1"/>
  <c r="F29" i="87" s="1"/>
  <c r="E29" i="87" a="1"/>
  <c r="E29" i="87" s="1"/>
  <c r="D29" i="87" a="1"/>
  <c r="D29" i="87" s="1"/>
  <c r="M28" i="87" a="1"/>
  <c r="M28" i="87" s="1"/>
  <c r="L28" i="87" a="1"/>
  <c r="L28" i="87" s="1"/>
  <c r="M99" i="87" s="1"/>
  <c r="K28" i="87" a="1"/>
  <c r="K28" i="87" s="1"/>
  <c r="J28" i="87" a="1"/>
  <c r="J28" i="87" s="1"/>
  <c r="J99" i="87" s="1"/>
  <c r="I28" i="87" a="1"/>
  <c r="I28" i="87" s="1"/>
  <c r="I99" i="87" s="1"/>
  <c r="H28" i="87" a="1"/>
  <c r="H28" i="87" s="1"/>
  <c r="H99" i="87" s="1"/>
  <c r="G28" i="87" a="1"/>
  <c r="G28" i="87" s="1"/>
  <c r="G99" i="87" s="1"/>
  <c r="F28" i="87" a="1"/>
  <c r="F28" i="87" s="1"/>
  <c r="E28" i="87" a="1"/>
  <c r="E28" i="87" s="1"/>
  <c r="D28" i="87" a="1"/>
  <c r="D28" i="87" s="1"/>
  <c r="M27" i="87" a="1"/>
  <c r="M27" i="87" s="1"/>
  <c r="L27" i="87" a="1"/>
  <c r="L27" i="87" s="1"/>
  <c r="M98" i="87" s="1"/>
  <c r="K27" i="87" a="1"/>
  <c r="K27" i="87" s="1"/>
  <c r="J27" i="87" a="1"/>
  <c r="J27" i="87" s="1"/>
  <c r="J98" i="87" s="1"/>
  <c r="I27" i="87" a="1"/>
  <c r="I27" i="87" s="1"/>
  <c r="I98" i="87" s="1"/>
  <c r="H27" i="87" a="1"/>
  <c r="H27" i="87" s="1"/>
  <c r="H98" i="87" s="1"/>
  <c r="G27" i="87" a="1"/>
  <c r="G27" i="87" s="1"/>
  <c r="G98" i="87" s="1"/>
  <c r="F27" i="87" a="1"/>
  <c r="F27" i="87" s="1"/>
  <c r="F94" i="87" s="1"/>
  <c r="E27" i="87" a="1"/>
  <c r="E27" i="87" s="1"/>
  <c r="D27" i="87" a="1"/>
  <c r="D27" i="87" s="1"/>
  <c r="M26" i="87" a="1"/>
  <c r="M26" i="87" s="1"/>
  <c r="L26" i="87" a="1"/>
  <c r="L26" i="87" s="1"/>
  <c r="M97" i="87" s="1"/>
  <c r="K26" i="87" a="1"/>
  <c r="K26" i="87" s="1"/>
  <c r="L97" i="87" s="1"/>
  <c r="J26" i="87" a="1"/>
  <c r="J26" i="87" s="1"/>
  <c r="J97" i="87" s="1"/>
  <c r="I26" i="87" a="1"/>
  <c r="I26" i="87" s="1"/>
  <c r="I97" i="87" s="1"/>
  <c r="H26" i="87" a="1"/>
  <c r="H26" i="87" s="1"/>
  <c r="H97" i="87" s="1"/>
  <c r="G26" i="87" a="1"/>
  <c r="G26" i="87" s="1"/>
  <c r="G97" i="87" s="1"/>
  <c r="F26" i="87" a="1"/>
  <c r="F26" i="87" s="1"/>
  <c r="E26" i="87" a="1"/>
  <c r="E26" i="87" s="1"/>
  <c r="D26" i="87" a="1"/>
  <c r="D26" i="87" s="1"/>
  <c r="M25" i="87" a="1"/>
  <c r="M25" i="87" s="1"/>
  <c r="L25" i="87" a="1"/>
  <c r="L25" i="87" s="1"/>
  <c r="M96" i="87" s="1"/>
  <c r="K25" i="87" a="1"/>
  <c r="K25" i="87" s="1"/>
  <c r="J25" i="87" a="1"/>
  <c r="J25" i="87" s="1"/>
  <c r="J96" i="87" s="1"/>
  <c r="I25" i="87" a="1"/>
  <c r="I25" i="87" s="1"/>
  <c r="I96" i="87" s="1"/>
  <c r="H25" i="87" a="1"/>
  <c r="H25" i="87" s="1"/>
  <c r="H96" i="87" s="1"/>
  <c r="G25" i="87" a="1"/>
  <c r="G25" i="87" s="1"/>
  <c r="G96" i="87" s="1"/>
  <c r="F25" i="87" a="1"/>
  <c r="F25" i="87" s="1"/>
  <c r="E25" i="87" a="1"/>
  <c r="E25" i="87" s="1"/>
  <c r="D25" i="87" a="1"/>
  <c r="D25" i="87" s="1"/>
  <c r="M24" i="87" a="1"/>
  <c r="M24" i="87" s="1"/>
  <c r="L24" i="87" a="1"/>
  <c r="L24" i="87" s="1"/>
  <c r="M95" i="87" s="1"/>
  <c r="K24" i="87" a="1"/>
  <c r="K24" i="87" s="1"/>
  <c r="J24" i="87" a="1"/>
  <c r="J24" i="87" s="1"/>
  <c r="J95" i="87" s="1"/>
  <c r="I24" i="87" a="1"/>
  <c r="I24" i="87" s="1"/>
  <c r="I95" i="87" s="1"/>
  <c r="H24" i="87" a="1"/>
  <c r="H24" i="87" s="1"/>
  <c r="H95" i="87" s="1"/>
  <c r="G24" i="87" a="1"/>
  <c r="G24" i="87" s="1"/>
  <c r="G95" i="87" s="1"/>
  <c r="F24" i="87" a="1"/>
  <c r="F24" i="87" s="1"/>
  <c r="E24" i="87" a="1"/>
  <c r="E24" i="87" s="1"/>
  <c r="D24" i="87" a="1"/>
  <c r="D24" i="87" s="1"/>
  <c r="M23" i="87" a="1"/>
  <c r="M23" i="87" s="1"/>
  <c r="L23" i="87" a="1"/>
  <c r="L23" i="87" s="1"/>
  <c r="M94" i="87" s="1"/>
  <c r="K23" i="87" a="1"/>
  <c r="K23" i="87" s="1"/>
  <c r="J23" i="87" a="1"/>
  <c r="J23" i="87" s="1"/>
  <c r="J94" i="87" s="1"/>
  <c r="I23" i="87" a="1"/>
  <c r="I23" i="87" s="1"/>
  <c r="I94" i="87" s="1"/>
  <c r="H23" i="87" a="1"/>
  <c r="H23" i="87" s="1"/>
  <c r="H94" i="87" s="1"/>
  <c r="G23" i="87" a="1"/>
  <c r="G23" i="87" s="1"/>
  <c r="G94" i="87" s="1"/>
  <c r="F23" i="87" a="1"/>
  <c r="F23" i="87" s="1"/>
  <c r="F90" i="87" s="1"/>
  <c r="E23" i="87" a="1"/>
  <c r="E23" i="87" s="1"/>
  <c r="D23" i="87" a="1"/>
  <c r="D23" i="87" s="1"/>
  <c r="M22" i="87" a="1"/>
  <c r="M22" i="87" s="1"/>
  <c r="L22" i="87" a="1"/>
  <c r="L22" i="87" s="1"/>
  <c r="M89" i="87" s="1"/>
  <c r="K22" i="87" a="1"/>
  <c r="K22" i="87" s="1"/>
  <c r="K93" i="87" s="1"/>
  <c r="J22" i="87" a="1"/>
  <c r="J22" i="87" s="1"/>
  <c r="I22" i="87" a="1"/>
  <c r="I22" i="87" s="1"/>
  <c r="I89" i="87" s="1"/>
  <c r="H22" i="87" a="1"/>
  <c r="H22" i="87" s="1"/>
  <c r="G22" i="87" a="1"/>
  <c r="G22" i="87" s="1"/>
  <c r="G89" i="87" s="1"/>
  <c r="F22" i="87" a="1"/>
  <c r="F22" i="87" s="1"/>
  <c r="E22" i="87" a="1"/>
  <c r="E22" i="87" s="1"/>
  <c r="D22" i="87" a="1"/>
  <c r="D22" i="87" s="1"/>
  <c r="M21" i="87" a="1"/>
  <c r="M21" i="87" s="1"/>
  <c r="O88" i="87" s="1"/>
  <c r="L21" i="87" a="1"/>
  <c r="L21" i="87" s="1"/>
  <c r="M92" i="87" s="1"/>
  <c r="K21" i="87" a="1"/>
  <c r="K21" i="87" s="1"/>
  <c r="J21" i="87" a="1"/>
  <c r="J21" i="87" s="1"/>
  <c r="I21" i="87" a="1"/>
  <c r="I21" i="87" s="1"/>
  <c r="H21" i="87" a="1"/>
  <c r="H21" i="87" s="1"/>
  <c r="H88" i="87" s="1"/>
  <c r="G21" i="87" a="1"/>
  <c r="G21" i="87" s="1"/>
  <c r="F21" i="87" a="1"/>
  <c r="F21" i="87" s="1"/>
  <c r="E21" i="87" a="1"/>
  <c r="E21" i="87" s="1"/>
  <c r="D21" i="87" a="1"/>
  <c r="D21" i="87" s="1"/>
  <c r="M20" i="87" a="1"/>
  <c r="M20" i="87" s="1"/>
  <c r="L20" i="87" a="1"/>
  <c r="L20" i="87" s="1"/>
  <c r="K20" i="87" a="1"/>
  <c r="K20" i="87" s="1"/>
  <c r="L91" i="87" s="1"/>
  <c r="J20" i="87" a="1"/>
  <c r="J20" i="87" s="1"/>
  <c r="J91" i="87" s="1"/>
  <c r="I20" i="87" a="1"/>
  <c r="I20" i="87" s="1"/>
  <c r="H20" i="87" a="1"/>
  <c r="H20" i="87" s="1"/>
  <c r="G20" i="87" a="1"/>
  <c r="G20" i="87" s="1"/>
  <c r="F20" i="87" a="1"/>
  <c r="F20" i="87" s="1"/>
  <c r="E20" i="87" a="1"/>
  <c r="E20" i="87" s="1"/>
  <c r="D20" i="87" a="1"/>
  <c r="D20" i="87" s="1"/>
  <c r="M19" i="87" a="1"/>
  <c r="M19" i="87" s="1"/>
  <c r="L19" i="87" a="1"/>
  <c r="L19" i="87" s="1"/>
  <c r="K19" i="87" a="1"/>
  <c r="K19" i="87" s="1"/>
  <c r="J19" i="87" a="1"/>
  <c r="J19" i="87" s="1"/>
  <c r="I19" i="87" a="1"/>
  <c r="I19" i="87" s="1"/>
  <c r="H19" i="87" a="1"/>
  <c r="H19" i="87" s="1"/>
  <c r="G19" i="87" a="1"/>
  <c r="G19" i="87" s="1"/>
  <c r="G90" i="87" s="1"/>
  <c r="F19" i="87" a="1"/>
  <c r="F19" i="87" s="1"/>
  <c r="F86" i="87" s="1"/>
  <c r="E19" i="87" a="1"/>
  <c r="E19" i="87" s="1"/>
  <c r="D19" i="87" a="1"/>
  <c r="D19" i="87" s="1"/>
  <c r="D17" i="87" a="1"/>
  <c r="D17" i="87" s="1"/>
  <c r="D16" i="87" a="1"/>
  <c r="D16" i="87" s="1"/>
  <c r="D15" i="87" a="1"/>
  <c r="D15" i="87" s="1"/>
  <c r="D14" i="87" a="1"/>
  <c r="D14" i="87" s="1"/>
  <c r="O41" i="86" a="1"/>
  <c r="O41" i="86" s="1"/>
  <c r="F41" i="86" a="1"/>
  <c r="F41" i="86" s="1"/>
  <c r="M38" i="86" a="1"/>
  <c r="M38" i="86" s="1"/>
  <c r="D38" i="86" a="1"/>
  <c r="D38" i="86" s="1"/>
  <c r="P32" i="86" a="1"/>
  <c r="P32" i="86" s="1"/>
  <c r="M32" i="86" a="1"/>
  <c r="M32" i="86" s="1"/>
  <c r="G32" i="86" a="1"/>
  <c r="G32" i="86" s="1"/>
  <c r="D32" i="86" a="1"/>
  <c r="D32" i="86" s="1"/>
  <c r="E30" i="86" a="1"/>
  <c r="E30" i="86" s="1"/>
  <c r="E29" i="86" a="1"/>
  <c r="E29" i="86" s="1"/>
  <c r="D25" i="86" a="1"/>
  <c r="D25" i="86" s="1"/>
  <c r="D24" i="86" a="1"/>
  <c r="D24" i="86" s="1"/>
  <c r="I18" i="86"/>
  <c r="I17" i="86"/>
  <c r="I16" i="86"/>
  <c r="P13" i="86" a="1"/>
  <c r="P13" i="86" s="1"/>
  <c r="M13" i="86" a="1"/>
  <c r="M13" i="86" s="1"/>
  <c r="G13" i="86" a="1"/>
  <c r="G13" i="86" s="1"/>
  <c r="D13" i="86" a="1"/>
  <c r="D13" i="86" s="1"/>
  <c r="E11" i="86" a="1"/>
  <c r="E11" i="86" s="1"/>
  <c r="E10" i="86" a="1"/>
  <c r="E10" i="86" s="1"/>
  <c r="D6" i="86" a="1"/>
  <c r="D6" i="86" s="1"/>
  <c r="D5" i="86" a="1"/>
  <c r="D5" i="86" s="1"/>
  <c r="P40" i="85" a="1"/>
  <c r="P40" i="85" s="1"/>
  <c r="F40" i="85" a="1"/>
  <c r="F40" i="85" s="1"/>
  <c r="N37" i="85" a="1"/>
  <c r="N37" i="85" s="1"/>
  <c r="D37" i="85" a="1"/>
  <c r="D37" i="85" s="1"/>
  <c r="I32" i="85"/>
  <c r="I31" i="85"/>
  <c r="Q28" i="85" a="1"/>
  <c r="Q28" i="85" s="1"/>
  <c r="N28" i="85" a="1"/>
  <c r="N28" i="85" s="1"/>
  <c r="G28" i="85" a="1"/>
  <c r="G28" i="85" s="1"/>
  <c r="D28" i="85" a="1"/>
  <c r="D28" i="85" s="1"/>
  <c r="E26" i="85" a="1"/>
  <c r="E26" i="85" s="1"/>
  <c r="E25" i="85" a="1"/>
  <c r="E25" i="85" s="1"/>
  <c r="D21" i="85" a="1"/>
  <c r="D21" i="85" s="1"/>
  <c r="D20" i="85" a="1"/>
  <c r="D20" i="85" s="1"/>
  <c r="P16" i="85"/>
  <c r="R13" i="85" a="1"/>
  <c r="R13" i="85" s="1"/>
  <c r="N13" i="85" a="1"/>
  <c r="N13" i="85" s="1"/>
  <c r="H13" i="85" a="1"/>
  <c r="H13" i="85" s="1"/>
  <c r="D13" i="85" a="1"/>
  <c r="D13" i="85" s="1"/>
  <c r="E11" i="85" a="1"/>
  <c r="E11" i="85" s="1"/>
  <c r="F16" i="85" s="1"/>
  <c r="E10" i="85" a="1"/>
  <c r="E10" i="85" s="1"/>
  <c r="D6" i="85" a="1"/>
  <c r="D6" i="85" s="1"/>
  <c r="D5" i="85" a="1"/>
  <c r="D5" i="85" s="1"/>
  <c r="W272" i="84" a="1"/>
  <c r="W272" i="84" s="1"/>
  <c r="U269" i="84" a="1"/>
  <c r="U269" i="84" s="1"/>
  <c r="U265" i="84" a="1"/>
  <c r="U265" i="84" s="1"/>
  <c r="U259" i="84"/>
  <c r="U258" i="84"/>
  <c r="U257" i="84"/>
  <c r="U256" i="84"/>
  <c r="U255" i="84"/>
  <c r="U254" i="84"/>
  <c r="U253" i="84"/>
  <c r="U252" i="84"/>
  <c r="U251" i="84"/>
  <c r="U250" i="84"/>
  <c r="U249" i="84"/>
  <c r="U248" i="84"/>
  <c r="U243" i="84"/>
  <c r="U242" i="84"/>
  <c r="U241" i="84"/>
  <c r="U240" i="84"/>
  <c r="U239" i="84"/>
  <c r="U238" i="84"/>
  <c r="U237" i="84"/>
  <c r="U236" i="84"/>
  <c r="U235" i="84"/>
  <c r="U234" i="84"/>
  <c r="F234" i="84" a="1"/>
  <c r="F234" i="84" s="1"/>
  <c r="U233" i="84"/>
  <c r="U232" i="84"/>
  <c r="D231" i="84" a="1"/>
  <c r="D231" i="84" s="1"/>
  <c r="U227" i="84"/>
  <c r="U226" i="84"/>
  <c r="U225" i="84"/>
  <c r="U224" i="84"/>
  <c r="H224" i="84"/>
  <c r="D224" i="84" a="1"/>
  <c r="D224" i="84" s="1"/>
  <c r="U223" i="84"/>
  <c r="U222" i="84"/>
  <c r="E222" i="84" a="1"/>
  <c r="E222" i="84" s="1"/>
  <c r="U221" i="84"/>
  <c r="E221" i="84" a="1"/>
  <c r="E221" i="84" s="1"/>
  <c r="U220" i="84"/>
  <c r="U219" i="84"/>
  <c r="U218" i="84"/>
  <c r="U217" i="84"/>
  <c r="D217" i="84" a="1"/>
  <c r="D217" i="84" s="1"/>
  <c r="V216" i="84" a="1"/>
  <c r="U216" i="84"/>
  <c r="D216" i="84" a="1"/>
  <c r="D216" i="84" s="1"/>
  <c r="U211" i="84" a="1"/>
  <c r="U211" i="84" s="1"/>
  <c r="U207" i="84"/>
  <c r="U206" i="84"/>
  <c r="U205" i="84"/>
  <c r="U204" i="84"/>
  <c r="U203" i="84"/>
  <c r="U202" i="84"/>
  <c r="U201" i="84"/>
  <c r="U200" i="84"/>
  <c r="U199" i="84"/>
  <c r="U198" i="84"/>
  <c r="U197" i="84"/>
  <c r="U196" i="84"/>
  <c r="U191" i="84"/>
  <c r="E191" i="84" a="1"/>
  <c r="U190" i="84"/>
  <c r="U189" i="84"/>
  <c r="U188" i="84"/>
  <c r="U187" i="84"/>
  <c r="U186" i="84"/>
  <c r="I186" i="84" a="1"/>
  <c r="I186" i="84" s="1"/>
  <c r="U185" i="84"/>
  <c r="I185" i="84" a="1"/>
  <c r="I185" i="84" s="1"/>
  <c r="U184" i="84"/>
  <c r="I184" i="84" a="1"/>
  <c r="I184" i="84" s="1"/>
  <c r="G184" i="84" a="1"/>
  <c r="G184" i="84" s="1"/>
  <c r="D184" i="84" a="1"/>
  <c r="D184" i="84" s="1"/>
  <c r="U183" i="84"/>
  <c r="U182" i="84"/>
  <c r="E182" i="84" a="1"/>
  <c r="E182" i="84" s="1"/>
  <c r="U181" i="84"/>
  <c r="E181" i="84" a="1"/>
  <c r="E181" i="84" s="1"/>
  <c r="U180" i="84"/>
  <c r="D177" i="84" a="1"/>
  <c r="D177" i="84" s="1"/>
  <c r="D176" i="84" a="1"/>
  <c r="D176" i="84" s="1"/>
  <c r="U175" i="84"/>
  <c r="U174" i="84"/>
  <c r="U173" i="84"/>
  <c r="U172" i="84"/>
  <c r="U171" i="84"/>
  <c r="U170" i="84"/>
  <c r="U169" i="84"/>
  <c r="U168" i="84"/>
  <c r="U167" i="84"/>
  <c r="U166" i="84"/>
  <c r="U165" i="84"/>
  <c r="U164" i="84"/>
  <c r="E164" i="84" a="1"/>
  <c r="E164" i="84" s="1"/>
  <c r="U151" i="84" a="1"/>
  <c r="U151" i="84" s="1"/>
  <c r="U147" i="84"/>
  <c r="I147" i="84"/>
  <c r="U146" i="84"/>
  <c r="I146" i="84" a="1"/>
  <c r="I146" i="84" s="1"/>
  <c r="U145" i="84"/>
  <c r="I145" i="84" a="1"/>
  <c r="I145" i="84" s="1"/>
  <c r="U144" i="84"/>
  <c r="I144" i="84" a="1"/>
  <c r="I144" i="84" s="1"/>
  <c r="U143" i="84"/>
  <c r="I143" i="84" a="1"/>
  <c r="I143" i="84" s="1"/>
  <c r="U142" i="84"/>
  <c r="I142" i="84" a="1"/>
  <c r="I142" i="84" s="1"/>
  <c r="G142" i="84" a="1"/>
  <c r="G142" i="84" s="1"/>
  <c r="D142" i="84" a="1"/>
  <c r="D142" i="84" s="1"/>
  <c r="U141" i="84"/>
  <c r="U140" i="84"/>
  <c r="E140" i="84" a="1"/>
  <c r="E140" i="84" s="1"/>
  <c r="AF200" i="84" s="1"/>
  <c r="U139" i="84"/>
  <c r="E139" i="84" a="1"/>
  <c r="E139" i="84" s="1"/>
  <c r="U138" i="84"/>
  <c r="U137" i="84"/>
  <c r="U136" i="84"/>
  <c r="D135" i="84" a="1"/>
  <c r="D135" i="84" s="1"/>
  <c r="D134" i="84" a="1"/>
  <c r="D134" i="84" s="1"/>
  <c r="U131" i="84"/>
  <c r="U130" i="84"/>
  <c r="U129" i="84"/>
  <c r="U128" i="84"/>
  <c r="U127" i="84"/>
  <c r="U126" i="84"/>
  <c r="U125" i="84"/>
  <c r="U124" i="84"/>
  <c r="U123" i="84"/>
  <c r="U122" i="84"/>
  <c r="D122" i="84"/>
  <c r="U121" i="84"/>
  <c r="D121" i="84"/>
  <c r="U120" i="84"/>
  <c r="D120" i="84"/>
  <c r="D119" i="84"/>
  <c r="U115" i="84" a="1"/>
  <c r="U115" i="84" s="1"/>
  <c r="I114" i="84" a="1"/>
  <c r="I114" i="84" s="1"/>
  <c r="I113" i="84" a="1"/>
  <c r="I113" i="84" s="1"/>
  <c r="I112" i="84" a="1"/>
  <c r="I112" i="84" s="1"/>
  <c r="U111" i="84"/>
  <c r="I111" i="84" a="1"/>
  <c r="I111" i="84" s="1"/>
  <c r="G111" i="84" a="1"/>
  <c r="G111" i="84" s="1"/>
  <c r="D111" i="84" a="1"/>
  <c r="D111" i="84" s="1"/>
  <c r="U110" i="84"/>
  <c r="U109" i="84"/>
  <c r="E109" i="84" a="1"/>
  <c r="E109" i="84" s="1"/>
  <c r="AF141" i="84" s="1"/>
  <c r="U108" i="84"/>
  <c r="E108" i="84" a="1"/>
  <c r="E108" i="84" s="1"/>
  <c r="U107" i="84"/>
  <c r="U106" i="84"/>
  <c r="U105" i="84"/>
  <c r="U104" i="84"/>
  <c r="U103" i="84"/>
  <c r="D103" i="84" a="1"/>
  <c r="D103" i="84" s="1"/>
  <c r="U102" i="84"/>
  <c r="D102" i="84" a="1"/>
  <c r="D102" i="84" s="1"/>
  <c r="U101" i="84"/>
  <c r="U100" i="84"/>
  <c r="D98" i="84"/>
  <c r="D97" i="84"/>
  <c r="D96" i="84"/>
  <c r="D95" i="84"/>
  <c r="U87" i="84" a="1"/>
  <c r="U87" i="84" s="1"/>
  <c r="U83" i="84"/>
  <c r="U82" i="84"/>
  <c r="I82" i="84"/>
  <c r="U81" i="84"/>
  <c r="U80" i="84"/>
  <c r="U79" i="84"/>
  <c r="I79" i="84" a="1"/>
  <c r="I79" i="84" s="1"/>
  <c r="U78" i="84"/>
  <c r="I78" i="84" a="1"/>
  <c r="I78" i="84" s="1"/>
  <c r="G78" i="84" a="1"/>
  <c r="G78" i="84" s="1"/>
  <c r="D78" i="84" a="1"/>
  <c r="D78" i="84" s="1"/>
  <c r="U77" i="84"/>
  <c r="U76" i="84"/>
  <c r="E76" i="84" a="1"/>
  <c r="E76" i="84" s="1"/>
  <c r="U75" i="84"/>
  <c r="E75" i="84" a="1"/>
  <c r="E75" i="84" s="1"/>
  <c r="U74" i="84"/>
  <c r="U73" i="84"/>
  <c r="U72" i="84"/>
  <c r="D70" i="84" a="1"/>
  <c r="D70" i="84" s="1"/>
  <c r="D69" i="84" a="1"/>
  <c r="D69" i="84" s="1"/>
  <c r="U67" i="84"/>
  <c r="U66" i="84"/>
  <c r="U65" i="84"/>
  <c r="U64" i="84"/>
  <c r="U63" i="84"/>
  <c r="U62" i="84"/>
  <c r="U61" i="84"/>
  <c r="U60" i="84"/>
  <c r="U59" i="84"/>
  <c r="U58" i="84"/>
  <c r="U57" i="84"/>
  <c r="U56" i="84"/>
  <c r="U51" i="84" a="1"/>
  <c r="U51" i="84" s="1"/>
  <c r="I49" i="84" a="1"/>
  <c r="I49" i="84" s="1"/>
  <c r="I48" i="84" a="1"/>
  <c r="I48" i="84" s="1"/>
  <c r="G48" i="84" a="1"/>
  <c r="G48" i="84" s="1"/>
  <c r="D48" i="84" a="1"/>
  <c r="D48" i="84" s="1"/>
  <c r="U47" i="84"/>
  <c r="U46" i="84"/>
  <c r="E46" i="84" a="1"/>
  <c r="E46" i="84" s="1"/>
  <c r="AF73" i="84" s="1"/>
  <c r="U45" i="84"/>
  <c r="E45" i="84" a="1"/>
  <c r="E45" i="84" s="1"/>
  <c r="U44" i="84"/>
  <c r="U43" i="84"/>
  <c r="U42" i="84"/>
  <c r="U41" i="84"/>
  <c r="D41" i="84" a="1"/>
  <c r="D41" i="84" s="1"/>
  <c r="U40" i="84"/>
  <c r="D40" i="84" a="1"/>
  <c r="D40" i="84" s="1"/>
  <c r="U39" i="84"/>
  <c r="U38" i="84"/>
  <c r="U37" i="84"/>
  <c r="U36" i="84"/>
  <c r="D36" i="84"/>
  <c r="D35" i="84"/>
  <c r="D34" i="84"/>
  <c r="D33" i="84"/>
  <c r="U31" i="84"/>
  <c r="U30" i="84"/>
  <c r="U29" i="84"/>
  <c r="U28" i="84"/>
  <c r="U27" i="84"/>
  <c r="U26" i="84"/>
  <c r="U25" i="84"/>
  <c r="U24" i="84"/>
  <c r="U23" i="84"/>
  <c r="D23" i="84"/>
  <c r="U22" i="84"/>
  <c r="D22" i="84"/>
  <c r="U21" i="84"/>
  <c r="D21" i="84"/>
  <c r="U20" i="84"/>
  <c r="D20" i="84"/>
  <c r="H15" i="84"/>
  <c r="H14" i="84" a="1"/>
  <c r="H14" i="84" s="1"/>
  <c r="H13" i="84" a="1"/>
  <c r="H13" i="84" s="1"/>
  <c r="F13" i="84" a="1"/>
  <c r="F13" i="84" s="1"/>
  <c r="D13" i="84" a="1"/>
  <c r="D13" i="84" s="1"/>
  <c r="E11" i="84" a="1"/>
  <c r="E11" i="84" s="1"/>
  <c r="AF44" i="84" s="1"/>
  <c r="E10" i="84" a="1"/>
  <c r="E10" i="84" s="1"/>
  <c r="D6" i="84" a="1"/>
  <c r="D6" i="84" s="1"/>
  <c r="D5" i="84" a="1"/>
  <c r="D5" i="84" s="1"/>
  <c r="Y281" i="83" a="1"/>
  <c r="Y281" i="83" s="1"/>
  <c r="W278" i="83" a="1"/>
  <c r="W278" i="83" s="1"/>
  <c r="F249" i="83" a="1"/>
  <c r="F249" i="83" s="1"/>
  <c r="W246" i="83"/>
  <c r="X274" i="83" s="1"/>
  <c r="D246" i="83" a="1"/>
  <c r="D246" i="83" s="1"/>
  <c r="W245" i="83"/>
  <c r="X273" i="83" s="1"/>
  <c r="W244" i="83"/>
  <c r="X260" i="83" s="1"/>
  <c r="W243" i="83"/>
  <c r="X271" i="83" s="1"/>
  <c r="W242" i="83"/>
  <c r="X270" i="83" s="1"/>
  <c r="W241" i="83"/>
  <c r="W240" i="83"/>
  <c r="W239" i="83"/>
  <c r="X267" i="83" s="1"/>
  <c r="W238" i="83"/>
  <c r="X254" i="83" s="1"/>
  <c r="W237" i="83"/>
  <c r="X265" i="83" s="1"/>
  <c r="W236" i="83"/>
  <c r="X252" i="83" s="1"/>
  <c r="W235" i="83"/>
  <c r="X251" i="83" s="1"/>
  <c r="W230" i="83"/>
  <c r="W229" i="83"/>
  <c r="W228" i="83"/>
  <c r="W227" i="83"/>
  <c r="W226" i="83"/>
  <c r="W225" i="83"/>
  <c r="W224" i="83"/>
  <c r="W223" i="83"/>
  <c r="W222" i="83"/>
  <c r="W221" i="83"/>
  <c r="W220" i="83"/>
  <c r="X219" i="83" a="1"/>
  <c r="X219" i="83" s="1"/>
  <c r="W219" i="83"/>
  <c r="E219" i="83" a="1"/>
  <c r="E219" i="83" s="1"/>
  <c r="I214" i="83" a="1"/>
  <c r="I214" i="83" s="1"/>
  <c r="I213" i="83" a="1"/>
  <c r="I213" i="83" s="1"/>
  <c r="I212" i="83" a="1"/>
  <c r="I212" i="83" s="1"/>
  <c r="G212" i="83" a="1"/>
  <c r="G212" i="83" s="1"/>
  <c r="D212" i="83" a="1"/>
  <c r="D212" i="83" s="1"/>
  <c r="E210" i="83" a="1"/>
  <c r="E210" i="83" s="1"/>
  <c r="AI253" i="83" s="1"/>
  <c r="E209" i="83" a="1"/>
  <c r="E209" i="83" s="1"/>
  <c r="D205" i="83" a="1"/>
  <c r="D205" i="83" s="1"/>
  <c r="D204" i="83" a="1"/>
  <c r="D204" i="83" s="1"/>
  <c r="I160" i="83"/>
  <c r="AB159" i="83"/>
  <c r="I159" i="83"/>
  <c r="I157" i="83" a="1"/>
  <c r="I157" i="83" s="1"/>
  <c r="I156" i="83" a="1"/>
  <c r="I156" i="83" s="1"/>
  <c r="Z154" i="83" a="1"/>
  <c r="Z154" i="83" s="1"/>
  <c r="W154" i="83" a="1"/>
  <c r="W154" i="83" s="1"/>
  <c r="I154" i="83" a="1"/>
  <c r="I154" i="83" s="1"/>
  <c r="G154" i="83" a="1"/>
  <c r="G154" i="83" s="1"/>
  <c r="D154" i="83" a="1"/>
  <c r="D154" i="83" s="1"/>
  <c r="E152" i="83" a="1"/>
  <c r="E152" i="83" s="1"/>
  <c r="E151" i="83" a="1"/>
  <c r="E151" i="83" s="1"/>
  <c r="D147" i="83" a="1"/>
  <c r="D147" i="83" s="1"/>
  <c r="D146" i="83" a="1"/>
  <c r="D146" i="83" s="1"/>
  <c r="W126" i="83"/>
  <c r="W142" i="83" s="1"/>
  <c r="X188" i="83" s="1"/>
  <c r="W125" i="83"/>
  <c r="W141" i="83" s="1"/>
  <c r="W124" i="83"/>
  <c r="W140" i="83" s="1"/>
  <c r="X186" i="83" s="1"/>
  <c r="W123" i="83"/>
  <c r="W139" i="83" s="1"/>
  <c r="W122" i="83"/>
  <c r="W138" i="83" s="1"/>
  <c r="W121" i="83"/>
  <c r="W137" i="83" s="1"/>
  <c r="W120" i="83"/>
  <c r="W136" i="83" s="1"/>
  <c r="W119" i="83"/>
  <c r="W135" i="83" s="1"/>
  <c r="W118" i="83"/>
  <c r="W134" i="83" s="1"/>
  <c r="W117" i="83"/>
  <c r="W133" i="83" s="1"/>
  <c r="W116" i="83"/>
  <c r="W132" i="83" s="1"/>
  <c r="X190" i="83" s="1"/>
  <c r="W115" i="83"/>
  <c r="W131" i="83" s="1"/>
  <c r="I109" i="83" a="1"/>
  <c r="I109" i="83" s="1"/>
  <c r="I108" i="83" a="1"/>
  <c r="I108" i="83" s="1"/>
  <c r="G108" i="83" a="1"/>
  <c r="G108" i="83" s="1"/>
  <c r="D108" i="83" a="1"/>
  <c r="D108" i="83" s="1"/>
  <c r="E106" i="83" a="1"/>
  <c r="E106" i="83" s="1"/>
  <c r="AH134" i="83" s="1"/>
  <c r="E105" i="83" a="1"/>
  <c r="E105" i="83" s="1"/>
  <c r="D100" i="83" a="1"/>
  <c r="D100" i="83" s="1"/>
  <c r="D99" i="83" a="1"/>
  <c r="D99" i="83" s="1"/>
  <c r="W87" i="83"/>
  <c r="W86" i="83"/>
  <c r="W85" i="83"/>
  <c r="W84" i="83"/>
  <c r="W83" i="83"/>
  <c r="W82" i="83"/>
  <c r="W81" i="83"/>
  <c r="W80" i="83"/>
  <c r="W79" i="83"/>
  <c r="W78" i="83"/>
  <c r="W77" i="83"/>
  <c r="W76" i="83"/>
  <c r="W71" i="83"/>
  <c r="D71" i="83"/>
  <c r="W70" i="83"/>
  <c r="D70" i="83"/>
  <c r="W69" i="83"/>
  <c r="D69" i="83"/>
  <c r="W68" i="83"/>
  <c r="D68" i="83"/>
  <c r="W67" i="83"/>
  <c r="W66" i="83"/>
  <c r="W65" i="83"/>
  <c r="W64" i="83"/>
  <c r="W63" i="83"/>
  <c r="W62" i="83"/>
  <c r="W61" i="83"/>
  <c r="W60" i="83"/>
  <c r="W55" i="83"/>
  <c r="D55" i="83"/>
  <c r="W54" i="83"/>
  <c r="D54" i="83"/>
  <c r="W53" i="83"/>
  <c r="D53" i="83"/>
  <c r="W52" i="83"/>
  <c r="D52" i="83"/>
  <c r="W51" i="83"/>
  <c r="W50" i="83"/>
  <c r="W49" i="83"/>
  <c r="W48" i="83"/>
  <c r="W47" i="83"/>
  <c r="I47" i="83" a="1"/>
  <c r="I47" i="83" s="1"/>
  <c r="W46" i="83"/>
  <c r="I46" i="83" a="1"/>
  <c r="I46" i="83" s="1"/>
  <c r="W45" i="83"/>
  <c r="I45" i="83" a="1"/>
  <c r="I45" i="83" s="1"/>
  <c r="G45" i="83" a="1"/>
  <c r="G45" i="83" s="1"/>
  <c r="D45" i="83" a="1"/>
  <c r="D45" i="83" s="1"/>
  <c r="W44" i="83"/>
  <c r="E43" i="83" a="1"/>
  <c r="E43" i="83" s="1"/>
  <c r="AH84" i="83" s="1"/>
  <c r="AF64" i="84" s="1"/>
  <c r="E42" i="83" a="1"/>
  <c r="E42" i="83" s="1"/>
  <c r="W39" i="83"/>
  <c r="W38" i="83"/>
  <c r="D38" i="83" a="1"/>
  <c r="D38" i="83" s="1"/>
  <c r="W37" i="83"/>
  <c r="D37" i="83" a="1"/>
  <c r="D37" i="83" s="1"/>
  <c r="W36" i="83"/>
  <c r="W35" i="83"/>
  <c r="W34" i="83"/>
  <c r="W33" i="83"/>
  <c r="H33" i="83"/>
  <c r="W32" i="83"/>
  <c r="G32" i="83"/>
  <c r="W31" i="83"/>
  <c r="W30" i="83"/>
  <c r="W29" i="83"/>
  <c r="W28" i="83"/>
  <c r="J16" i="83"/>
  <c r="J13" i="83" a="1"/>
  <c r="J13" i="83" s="1"/>
  <c r="H13" i="83" a="1"/>
  <c r="H13" i="83" s="1"/>
  <c r="D13" i="83" a="1"/>
  <c r="D13" i="83" s="1"/>
  <c r="E11" i="83" a="1"/>
  <c r="E11" i="83" s="1"/>
  <c r="E10" i="83" a="1"/>
  <c r="E10" i="83" s="1"/>
  <c r="D6" i="83" a="1"/>
  <c r="D6" i="83" s="1"/>
  <c r="D5" i="83" a="1"/>
  <c r="D5" i="83" s="1"/>
  <c r="G185" i="82"/>
  <c r="F185" i="82"/>
  <c r="E185" i="82"/>
  <c r="D182" i="82"/>
  <c r="K181" i="82"/>
  <c r="J181" i="82"/>
  <c r="K180" i="82"/>
  <c r="J180" i="82"/>
  <c r="K179" i="82"/>
  <c r="M180" i="82" s="1"/>
  <c r="J179" i="82"/>
  <c r="K178" i="82"/>
  <c r="L178" i="82" s="1"/>
  <c r="J178" i="82"/>
  <c r="E178" i="82"/>
  <c r="D184" i="82" s="1"/>
  <c r="E177" i="82"/>
  <c r="M171" i="82"/>
  <c r="L171" i="82"/>
  <c r="M170" i="82"/>
  <c r="L170" i="82"/>
  <c r="M169" i="82"/>
  <c r="L169" i="82"/>
  <c r="M168" i="82"/>
  <c r="L168" i="82"/>
  <c r="D168" i="82"/>
  <c r="D144" i="82"/>
  <c r="D143" i="82"/>
  <c r="D142" i="82"/>
  <c r="D141" i="82"/>
  <c r="D140" i="82"/>
  <c r="D139" i="82"/>
  <c r="D138" i="82"/>
  <c r="D137" i="82"/>
  <c r="D136" i="82"/>
  <c r="D135" i="82"/>
  <c r="D134" i="82"/>
  <c r="D133" i="82"/>
  <c r="D122" i="82"/>
  <c r="D121" i="82"/>
  <c r="D120" i="82"/>
  <c r="D119" i="82"/>
  <c r="D118" i="82"/>
  <c r="D117" i="82"/>
  <c r="D116" i="82"/>
  <c r="D115" i="82"/>
  <c r="D114" i="82"/>
  <c r="D113" i="82"/>
  <c r="D112" i="82"/>
  <c r="D111" i="82"/>
  <c r="D100" i="82"/>
  <c r="D99" i="82"/>
  <c r="D98" i="82"/>
  <c r="D97" i="82"/>
  <c r="D96" i="82"/>
  <c r="D95" i="82"/>
  <c r="D94" i="82"/>
  <c r="D93" i="82"/>
  <c r="D92" i="82"/>
  <c r="D91" i="82"/>
  <c r="D90" i="82"/>
  <c r="D89" i="82"/>
  <c r="D78" i="82"/>
  <c r="D77" i="82"/>
  <c r="D76" i="82"/>
  <c r="D75" i="82"/>
  <c r="D74" i="82"/>
  <c r="D73" i="82"/>
  <c r="D72" i="82"/>
  <c r="D71" i="82"/>
  <c r="D70" i="82"/>
  <c r="D69" i="82"/>
  <c r="D68" i="82"/>
  <c r="D67" i="82"/>
  <c r="D56" i="82"/>
  <c r="D55" i="82"/>
  <c r="D54" i="82"/>
  <c r="D53" i="82"/>
  <c r="D52" i="82"/>
  <c r="D51" i="82"/>
  <c r="D50" i="82"/>
  <c r="D49" i="82"/>
  <c r="D48" i="82"/>
  <c r="D47" i="82"/>
  <c r="D46" i="82"/>
  <c r="D45" i="82"/>
  <c r="D34" i="82"/>
  <c r="D33" i="82"/>
  <c r="E33" i="82" s="1"/>
  <c r="D32" i="82"/>
  <c r="I32" i="82" s="1"/>
  <c r="D31" i="82"/>
  <c r="N31" i="82" s="1"/>
  <c r="D30" i="82"/>
  <c r="D29" i="82"/>
  <c r="K29" i="82" s="1"/>
  <c r="D28" i="82"/>
  <c r="N28" i="82" s="1"/>
  <c r="D27" i="82"/>
  <c r="K27" i="82" s="1"/>
  <c r="D26" i="82"/>
  <c r="H26" i="82" s="1"/>
  <c r="D25" i="82"/>
  <c r="H25" i="82" s="1"/>
  <c r="D24" i="82"/>
  <c r="K24" i="82" s="1"/>
  <c r="D23" i="82"/>
  <c r="M23" i="82" s="1"/>
  <c r="E7" i="82"/>
  <c r="D52" i="13" a="1"/>
  <c r="D52" i="13" s="1"/>
  <c r="H54" i="81"/>
  <c r="H52" i="81"/>
  <c r="D34" i="13" a="1"/>
  <c r="D34" i="13" s="1"/>
  <c r="O42" i="118"/>
  <c r="O7" i="118"/>
  <c r="E206" i="83" a="1"/>
  <c r="O61" i="118" a="1"/>
  <c r="E42" i="84" a="1"/>
  <c r="E148" i="83" a="1"/>
  <c r="E338" i="117" a="1"/>
  <c r="E30" i="109" a="1"/>
  <c r="E218" i="84"/>
  <c r="E101" i="83" a="1"/>
  <c r="E38" i="92" a="1"/>
  <c r="E523" i="117"/>
  <c r="O26" i="118" a="1"/>
  <c r="E39" i="83" a="1"/>
  <c r="E433" i="117" a="1"/>
  <c r="E7" i="95" a="1"/>
  <c r="E7" i="94" a="1"/>
  <c r="E7" i="85" a="1"/>
  <c r="E609" i="117" a="1"/>
  <c r="E8" i="98"/>
  <c r="E576" i="117" a="1"/>
  <c r="E94" i="88" a="1"/>
  <c r="E305" i="117" a="1"/>
  <c r="E79" i="118"/>
  <c r="E43" i="91" a="1"/>
  <c r="E104" i="84" a="1"/>
  <c r="E166" i="117" a="1"/>
  <c r="E61" i="118" a="1"/>
  <c r="E7" i="118"/>
  <c r="N85" i="90" a="1"/>
  <c r="O79" i="118"/>
  <c r="E42" i="90" a="1"/>
  <c r="E101" i="117" a="1"/>
  <c r="E22" i="85"/>
  <c r="E99" i="105" a="1"/>
  <c r="L7" i="101" a="1"/>
  <c r="E136" i="84" a="1"/>
  <c r="E178" i="84" a="1"/>
  <c r="E7" i="86" a="1"/>
  <c r="E7" i="105" a="1"/>
  <c r="E73" i="88" a="1"/>
  <c r="E7" i="84" a="1"/>
  <c r="E7" i="90" a="1"/>
  <c r="E7" i="91" a="1"/>
  <c r="E7" i="109" a="1"/>
  <c r="E203" i="117" a="1"/>
  <c r="E35" i="88" a="1"/>
  <c r="O27" i="108"/>
  <c r="E42" i="118"/>
  <c r="E370" i="117" a="1"/>
  <c r="E400" i="117" a="1"/>
  <c r="E7" i="92" a="1"/>
  <c r="E25" i="98"/>
  <c r="E7" i="101" a="1"/>
  <c r="E273" i="117" a="1"/>
  <c r="E7" i="102" a="1"/>
  <c r="E7" i="117" a="1"/>
  <c r="E27" i="108"/>
  <c r="L8" i="102" a="1"/>
  <c r="E218" i="117" a="1"/>
  <c r="E7" i="108" a="1"/>
  <c r="E538" i="117"/>
  <c r="E26" i="118" a="1"/>
  <c r="E189" i="117" a="1"/>
  <c r="E26" i="86"/>
  <c r="E555" i="117"/>
  <c r="E7" i="93" a="1"/>
  <c r="E43" i="94" a="1"/>
  <c r="E49" i="95" a="1"/>
  <c r="E83" i="95"/>
  <c r="E118" i="94" a="1"/>
  <c r="E90" i="94" a="1"/>
  <c r="E227" i="83" l="1" a="1"/>
  <c r="E227" i="83" s="1"/>
  <c r="E199" i="84" a="1"/>
  <c r="E199" i="84" s="1"/>
  <c r="J646" i="117" a="1"/>
  <c r="J646" i="117" s="1"/>
  <c r="J643" i="117" a="1"/>
  <c r="J643" i="117" s="1"/>
  <c r="J645" i="117" a="1"/>
  <c r="J645" i="117" s="1"/>
  <c r="J649" i="117" a="1"/>
  <c r="J649" i="117" s="1"/>
  <c r="J650" i="117" a="1"/>
  <c r="J650" i="117" s="1"/>
  <c r="J626" i="117" a="1"/>
  <c r="J626" i="117" s="1"/>
  <c r="J631" i="117" a="1"/>
  <c r="J631" i="117" s="1"/>
  <c r="J627" i="117" a="1"/>
  <c r="J627" i="117" s="1"/>
  <c r="J628" i="117" a="1"/>
  <c r="J628" i="117" s="1"/>
  <c r="J632" i="117" a="1"/>
  <c r="J632" i="117" s="1"/>
  <c r="J633" i="117" a="1"/>
  <c r="J633" i="117" s="1"/>
  <c r="J630" i="117" a="1"/>
  <c r="J630" i="117" s="1"/>
  <c r="J625" i="117" a="1"/>
  <c r="J625" i="117" s="1"/>
  <c r="L16" i="113"/>
  <c r="R19" i="113"/>
  <c r="L18" i="113"/>
  <c r="O15" i="113"/>
  <c r="L11" i="113"/>
  <c r="O11" i="113"/>
  <c r="L352" i="117"/>
  <c r="L353" i="117"/>
  <c r="L359" i="117"/>
  <c r="L354" i="117"/>
  <c r="L355" i="117"/>
  <c r="L356" i="117"/>
  <c r="L357" i="117"/>
  <c r="L358" i="117"/>
  <c r="L360" i="117"/>
  <c r="D67" i="95"/>
  <c r="M26" i="117" a="1"/>
  <c r="M26" i="117" s="1"/>
  <c r="E20" i="107"/>
  <c r="T14" i="108"/>
  <c r="E35" i="102"/>
  <c r="E28" i="102"/>
  <c r="M27" i="102" a="1"/>
  <c r="M27" i="102" s="1"/>
  <c r="L27" i="102" a="1"/>
  <c r="L27" i="102" s="1"/>
  <c r="M38" i="102" a="1"/>
  <c r="M38" i="102" s="1"/>
  <c r="J87" i="118"/>
  <c r="F495" i="117" a="1"/>
  <c r="F495" i="117" s="1"/>
  <c r="G391" i="117" a="1"/>
  <c r="G391" i="117" s="1"/>
  <c r="H391" i="117" s="1" a="1"/>
  <c r="H391" i="117" s="1"/>
  <c r="G390" i="117" a="1"/>
  <c r="G390" i="117" s="1"/>
  <c r="G389" i="117" a="1"/>
  <c r="G389" i="117" s="1"/>
  <c r="G388" i="117" a="1"/>
  <c r="G388" i="117" s="1"/>
  <c r="H388" i="117" s="1" a="1"/>
  <c r="H388" i="117" s="1"/>
  <c r="G387" i="117" a="1"/>
  <c r="G387" i="117" s="1"/>
  <c r="G386" i="117" a="1"/>
  <c r="G386" i="117" s="1"/>
  <c r="G385" i="117" a="1"/>
  <c r="G385" i="117" s="1"/>
  <c r="G384" i="117" a="1"/>
  <c r="G384" i="117" s="1"/>
  <c r="G383" i="117" a="1"/>
  <c r="G383" i="117" s="1"/>
  <c r="G382" i="117" a="1"/>
  <c r="G382" i="117" s="1"/>
  <c r="F12" i="89"/>
  <c r="R13" i="89" a="1"/>
  <c r="R13" i="89" s="1"/>
  <c r="N14" i="89" a="1"/>
  <c r="N14" i="89" s="1"/>
  <c r="K15" i="89" a="1"/>
  <c r="K15" i="89" s="1"/>
  <c r="F16" i="89"/>
  <c r="Y16" i="89"/>
  <c r="T18" i="89" a="1"/>
  <c r="T18" i="89" s="1"/>
  <c r="R19" i="89" a="1"/>
  <c r="R19" i="89" s="1"/>
  <c r="P20" i="89" a="1"/>
  <c r="P20" i="89" s="1"/>
  <c r="M34" i="102" a="1"/>
  <c r="M34" i="102" s="1"/>
  <c r="L34" i="102" a="1"/>
  <c r="L34" i="102" s="1"/>
  <c r="M31" i="101" a="1"/>
  <c r="M31" i="101" s="1"/>
  <c r="J18" i="108" a="1"/>
  <c r="J18" i="108" s="1"/>
  <c r="E317" i="117" a="1"/>
  <c r="E317" i="117" s="1"/>
  <c r="E316" i="117" a="1"/>
  <c r="E316" i="117" s="1"/>
  <c r="E315" i="117" a="1"/>
  <c r="E315" i="117" s="1"/>
  <c r="H12" i="89"/>
  <c r="I12" i="89" s="1"/>
  <c r="W12" i="89" a="1"/>
  <c r="W12" i="89" s="1"/>
  <c r="S13" i="89" a="1"/>
  <c r="S13" i="89" s="1"/>
  <c r="O14" i="89" a="1"/>
  <c r="O14" i="89" s="1"/>
  <c r="L15" i="89" a="1"/>
  <c r="L15" i="89" s="1"/>
  <c r="H16" i="89"/>
  <c r="Z16" i="89"/>
  <c r="W17" i="89" a="1"/>
  <c r="W17" i="89" s="1"/>
  <c r="U18" i="89" a="1"/>
  <c r="U18" i="89" s="1"/>
  <c r="S19" i="89" a="1"/>
  <c r="S19" i="89" s="1"/>
  <c r="Q20" i="89" a="1"/>
  <c r="Q20" i="89" s="1"/>
  <c r="E30" i="102"/>
  <c r="E37" i="102"/>
  <c r="J39" i="102"/>
  <c r="I39" i="102"/>
  <c r="H39" i="102"/>
  <c r="G39" i="102"/>
  <c r="M36" i="101" a="1"/>
  <c r="M36" i="101" s="1"/>
  <c r="L36" i="101" a="1"/>
  <c r="L36" i="101" s="1"/>
  <c r="O36" i="101" s="1" a="1"/>
  <c r="O36" i="101" s="1"/>
  <c r="M39" i="102" a="1"/>
  <c r="M39" i="102" s="1"/>
  <c r="G453" i="117" a="1"/>
  <c r="G453" i="117" s="1"/>
  <c r="G451" i="117" a="1"/>
  <c r="G451" i="117" s="1"/>
  <c r="G450" i="117" a="1"/>
  <c r="G450" i="117" s="1"/>
  <c r="H450" i="117" s="1" a="1"/>
  <c r="H450" i="117" s="1"/>
  <c r="G449" i="117" a="1"/>
  <c r="G449" i="117" s="1"/>
  <c r="G448" i="117" a="1"/>
  <c r="G448" i="117" s="1"/>
  <c r="J12" i="89" a="1"/>
  <c r="J12" i="89" s="1"/>
  <c r="Y12" i="89"/>
  <c r="T13" i="89" a="1"/>
  <c r="T13" i="89" s="1"/>
  <c r="P14" i="89" a="1"/>
  <c r="P14" i="89" s="1"/>
  <c r="M15" i="89" a="1"/>
  <c r="M15" i="89" s="1"/>
  <c r="J16" i="89" a="1"/>
  <c r="J16" i="89" s="1"/>
  <c r="H17" i="89"/>
  <c r="Y17" i="89"/>
  <c r="T19" i="89" a="1"/>
  <c r="T19" i="89" s="1"/>
  <c r="S20" i="89" a="1"/>
  <c r="S20" i="89" s="1"/>
  <c r="M25" i="102" a="1"/>
  <c r="M25" i="102" s="1"/>
  <c r="L25" i="102" a="1"/>
  <c r="L25" i="102" s="1"/>
  <c r="M27" i="101" a="1"/>
  <c r="M27" i="101" s="1"/>
  <c r="M32" i="101" a="1"/>
  <c r="M32" i="101" s="1"/>
  <c r="K12" i="89" a="1"/>
  <c r="K12" i="89" s="1"/>
  <c r="Z12" i="89"/>
  <c r="U13" i="89" a="1"/>
  <c r="U13" i="89" s="1"/>
  <c r="Q14" i="89" a="1"/>
  <c r="Q14" i="89" s="1"/>
  <c r="N15" i="89" a="1"/>
  <c r="N15" i="89" s="1"/>
  <c r="K16" i="89" a="1"/>
  <c r="K16" i="89" s="1"/>
  <c r="J17" i="89" a="1"/>
  <c r="J17" i="89" s="1"/>
  <c r="Z17" i="89"/>
  <c r="W18" i="89" a="1"/>
  <c r="W18" i="89" s="1"/>
  <c r="U19" i="89" a="1"/>
  <c r="U19" i="89" s="1"/>
  <c r="T20" i="89" a="1"/>
  <c r="T20" i="89" s="1"/>
  <c r="E33" i="102"/>
  <c r="E26" i="102"/>
  <c r="E38" i="102"/>
  <c r="E31" i="102"/>
  <c r="M32" i="102" a="1"/>
  <c r="M32" i="102" s="1"/>
  <c r="M28" i="102" a="1"/>
  <c r="M28" i="102" s="1"/>
  <c r="M40" i="102" a="1"/>
  <c r="M40" i="102" s="1"/>
  <c r="L12" i="89" a="1"/>
  <c r="L12" i="89" s="1"/>
  <c r="F13" i="89"/>
  <c r="R14" i="89" a="1"/>
  <c r="R14" i="89" s="1"/>
  <c r="O15" i="89" a="1"/>
  <c r="O15" i="89" s="1"/>
  <c r="M16" i="89" a="1"/>
  <c r="M16" i="89" s="1"/>
  <c r="K17" i="89" a="1"/>
  <c r="K17" i="89" s="1"/>
  <c r="F18" i="89"/>
  <c r="Y18" i="89"/>
  <c r="W19" i="89" a="1"/>
  <c r="W19" i="89" s="1"/>
  <c r="U20" i="89" a="1"/>
  <c r="U20" i="89" s="1"/>
  <c r="I15" i="98" a="1"/>
  <c r="I15" i="98" s="1"/>
  <c r="E18" i="98" s="1" a="1"/>
  <c r="E18" i="98" s="1"/>
  <c r="E38" i="101"/>
  <c r="E26" i="101"/>
  <c r="E33" i="101"/>
  <c r="M34" i="101" a="1"/>
  <c r="M34" i="101" s="1"/>
  <c r="L34" i="101" a="1"/>
  <c r="L34" i="101" s="1"/>
  <c r="M35" i="102" a="1"/>
  <c r="M35" i="102" s="1"/>
  <c r="L35" i="102" a="1"/>
  <c r="L35" i="102" s="1"/>
  <c r="D7" i="114"/>
  <c r="D177" i="117" s="1"/>
  <c r="F177" i="117" s="1" a="1"/>
  <c r="F177" i="117" s="1"/>
  <c r="D179" i="117"/>
  <c r="F179" i="117" s="1" a="1"/>
  <c r="F179" i="117" s="1"/>
  <c r="D178" i="117"/>
  <c r="F178" i="117" s="1" a="1"/>
  <c r="F178" i="117" s="1"/>
  <c r="M12" i="89" a="1"/>
  <c r="M12" i="89" s="1"/>
  <c r="H13" i="89"/>
  <c r="W13" i="89" a="1"/>
  <c r="W13" i="89" s="1"/>
  <c r="S14" i="89" a="1"/>
  <c r="S14" i="89" s="1"/>
  <c r="Q15" i="89" a="1"/>
  <c r="Q15" i="89" s="1"/>
  <c r="N16" i="89" a="1"/>
  <c r="N16" i="89" s="1"/>
  <c r="L17" i="89" a="1"/>
  <c r="L17" i="89" s="1"/>
  <c r="H18" i="89"/>
  <c r="Z18" i="89"/>
  <c r="Y19" i="89"/>
  <c r="E32" i="102"/>
  <c r="E25" i="102"/>
  <c r="M25" i="101" a="1"/>
  <c r="M25" i="101" s="1"/>
  <c r="L25" i="101" a="1"/>
  <c r="L25" i="101" s="1"/>
  <c r="M28" i="101" a="1"/>
  <c r="M28" i="101" s="1"/>
  <c r="O90" i="119"/>
  <c r="Q89" i="119" s="1"/>
  <c r="X128" i="117" a="1"/>
  <c r="X128" i="117" s="1"/>
  <c r="P125" i="117" a="1"/>
  <c r="P125" i="117" s="1"/>
  <c r="X121" i="117" a="1"/>
  <c r="X121" i="117" s="1"/>
  <c r="T128" i="117" a="1"/>
  <c r="T128" i="117" s="1"/>
  <c r="AB124" i="117" a="1"/>
  <c r="AB124" i="117" s="1"/>
  <c r="T121" i="117" a="1"/>
  <c r="T121" i="117" s="1"/>
  <c r="P120" i="117" a="1"/>
  <c r="P120" i="117" s="1"/>
  <c r="P128" i="117" a="1"/>
  <c r="P128" i="117" s="1"/>
  <c r="X124" i="117" a="1"/>
  <c r="X124" i="117" s="1"/>
  <c r="P121" i="117" a="1"/>
  <c r="P121" i="117" s="1"/>
  <c r="AB127" i="117" a="1"/>
  <c r="AB127" i="117" s="1"/>
  <c r="T124" i="117" a="1"/>
  <c r="T124" i="117" s="1"/>
  <c r="AB120" i="117" a="1"/>
  <c r="AB120" i="117" s="1"/>
  <c r="X127" i="117" a="1"/>
  <c r="X127" i="117" s="1"/>
  <c r="P124" i="117" a="1"/>
  <c r="P124" i="117" s="1"/>
  <c r="T127" i="117" a="1"/>
  <c r="T127" i="117" s="1"/>
  <c r="AB123" i="117" a="1"/>
  <c r="AB123" i="117" s="1"/>
  <c r="P127" i="117" a="1"/>
  <c r="P127" i="117" s="1"/>
  <c r="X123" i="117" a="1"/>
  <c r="X123" i="117" s="1"/>
  <c r="AB126" i="117" a="1"/>
  <c r="AB126" i="117" s="1"/>
  <c r="T123" i="117" a="1"/>
  <c r="T123" i="117" s="1"/>
  <c r="X120" i="117" a="1"/>
  <c r="X120" i="117" s="1"/>
  <c r="X126" i="117" a="1"/>
  <c r="X126" i="117" s="1"/>
  <c r="P123" i="117" a="1"/>
  <c r="P123" i="117" s="1"/>
  <c r="AB129" i="117" a="1"/>
  <c r="AB129" i="117" s="1"/>
  <c r="T126" i="117" a="1"/>
  <c r="T126" i="117" s="1"/>
  <c r="AB122" i="117" a="1"/>
  <c r="AB122" i="117" s="1"/>
  <c r="X129" i="117" a="1"/>
  <c r="X129" i="117" s="1"/>
  <c r="P126" i="117" a="1"/>
  <c r="P126" i="117" s="1"/>
  <c r="X122" i="117" a="1"/>
  <c r="X122" i="117" s="1"/>
  <c r="T129" i="117" a="1"/>
  <c r="T129" i="117" s="1"/>
  <c r="AB125" i="117" a="1"/>
  <c r="AB125" i="117" s="1"/>
  <c r="T122" i="117" a="1"/>
  <c r="T122" i="117" s="1"/>
  <c r="T120" i="117" a="1"/>
  <c r="T120" i="117" s="1"/>
  <c r="P129" i="117" a="1"/>
  <c r="P129" i="117" s="1"/>
  <c r="X125" i="117" a="1"/>
  <c r="X125" i="117" s="1"/>
  <c r="P122" i="117" a="1"/>
  <c r="P122" i="117" s="1"/>
  <c r="AB128" i="117" a="1"/>
  <c r="AB128" i="117" s="1"/>
  <c r="T125" i="117" a="1"/>
  <c r="T125" i="117" s="1"/>
  <c r="AB121" i="117" a="1"/>
  <c r="AB121" i="117" s="1"/>
  <c r="F481" i="117" a="1"/>
  <c r="F481" i="117" s="1"/>
  <c r="L242" i="119"/>
  <c r="N241" i="119" s="1"/>
  <c r="F153" i="117" a="1"/>
  <c r="F153" i="117" s="1"/>
  <c r="I153" i="117" s="1" a="1"/>
  <c r="I153" i="117" s="1"/>
  <c r="F152" i="117" a="1"/>
  <c r="F152" i="117" s="1"/>
  <c r="G152" i="117" s="1" a="1"/>
  <c r="G152" i="117" s="1"/>
  <c r="F151" i="117" a="1"/>
  <c r="F151" i="117" s="1"/>
  <c r="G151" i="117" s="1" a="1"/>
  <c r="G151" i="117" s="1"/>
  <c r="F150" i="117" a="1"/>
  <c r="F150" i="117" s="1"/>
  <c r="F149" i="117" a="1"/>
  <c r="F149" i="117" s="1"/>
  <c r="F148" i="117" a="1"/>
  <c r="F148" i="117" s="1"/>
  <c r="N12" i="89" a="1"/>
  <c r="N12" i="89" s="1"/>
  <c r="J13" i="89" a="1"/>
  <c r="J13" i="89" s="1"/>
  <c r="Y13" i="89"/>
  <c r="U14" i="89" a="1"/>
  <c r="U14" i="89" s="1"/>
  <c r="R15" i="89" a="1"/>
  <c r="R15" i="89" s="1"/>
  <c r="O16" i="89" a="1"/>
  <c r="O16" i="89" s="1"/>
  <c r="M17" i="89" a="1"/>
  <c r="M17" i="89" s="1"/>
  <c r="J18" i="89" a="1"/>
  <c r="J18" i="89" s="1"/>
  <c r="H19" i="89"/>
  <c r="Z19" i="89"/>
  <c r="Y20" i="89"/>
  <c r="M33" i="101" a="1"/>
  <c r="M33" i="101" s="1"/>
  <c r="M29" i="102" a="1"/>
  <c r="M29" i="102" s="1"/>
  <c r="L29" i="102" a="1"/>
  <c r="L29" i="102" s="1"/>
  <c r="I33" i="118"/>
  <c r="O35" i="118" s="1" a="1"/>
  <c r="O35" i="118" s="1"/>
  <c r="S48" i="118" s="1"/>
  <c r="G472" i="117" a="1"/>
  <c r="G472" i="117" s="1"/>
  <c r="G470" i="117" a="1"/>
  <c r="G470" i="117" s="1"/>
  <c r="G469" i="117" a="1"/>
  <c r="G469" i="117" s="1"/>
  <c r="G467" i="117" a="1"/>
  <c r="G467" i="117" s="1"/>
  <c r="O12" i="89" a="1"/>
  <c r="O12" i="89" s="1"/>
  <c r="K13" i="89" a="1"/>
  <c r="K13" i="89" s="1"/>
  <c r="Z13" i="89"/>
  <c r="S15" i="89" a="1"/>
  <c r="S15" i="89" s="1"/>
  <c r="P16" i="89" a="1"/>
  <c r="P16" i="89" s="1"/>
  <c r="K18" i="89" a="1"/>
  <c r="K18" i="89" s="1"/>
  <c r="J19" i="89" a="1"/>
  <c r="J19" i="89" s="1"/>
  <c r="F20" i="89"/>
  <c r="Z20" i="89"/>
  <c r="G445" i="117" a="1"/>
  <c r="G445" i="117" s="1"/>
  <c r="E27" i="102"/>
  <c r="E34" i="102"/>
  <c r="E29" i="102"/>
  <c r="E36" i="102"/>
  <c r="M37" i="101" a="1"/>
  <c r="M37" i="101" s="1"/>
  <c r="L37" i="101" a="1"/>
  <c r="L37" i="101" s="1"/>
  <c r="O37" i="101" s="1" a="1"/>
  <c r="O37" i="101" s="1"/>
  <c r="M36" i="102" a="1"/>
  <c r="M36" i="102" s="1"/>
  <c r="L36" i="102" a="1"/>
  <c r="L36" i="102" s="1"/>
  <c r="F496" i="117" a="1"/>
  <c r="F496" i="117" s="1"/>
  <c r="D47" i="114"/>
  <c r="D494" i="117" s="1"/>
  <c r="F494" i="117" s="1" a="1"/>
  <c r="F494" i="117" s="1"/>
  <c r="F485" i="117" a="1"/>
  <c r="F485" i="117" s="1"/>
  <c r="P12" i="89" a="1"/>
  <c r="P12" i="89" s="1"/>
  <c r="L13" i="89" a="1"/>
  <c r="L13" i="89" s="1"/>
  <c r="F14" i="89"/>
  <c r="W14" i="89" a="1"/>
  <c r="W14" i="89" s="1"/>
  <c r="T15" i="89" a="1"/>
  <c r="T15" i="89" s="1"/>
  <c r="Q16" i="89" a="1"/>
  <c r="Q16" i="89" s="1"/>
  <c r="N17" i="89" a="1"/>
  <c r="N17" i="89" s="1"/>
  <c r="M18" i="89" a="1"/>
  <c r="M18" i="89" s="1"/>
  <c r="K19" i="89" a="1"/>
  <c r="K19" i="89" s="1"/>
  <c r="J20" i="89" a="1"/>
  <c r="J20" i="89" s="1"/>
  <c r="F21" i="89"/>
  <c r="S252" i="117" a="1"/>
  <c r="S252" i="117" s="1"/>
  <c r="J40" i="102"/>
  <c r="I40" i="102"/>
  <c r="H40" i="102"/>
  <c r="G40" i="102"/>
  <c r="M26" i="102" a="1"/>
  <c r="M26" i="102" s="1"/>
  <c r="L26" i="102" a="1"/>
  <c r="L26" i="102" s="1"/>
  <c r="M29" i="101" a="1"/>
  <c r="M29" i="101" s="1"/>
  <c r="L29" i="101" a="1"/>
  <c r="L29" i="101" s="1"/>
  <c r="J160" i="105" a="1"/>
  <c r="J160" i="105" s="1"/>
  <c r="J176" i="105" a="1"/>
  <c r="J176" i="105" s="1"/>
  <c r="J175" i="105" a="1"/>
  <c r="J175" i="105" s="1"/>
  <c r="D21" i="105" a="1"/>
  <c r="D59" i="105" a="1"/>
  <c r="J173" i="105" a="1"/>
  <c r="J173" i="105" s="1"/>
  <c r="D116" i="105" a="1"/>
  <c r="D116" i="105" s="1"/>
  <c r="D157" i="105" a="1"/>
  <c r="J159" i="105" s="1" a="1"/>
  <c r="J159" i="105" s="1"/>
  <c r="J179" i="105" a="1"/>
  <c r="J179" i="105" s="1"/>
  <c r="D12" i="114"/>
  <c r="D137" i="117" s="1"/>
  <c r="F137" i="117" s="1" a="1"/>
  <c r="F137" i="117" s="1"/>
  <c r="D140" i="117"/>
  <c r="F140" i="117" s="1" a="1"/>
  <c r="F140" i="117" s="1"/>
  <c r="D139" i="117"/>
  <c r="F139" i="117" s="1" a="1"/>
  <c r="F139" i="117" s="1"/>
  <c r="D138" i="117"/>
  <c r="F138" i="117" s="1" a="1"/>
  <c r="F138" i="117" s="1"/>
  <c r="Q12" i="89" a="1"/>
  <c r="Q12" i="89" s="1"/>
  <c r="M13" i="89" a="1"/>
  <c r="M13" i="89" s="1"/>
  <c r="H14" i="89"/>
  <c r="Y14" i="89"/>
  <c r="U15" i="89" a="1"/>
  <c r="U15" i="89" s="1"/>
  <c r="R16" i="89" a="1"/>
  <c r="R16" i="89" s="1"/>
  <c r="O17" i="89" a="1"/>
  <c r="O17" i="89" s="1"/>
  <c r="N18" i="89" a="1"/>
  <c r="N18" i="89" s="1"/>
  <c r="L19" i="89" a="1"/>
  <c r="L19" i="89" s="1"/>
  <c r="K20" i="89" a="1"/>
  <c r="K20" i="89" s="1"/>
  <c r="H21" i="89"/>
  <c r="D183" i="82"/>
  <c r="U22" i="88"/>
  <c r="V34" i="88" s="1" a="1"/>
  <c r="V34" i="88" s="1"/>
  <c r="W34" i="88" s="1" a="1"/>
  <c r="W34" i="88" s="1"/>
  <c r="AB34" i="88" s="1" a="1"/>
  <c r="AB34" i="88" s="1"/>
  <c r="J39" i="101" a="1"/>
  <c r="J39" i="101" s="1"/>
  <c r="J36" i="101" a="1"/>
  <c r="J36" i="101" s="1"/>
  <c r="J33" i="101" a="1"/>
  <c r="J33" i="101" s="1"/>
  <c r="H29" i="101" a="1"/>
  <c r="H29" i="101" s="1"/>
  <c r="G26" i="101" a="1"/>
  <c r="G26" i="101" s="1"/>
  <c r="I39" i="101" a="1"/>
  <c r="I39" i="101" s="1"/>
  <c r="I36" i="101" a="1"/>
  <c r="I36" i="101" s="1"/>
  <c r="I33" i="101" a="1"/>
  <c r="I33" i="101" s="1"/>
  <c r="K30" i="101" a="1"/>
  <c r="K30" i="101" s="1"/>
  <c r="G29" i="101" a="1"/>
  <c r="G29" i="101" s="1"/>
  <c r="K27" i="101" a="1"/>
  <c r="K27" i="101" s="1"/>
  <c r="H39" i="101" a="1"/>
  <c r="H39" i="101" s="1"/>
  <c r="H36" i="101" a="1"/>
  <c r="H36" i="101" s="1"/>
  <c r="H33" i="101" a="1"/>
  <c r="H33" i="101" s="1"/>
  <c r="J30" i="101" a="1"/>
  <c r="J30" i="101" s="1"/>
  <c r="J27" i="101" a="1"/>
  <c r="J27" i="101" s="1"/>
  <c r="G39" i="101" a="1"/>
  <c r="G39" i="101" s="1"/>
  <c r="G36" i="101" a="1"/>
  <c r="G36" i="101" s="1"/>
  <c r="K34" i="101" a="1"/>
  <c r="K34" i="101" s="1"/>
  <c r="G33" i="101" a="1"/>
  <c r="G33" i="101" s="1"/>
  <c r="I30" i="101" a="1"/>
  <c r="I30" i="101" s="1"/>
  <c r="I27" i="101" a="1"/>
  <c r="I27" i="101" s="1"/>
  <c r="J37" i="101" a="1"/>
  <c r="J37" i="101" s="1"/>
  <c r="J34" i="101" a="1"/>
  <c r="J34" i="101" s="1"/>
  <c r="K31" i="101" a="1"/>
  <c r="K31" i="101" s="1"/>
  <c r="H30" i="101" a="1"/>
  <c r="H30" i="101" s="1"/>
  <c r="H27" i="101" a="1"/>
  <c r="H27" i="101" s="1"/>
  <c r="I37" i="101" a="1"/>
  <c r="I37" i="101" s="1"/>
  <c r="I34" i="101" a="1"/>
  <c r="I34" i="101" s="1"/>
  <c r="J31" i="101" a="1"/>
  <c r="J31" i="101" s="1"/>
  <c r="G27" i="101" a="1"/>
  <c r="G27" i="101" s="1"/>
  <c r="H34" i="101" a="1"/>
  <c r="H34" i="101" s="1"/>
  <c r="G30" i="101" a="1"/>
  <c r="G30" i="101" s="1"/>
  <c r="K28" i="101" a="1"/>
  <c r="K28" i="101" s="1"/>
  <c r="G37" i="101" a="1"/>
  <c r="G37" i="101" s="1"/>
  <c r="G34" i="101" a="1"/>
  <c r="G34" i="101" s="1"/>
  <c r="I31" i="101" a="1"/>
  <c r="I31" i="101" s="1"/>
  <c r="J28" i="101" a="1"/>
  <c r="J28" i="101" s="1"/>
  <c r="K38" i="101" a="1"/>
  <c r="K38" i="101" s="1"/>
  <c r="K35" i="101" a="1"/>
  <c r="K35" i="101" s="1"/>
  <c r="H31" i="101" a="1"/>
  <c r="H31" i="101" s="1"/>
  <c r="I28" i="101" a="1"/>
  <c r="I28" i="101" s="1"/>
  <c r="J38" i="101" a="1"/>
  <c r="J38" i="101" s="1"/>
  <c r="E37" i="101"/>
  <c r="J35" i="101" a="1"/>
  <c r="J35" i="101" s="1"/>
  <c r="K32" i="101" a="1"/>
  <c r="K32" i="101" s="1"/>
  <c r="G31" i="101" a="1"/>
  <c r="G31" i="101" s="1"/>
  <c r="H28" i="101" a="1"/>
  <c r="H28" i="101" s="1"/>
  <c r="I38" i="101" a="1"/>
  <c r="I38" i="101" s="1"/>
  <c r="I35" i="101" a="1"/>
  <c r="I35" i="101" s="1"/>
  <c r="J32" i="101" a="1"/>
  <c r="J32" i="101" s="1"/>
  <c r="G28" i="101" a="1"/>
  <c r="G28" i="101" s="1"/>
  <c r="K26" i="101" a="1"/>
  <c r="K26" i="101" s="1"/>
  <c r="H38" i="101" a="1"/>
  <c r="H38" i="101" s="1"/>
  <c r="H35" i="101" a="1"/>
  <c r="H35" i="101" s="1"/>
  <c r="I32" i="101" a="1"/>
  <c r="I32" i="101" s="1"/>
  <c r="K29" i="101" a="1"/>
  <c r="K29" i="101" s="1"/>
  <c r="J26" i="101" a="1"/>
  <c r="J26" i="101" s="1"/>
  <c r="G38" i="101" a="1"/>
  <c r="G38" i="101" s="1"/>
  <c r="G35" i="101" a="1"/>
  <c r="G35" i="101" s="1"/>
  <c r="H32" i="101" a="1"/>
  <c r="H32" i="101" s="1"/>
  <c r="J29" i="101" a="1"/>
  <c r="J29" i="101" s="1"/>
  <c r="I26" i="101" a="1"/>
  <c r="I26" i="101" s="1"/>
  <c r="E25" i="101"/>
  <c r="K39" i="101" a="1"/>
  <c r="K39" i="101" s="1"/>
  <c r="K36" i="101" a="1"/>
  <c r="K36" i="101" s="1"/>
  <c r="K33" i="101" a="1"/>
  <c r="K33" i="101" s="1"/>
  <c r="G32" i="101" a="1"/>
  <c r="G32" i="101" s="1"/>
  <c r="I29" i="101" a="1"/>
  <c r="I29" i="101" s="1"/>
  <c r="H26" i="101" a="1"/>
  <c r="H26" i="101" s="1"/>
  <c r="M33" i="102" a="1"/>
  <c r="M33" i="102" s="1"/>
  <c r="L33" i="102" a="1"/>
  <c r="L33" i="102" s="1"/>
  <c r="M30" i="102" a="1"/>
  <c r="M30" i="102" s="1"/>
  <c r="L30" i="102" a="1"/>
  <c r="L30" i="102" s="1"/>
  <c r="I17" i="106"/>
  <c r="E21" i="105" a="1"/>
  <c r="E59" i="105" a="1"/>
  <c r="E116" i="105" a="1"/>
  <c r="E157" i="105" a="1"/>
  <c r="E157" i="105" s="1"/>
  <c r="F483" i="117" a="1"/>
  <c r="F483" i="117" s="1"/>
  <c r="R12" i="89" a="1"/>
  <c r="R12" i="89" s="1"/>
  <c r="N13" i="89" a="1"/>
  <c r="N13" i="89" s="1"/>
  <c r="J14" i="89" a="1"/>
  <c r="J14" i="89" s="1"/>
  <c r="Z14" i="89"/>
  <c r="S16" i="89" a="1"/>
  <c r="S16" i="89" s="1"/>
  <c r="Q17" i="89" a="1"/>
  <c r="Q17" i="89" s="1"/>
  <c r="O18" i="89" a="1"/>
  <c r="O18" i="89" s="1"/>
  <c r="N19" i="89" a="1"/>
  <c r="N19" i="89" s="1"/>
  <c r="L20" i="89" a="1"/>
  <c r="L20" i="89" s="1"/>
  <c r="R21" i="89" a="1"/>
  <c r="R21" i="89" s="1"/>
  <c r="G463" i="117" a="1"/>
  <c r="G463" i="117" s="1"/>
  <c r="D19" i="94" a="1"/>
  <c r="P29" i="89"/>
  <c r="D58" i="91" a="1"/>
  <c r="D58" i="91" s="1"/>
  <c r="P28" i="89"/>
  <c r="P27" i="89"/>
  <c r="P26" i="89"/>
  <c r="P25" i="89"/>
  <c r="D19" i="91" a="1"/>
  <c r="D19" i="90" a="1"/>
  <c r="P34" i="89"/>
  <c r="P33" i="89"/>
  <c r="P32" i="89"/>
  <c r="G183" i="119"/>
  <c r="W254" i="117" s="1" a="1"/>
  <c r="W254" i="117" s="1"/>
  <c r="D23" i="95" a="1"/>
  <c r="D23" i="95" s="1"/>
  <c r="D60" i="90" a="1"/>
  <c r="D60" i="90" s="1"/>
  <c r="D59" i="94" a="1"/>
  <c r="D59" i="94" s="1"/>
  <c r="P30" i="89"/>
  <c r="J15" i="88" a="1"/>
  <c r="J15" i="88" s="1"/>
  <c r="I177" i="119"/>
  <c r="H197" i="119"/>
  <c r="G177" i="119"/>
  <c r="G176" i="119"/>
  <c r="G175" i="119"/>
  <c r="G174" i="119"/>
  <c r="V38" i="88" a="1"/>
  <c r="V38" i="88" s="1"/>
  <c r="V29" i="88" a="1"/>
  <c r="V29" i="88" s="1"/>
  <c r="W29" i="88" s="1" a="1"/>
  <c r="W29" i="88" s="1"/>
  <c r="E68" i="95"/>
  <c r="E105" i="94"/>
  <c r="I80" i="84" a="1"/>
  <c r="I80" i="84" s="1"/>
  <c r="E69" i="95"/>
  <c r="E106" i="94"/>
  <c r="I175" i="119"/>
  <c r="H195" i="119"/>
  <c r="V32" i="88" a="1"/>
  <c r="V32" i="88" s="1"/>
  <c r="W32" i="88" s="1" a="1"/>
  <c r="W32" i="88" s="1"/>
  <c r="AC32" i="88" s="1" a="1"/>
  <c r="AC32" i="88" s="1"/>
  <c r="E71" i="95"/>
  <c r="E108" i="94"/>
  <c r="W23" i="83"/>
  <c r="U93" i="84"/>
  <c r="I81" i="84" a="1"/>
  <c r="I81" i="84" s="1"/>
  <c r="E72" i="95"/>
  <c r="E109" i="94"/>
  <c r="H194" i="119"/>
  <c r="I174" i="119"/>
  <c r="M35" i="101" a="1"/>
  <c r="M35" i="101" s="1"/>
  <c r="L35" i="101" a="1"/>
  <c r="L35" i="101" s="1"/>
  <c r="Q35" i="101" s="1" a="1"/>
  <c r="Q35" i="101" s="1"/>
  <c r="M37" i="102" a="1"/>
  <c r="M37" i="102" s="1"/>
  <c r="L37" i="102" a="1"/>
  <c r="L37" i="102" s="1"/>
  <c r="O18" i="113"/>
  <c r="I545" i="117" a="1"/>
  <c r="I545" i="117" s="1"/>
  <c r="E548" i="117" s="1" a="1"/>
  <c r="E548" i="117" s="1"/>
  <c r="E52" i="13" s="1" a="1"/>
  <c r="E52" i="13" s="1"/>
  <c r="D285" i="117" a="1"/>
  <c r="S12" i="89" a="1"/>
  <c r="S12" i="89" s="1"/>
  <c r="O13" i="89" a="1"/>
  <c r="O13" i="89" s="1"/>
  <c r="K14" i="89" a="1"/>
  <c r="K14" i="89" s="1"/>
  <c r="F15" i="89"/>
  <c r="W15" i="89" a="1"/>
  <c r="W15" i="89" s="1"/>
  <c r="T16" i="89" a="1"/>
  <c r="T16" i="89" s="1"/>
  <c r="R17" i="89" a="1"/>
  <c r="R17" i="89" s="1"/>
  <c r="P18" i="89" a="1"/>
  <c r="P18" i="89" s="1"/>
  <c r="O19" i="89" a="1"/>
  <c r="O19" i="89" s="1"/>
  <c r="M20" i="89" a="1"/>
  <c r="M20" i="89" s="1"/>
  <c r="E112" i="94"/>
  <c r="E75" i="95"/>
  <c r="J15" i="83" a="1"/>
  <c r="J15" i="83" s="1"/>
  <c r="H32" i="83" s="1"/>
  <c r="M32" i="83" s="1" a="1"/>
  <c r="M32" i="83" s="1"/>
  <c r="L181" i="82"/>
  <c r="I176" i="119"/>
  <c r="H196" i="119"/>
  <c r="X22" i="83"/>
  <c r="V92" i="84"/>
  <c r="V22" i="88"/>
  <c r="V39" i="88" a="1"/>
  <c r="V39" i="88" s="1"/>
  <c r="X92" i="84"/>
  <c r="X22" i="88"/>
  <c r="Z22" i="83"/>
  <c r="L164" i="84" a="1"/>
  <c r="L164" i="84" s="1"/>
  <c r="V33" i="88" a="1"/>
  <c r="V33" i="88" s="1"/>
  <c r="W33" i="88" s="1" a="1"/>
  <c r="W33" i="88" s="1"/>
  <c r="E73" i="95"/>
  <c r="E110" i="94"/>
  <c r="M26" i="101" a="1"/>
  <c r="M26" i="101" s="1"/>
  <c r="M30" i="101" a="1"/>
  <c r="M30" i="101" s="1"/>
  <c r="F482" i="117" a="1"/>
  <c r="F482" i="117" s="1"/>
  <c r="T12" i="89" a="1"/>
  <c r="T12" i="89" s="1"/>
  <c r="P13" i="89" a="1"/>
  <c r="P13" i="89" s="1"/>
  <c r="L14" i="89" a="1"/>
  <c r="L14" i="89" s="1"/>
  <c r="H15" i="89"/>
  <c r="Y15" i="89"/>
  <c r="S17" i="89" a="1"/>
  <c r="S17" i="89" s="1"/>
  <c r="R18" i="89" a="1"/>
  <c r="R18" i="89" s="1"/>
  <c r="P19" i="89" a="1"/>
  <c r="P19" i="89" s="1"/>
  <c r="P31" i="89"/>
  <c r="L180" i="82"/>
  <c r="N180" i="82" s="1"/>
  <c r="O180" i="82" s="1"/>
  <c r="P21" i="89" a="1"/>
  <c r="P21" i="89" s="1"/>
  <c r="O21" i="89" a="1"/>
  <c r="O21" i="89" s="1"/>
  <c r="N21" i="89" a="1"/>
  <c r="N21" i="89" s="1"/>
  <c r="R20" i="89" a="1"/>
  <c r="R20" i="89" s="1"/>
  <c r="F19" i="89"/>
  <c r="L18" i="89" a="1"/>
  <c r="L18" i="89" s="1"/>
  <c r="P17" i="89" a="1"/>
  <c r="P17" i="89" s="1"/>
  <c r="U16" i="89" a="1"/>
  <c r="U16" i="89" s="1"/>
  <c r="M21" i="89" a="1"/>
  <c r="M21" i="89" s="1"/>
  <c r="L21" i="89" a="1"/>
  <c r="L21" i="89" s="1"/>
  <c r="Z21" i="89"/>
  <c r="K21" i="89" a="1"/>
  <c r="K21" i="89" s="1"/>
  <c r="Y21" i="89"/>
  <c r="J21" i="89" a="1"/>
  <c r="J21" i="89" s="1"/>
  <c r="W21" i="89" a="1"/>
  <c r="W21" i="89" s="1"/>
  <c r="U21" i="89" a="1"/>
  <c r="U21" i="89" s="1"/>
  <c r="T21" i="89" a="1"/>
  <c r="T21" i="89" s="1"/>
  <c r="S21" i="89" a="1"/>
  <c r="S21" i="89" s="1"/>
  <c r="W20" i="89" a="1"/>
  <c r="W20" i="89" s="1"/>
  <c r="H20" i="89"/>
  <c r="M19" i="89" a="1"/>
  <c r="M19" i="89" s="1"/>
  <c r="Q18" i="89" a="1"/>
  <c r="Q18" i="89" s="1"/>
  <c r="U17" i="89" a="1"/>
  <c r="U17" i="89" s="1"/>
  <c r="F17" i="89"/>
  <c r="L16" i="89" a="1"/>
  <c r="L16" i="89" s="1"/>
  <c r="P15" i="89" a="1"/>
  <c r="P15" i="89" s="1"/>
  <c r="T14" i="89" a="1"/>
  <c r="T14" i="89" s="1"/>
  <c r="Q21" i="89" a="1"/>
  <c r="Q21" i="89" s="1"/>
  <c r="V37" i="88" a="1"/>
  <c r="V37" i="88" s="1"/>
  <c r="V28" i="88" a="1"/>
  <c r="V28" i="88" s="1"/>
  <c r="W28" i="88" s="1" a="1"/>
  <c r="W28" i="88" s="1"/>
  <c r="AC28" i="88" s="1" a="1"/>
  <c r="AC28" i="88" s="1"/>
  <c r="W92" i="84"/>
  <c r="W22" i="88"/>
  <c r="Y22" i="83"/>
  <c r="E70" i="95"/>
  <c r="E107" i="94"/>
  <c r="G194" i="119"/>
  <c r="G197" i="119"/>
  <c r="G196" i="119"/>
  <c r="G195" i="119"/>
  <c r="E111" i="94"/>
  <c r="E74" i="95"/>
  <c r="M38" i="101" a="1"/>
  <c r="M38" i="101" s="1"/>
  <c r="L38" i="101" a="1"/>
  <c r="L38" i="101" s="1"/>
  <c r="N38" i="101" s="1" a="1"/>
  <c r="N38" i="101" s="1"/>
  <c r="M31" i="102" a="1"/>
  <c r="M31" i="102" s="1"/>
  <c r="U12" i="89" a="1"/>
  <c r="U12" i="89" s="1"/>
  <c r="Q13" i="89" a="1"/>
  <c r="Q13" i="89" s="1"/>
  <c r="M14" i="89" a="1"/>
  <c r="M14" i="89" s="1"/>
  <c r="J15" i="89" a="1"/>
  <c r="J15" i="89" s="1"/>
  <c r="Z15" i="89"/>
  <c r="W16" i="89" a="1"/>
  <c r="W16" i="89" s="1"/>
  <c r="T17" i="89" a="1"/>
  <c r="T17" i="89" s="1"/>
  <c r="S18" i="89" a="1"/>
  <c r="S18" i="89" s="1"/>
  <c r="Q19" i="89" a="1"/>
  <c r="Q19" i="89" s="1"/>
  <c r="O20" i="89" a="1"/>
  <c r="O20" i="89" s="1"/>
  <c r="I21" i="100"/>
  <c r="G464" i="117" a="1"/>
  <c r="G464" i="117" s="1"/>
  <c r="H464" i="117" s="1" a="1"/>
  <c r="H464" i="117" s="1"/>
  <c r="L39" i="101" a="1"/>
  <c r="L39" i="101" s="1"/>
  <c r="P39" i="101" s="1" a="1"/>
  <c r="P39" i="101" s="1"/>
  <c r="G446" i="117" a="1"/>
  <c r="G446" i="117" s="1"/>
  <c r="H446" i="117" s="1" a="1"/>
  <c r="H446" i="117" s="1"/>
  <c r="G465" i="117" a="1"/>
  <c r="G465" i="117" s="1"/>
  <c r="H465" i="117" s="1" a="1"/>
  <c r="H465" i="117" s="1"/>
  <c r="G447" i="117" a="1"/>
  <c r="G447" i="117" s="1"/>
  <c r="H447" i="117" s="1" a="1"/>
  <c r="H447" i="117" s="1"/>
  <c r="G466" i="117" a="1"/>
  <c r="G466" i="117" s="1"/>
  <c r="H466" i="117" s="1" a="1"/>
  <c r="H466" i="117" s="1"/>
  <c r="S260" i="117" a="1"/>
  <c r="S260" i="117" s="1"/>
  <c r="G468" i="117" a="1"/>
  <c r="G468" i="117" s="1"/>
  <c r="H468" i="117" s="1" a="1"/>
  <c r="H468" i="117" s="1"/>
  <c r="S254" i="117" a="1"/>
  <c r="S254" i="117" s="1"/>
  <c r="AA257" i="117" a="1"/>
  <c r="AA257" i="117" s="1"/>
  <c r="G452" i="117" a="1"/>
  <c r="G452" i="117" s="1"/>
  <c r="G471" i="117" a="1"/>
  <c r="G471" i="117" s="1"/>
  <c r="I19" i="100"/>
  <c r="G454" i="117" a="1"/>
  <c r="G454" i="117" s="1"/>
  <c r="K40" i="102" a="1"/>
  <c r="K40" i="102" s="1"/>
  <c r="F164" i="84" a="1"/>
  <c r="F164" i="84" s="1"/>
  <c r="H164" i="84" a="1"/>
  <c r="H164" i="84" s="1"/>
  <c r="J14" i="83" a="1"/>
  <c r="J14" i="83" s="1"/>
  <c r="G30" i="83" s="1"/>
  <c r="J14" i="88" a="1"/>
  <c r="J14" i="88" s="1"/>
  <c r="F29" i="88" s="1" a="1"/>
  <c r="F29" i="88" s="1"/>
  <c r="J29" i="88" s="1" a="1"/>
  <c r="J29" i="88" s="1"/>
  <c r="J14" i="108" a="1"/>
  <c r="J14" i="108" s="1"/>
  <c r="J15" i="108" a="1"/>
  <c r="J15" i="108" s="1"/>
  <c r="J16" i="108" a="1"/>
  <c r="J16" i="108" s="1"/>
  <c r="J17" i="108" a="1"/>
  <c r="J17" i="108" s="1"/>
  <c r="K39" i="102" a="1"/>
  <c r="K39" i="102" s="1"/>
  <c r="J642" i="117" a="1"/>
  <c r="J642" i="117" s="1"/>
  <c r="J624" i="117" a="1"/>
  <c r="J624" i="117" s="1"/>
  <c r="M23" i="117" a="1"/>
  <c r="M23" i="117" s="1"/>
  <c r="F159" i="117"/>
  <c r="I149" i="117" a="1"/>
  <c r="I149" i="117" s="1"/>
  <c r="G481" i="117" a="1"/>
  <c r="G481" i="117" s="1"/>
  <c r="G148" i="117" a="1"/>
  <c r="G148" i="117" s="1"/>
  <c r="G485" i="117" a="1"/>
  <c r="G485" i="117" s="1"/>
  <c r="G177" i="117" a="1"/>
  <c r="G177" i="117" s="1"/>
  <c r="F311" i="117"/>
  <c r="G484" i="117" a="1"/>
  <c r="G484" i="117" s="1"/>
  <c r="P19" i="118"/>
  <c r="E61" i="118"/>
  <c r="O61" i="118"/>
  <c r="E26" i="118"/>
  <c r="O26" i="118"/>
  <c r="P55" i="118"/>
  <c r="F55" i="118"/>
  <c r="P90" i="118"/>
  <c r="F90" i="118"/>
  <c r="P74" i="118"/>
  <c r="F74" i="118"/>
  <c r="I148" i="117" a="1"/>
  <c r="I148" i="117" s="1"/>
  <c r="G496" i="117" a="1"/>
  <c r="G496" i="117" s="1"/>
  <c r="G483" i="117" a="1"/>
  <c r="G483" i="117" s="1"/>
  <c r="E35" i="118" a="1"/>
  <c r="E35" i="118" s="1"/>
  <c r="I48" i="118" s="1"/>
  <c r="F72" i="117"/>
  <c r="G494" i="117" a="1"/>
  <c r="G494" i="117" s="1"/>
  <c r="E101" i="117"/>
  <c r="E7" i="117"/>
  <c r="E166" i="117"/>
  <c r="E338" i="117"/>
  <c r="E433" i="117"/>
  <c r="E370" i="117"/>
  <c r="E273" i="117"/>
  <c r="E400" i="117"/>
  <c r="E189" i="117"/>
  <c r="E203" i="117"/>
  <c r="E218" i="117"/>
  <c r="E305" i="117"/>
  <c r="E576" i="117"/>
  <c r="E609" i="117"/>
  <c r="G85" i="117" a="1"/>
  <c r="G85" i="117" s="1"/>
  <c r="G81" i="117" a="1"/>
  <c r="G81" i="117" s="1"/>
  <c r="J88" i="117" a="1"/>
  <c r="J88" i="117" s="1"/>
  <c r="J84" i="117" a="1"/>
  <c r="J84" i="117" s="1"/>
  <c r="J80" i="117" a="1"/>
  <c r="J80" i="117" s="1"/>
  <c r="G88" i="117" a="1"/>
  <c r="G88" i="117" s="1"/>
  <c r="G84" i="117" a="1"/>
  <c r="G84" i="117" s="1"/>
  <c r="G80" i="117" a="1"/>
  <c r="G80" i="117" s="1"/>
  <c r="J87" i="117" a="1"/>
  <c r="J87" i="117" s="1"/>
  <c r="J83" i="117" a="1"/>
  <c r="J83" i="117" s="1"/>
  <c r="I140" i="117" a="1"/>
  <c r="I140" i="117" s="1"/>
  <c r="G140" i="117" a="1"/>
  <c r="G140" i="117" s="1"/>
  <c r="G83" i="117" a="1"/>
  <c r="G83" i="117" s="1"/>
  <c r="J43" i="117" a="1"/>
  <c r="J43" i="117" s="1"/>
  <c r="J49" i="117" a="1"/>
  <c r="J49" i="117" s="1"/>
  <c r="G46" i="117" a="1"/>
  <c r="G46" i="117" s="1"/>
  <c r="G43" i="117" a="1"/>
  <c r="G43" i="117" s="1"/>
  <c r="G49" i="117" a="1"/>
  <c r="G49" i="117" s="1"/>
  <c r="J67" i="117" a="1"/>
  <c r="J67" i="117" s="1"/>
  <c r="G67" i="117" a="1"/>
  <c r="G67" i="117" s="1"/>
  <c r="G63" i="117" a="1"/>
  <c r="G63" i="117" s="1"/>
  <c r="J70" i="117" a="1"/>
  <c r="J70" i="117" s="1"/>
  <c r="J66" i="117" a="1"/>
  <c r="J66" i="117" s="1"/>
  <c r="G70" i="117" a="1"/>
  <c r="G70" i="117" s="1"/>
  <c r="I139" i="117" a="1"/>
  <c r="I139" i="117" s="1"/>
  <c r="G139" i="117" a="1"/>
  <c r="G139" i="117" s="1"/>
  <c r="I150" i="117" a="1"/>
  <c r="I150" i="117" s="1"/>
  <c r="G150" i="117" a="1"/>
  <c r="G150" i="117" s="1"/>
  <c r="G153" i="117" a="1"/>
  <c r="G153" i="117" s="1"/>
  <c r="F499" i="117"/>
  <c r="F488" i="117"/>
  <c r="F332" i="117"/>
  <c r="F516" i="117"/>
  <c r="F393" i="117"/>
  <c r="F363" i="117"/>
  <c r="F498" i="117"/>
  <c r="F487" i="117"/>
  <c r="F475" i="117"/>
  <c r="F457" i="117"/>
  <c r="F426" i="117"/>
  <c r="F331" i="117"/>
  <c r="F548" i="117"/>
  <c r="F474" i="117"/>
  <c r="F456" i="117"/>
  <c r="F425" i="117"/>
  <c r="F298" i="117"/>
  <c r="F517" i="117"/>
  <c r="F570" i="117"/>
  <c r="F299" i="117"/>
  <c r="F267" i="117"/>
  <c r="F394" i="117"/>
  <c r="F533" i="117"/>
  <c r="G178" i="117" a="1"/>
  <c r="G178" i="117" s="1"/>
  <c r="M24" i="117" a="1"/>
  <c r="M24" i="117" s="1"/>
  <c r="J46" i="117" a="1"/>
  <c r="J46" i="117" s="1"/>
  <c r="G50" i="117" a="1"/>
  <c r="G50" i="117" s="1"/>
  <c r="J63" i="117" a="1"/>
  <c r="J63" i="117" s="1"/>
  <c r="G64" i="117" a="1"/>
  <c r="G64" i="117" s="1"/>
  <c r="G68" i="117" a="1"/>
  <c r="G68" i="117" s="1"/>
  <c r="G138" i="117" a="1"/>
  <c r="G138" i="117" s="1"/>
  <c r="G149" i="117" a="1"/>
  <c r="G149" i="117" s="1"/>
  <c r="F362" i="117"/>
  <c r="F93" i="117"/>
  <c r="F73" i="117"/>
  <c r="F53" i="117"/>
  <c r="F90" i="117"/>
  <c r="G44" i="117" a="1"/>
  <c r="G44" i="117" s="1"/>
  <c r="J50" i="117" a="1"/>
  <c r="J50" i="117" s="1"/>
  <c r="J68" i="117" a="1"/>
  <c r="J68" i="117" s="1"/>
  <c r="M25" i="117" a="1"/>
  <c r="M25" i="117" s="1"/>
  <c r="F35" i="117"/>
  <c r="G47" i="117" a="1"/>
  <c r="G47" i="117" s="1"/>
  <c r="J64" i="117" a="1"/>
  <c r="J64" i="117" s="1"/>
  <c r="F657" i="117"/>
  <c r="F656" i="117"/>
  <c r="F654" i="117"/>
  <c r="F636" i="117"/>
  <c r="F653" i="117"/>
  <c r="F156" i="117"/>
  <c r="F155" i="117"/>
  <c r="F635" i="117"/>
  <c r="F131" i="117"/>
  <c r="F160" i="117"/>
  <c r="I179" i="117" a="1"/>
  <c r="I179" i="117" s="1"/>
  <c r="E182" i="117" s="1"/>
  <c r="G179" i="117" a="1"/>
  <c r="G179" i="117" s="1"/>
  <c r="I329" i="117" a="1"/>
  <c r="I329" i="117" s="1"/>
  <c r="J388" i="117" a="1"/>
  <c r="J388" i="117" s="1"/>
  <c r="M29" i="117" a="1"/>
  <c r="M29" i="117" s="1"/>
  <c r="M31" i="117" a="1"/>
  <c r="M31" i="117" s="1"/>
  <c r="J44" i="117" a="1"/>
  <c r="J44" i="117" s="1"/>
  <c r="G51" i="117" a="1"/>
  <c r="G51" i="117" s="1"/>
  <c r="G65" i="117" a="1"/>
  <c r="G65" i="117" s="1"/>
  <c r="G69" i="117" a="1"/>
  <c r="G69" i="117" s="1"/>
  <c r="J81" i="117" a="1"/>
  <c r="J81" i="117" s="1"/>
  <c r="J85" i="117" a="1"/>
  <c r="J85" i="117" s="1"/>
  <c r="F91" i="117"/>
  <c r="F143" i="117"/>
  <c r="I152" i="117" a="1"/>
  <c r="I152" i="117" s="1"/>
  <c r="F320" i="117"/>
  <c r="H449" i="117" a="1"/>
  <c r="H449" i="117" s="1"/>
  <c r="H448" i="117" a="1"/>
  <c r="H448" i="117" s="1"/>
  <c r="F588" i="117"/>
  <c r="J47" i="117" a="1"/>
  <c r="J47" i="117" s="1"/>
  <c r="J51" i="117" a="1"/>
  <c r="J51" i="117" s="1"/>
  <c r="G86" i="117" a="1"/>
  <c r="G86" i="117" s="1"/>
  <c r="I122" i="117" a="1"/>
  <c r="I122" i="117" s="1"/>
  <c r="F263" i="117"/>
  <c r="G320" i="117" a="1"/>
  <c r="G48" i="117" a="1"/>
  <c r="G48" i="117" s="1"/>
  <c r="J65" i="117" a="1"/>
  <c r="J65" i="117" s="1"/>
  <c r="J69" i="117" a="1"/>
  <c r="J69" i="117" s="1"/>
  <c r="G82" i="117" a="1"/>
  <c r="G82" i="117" s="1"/>
  <c r="F132" i="117"/>
  <c r="F264" i="117"/>
  <c r="H320" i="117" a="1"/>
  <c r="H320" i="117" s="1"/>
  <c r="M28" i="117" a="1"/>
  <c r="M28" i="117" s="1"/>
  <c r="M30" i="117" a="1"/>
  <c r="M30" i="117" s="1"/>
  <c r="M32" i="117" a="1"/>
  <c r="M32" i="117" s="1"/>
  <c r="G45" i="117" a="1"/>
  <c r="G45" i="117" s="1"/>
  <c r="J82" i="117" a="1"/>
  <c r="J82" i="117" s="1"/>
  <c r="J86" i="117" a="1"/>
  <c r="J86" i="117" s="1"/>
  <c r="F94" i="117"/>
  <c r="F181" i="117"/>
  <c r="F266" i="117"/>
  <c r="J48" i="117" a="1"/>
  <c r="J48" i="117" s="1"/>
  <c r="G62" i="117" a="1"/>
  <c r="G62" i="117" s="1"/>
  <c r="G66" i="117" a="1"/>
  <c r="G66" i="117" s="1"/>
  <c r="G87" i="117" a="1"/>
  <c r="G87" i="117" s="1"/>
  <c r="I121" i="117" a="1"/>
  <c r="I121" i="117" s="1"/>
  <c r="G137" i="117" a="1"/>
  <c r="G137" i="117" s="1"/>
  <c r="J321" i="117" a="1"/>
  <c r="J321" i="117" s="1"/>
  <c r="F54" i="117"/>
  <c r="F182" i="117"/>
  <c r="K357" i="117" a="1"/>
  <c r="K357" i="117" s="1"/>
  <c r="K352" i="117" a="1"/>
  <c r="K352" i="117" s="1"/>
  <c r="K356" i="117" a="1"/>
  <c r="K356" i="117" s="1"/>
  <c r="K355" i="117" a="1"/>
  <c r="K355" i="117" s="1"/>
  <c r="H384" i="117" a="1"/>
  <c r="H384" i="117" s="1"/>
  <c r="J448" i="117" a="1"/>
  <c r="J448" i="117" s="1"/>
  <c r="J447" i="117" a="1"/>
  <c r="J447" i="117" s="1"/>
  <c r="J445" i="117" a="1"/>
  <c r="J445" i="117" s="1"/>
  <c r="H463" i="117" a="1"/>
  <c r="H463" i="117" s="1"/>
  <c r="J390" i="117" a="1"/>
  <c r="J390" i="117" s="1"/>
  <c r="J383" i="117" a="1"/>
  <c r="J383" i="117" s="1"/>
  <c r="H385" i="117" a="1"/>
  <c r="H385" i="117" s="1"/>
  <c r="J387" i="117" a="1"/>
  <c r="J387" i="117" s="1"/>
  <c r="J466" i="117" a="1"/>
  <c r="J466" i="117" s="1"/>
  <c r="J468" i="117" a="1"/>
  <c r="J468" i="117" s="1"/>
  <c r="J465" i="117" a="1"/>
  <c r="J465" i="117" s="1"/>
  <c r="H467" i="117" a="1"/>
  <c r="H467" i="117" s="1"/>
  <c r="K508" i="117" a="1"/>
  <c r="K508" i="117" s="1"/>
  <c r="K514" i="117" a="1"/>
  <c r="K514" i="117" s="1"/>
  <c r="K507" i="117" a="1"/>
  <c r="K507" i="117" s="1"/>
  <c r="K512" i="117" a="1"/>
  <c r="K512" i="117" s="1"/>
  <c r="K509" i="117" a="1"/>
  <c r="K509" i="117" s="1"/>
  <c r="J463" i="117" a="1"/>
  <c r="J463" i="117" s="1"/>
  <c r="K505" i="117" a="1"/>
  <c r="K505" i="117" s="1"/>
  <c r="K358" i="117" a="1"/>
  <c r="K358" i="117" s="1"/>
  <c r="J391" i="117" a="1"/>
  <c r="J391" i="117" s="1"/>
  <c r="J384" i="117" a="1"/>
  <c r="J384" i="117" s="1"/>
  <c r="J389" i="117" a="1"/>
  <c r="J389" i="117" s="1"/>
  <c r="J416" i="117" a="1"/>
  <c r="J416" i="117" s="1"/>
  <c r="J420" i="117" a="1"/>
  <c r="J420" i="117" s="1"/>
  <c r="J423" i="117" a="1"/>
  <c r="J423" i="117" s="1"/>
  <c r="I484" i="117" a="1"/>
  <c r="I484" i="117" s="1"/>
  <c r="J414" i="117" a="1"/>
  <c r="J414" i="117" s="1"/>
  <c r="J421" i="117" a="1"/>
  <c r="J421" i="117" s="1"/>
  <c r="G495" i="117" a="1"/>
  <c r="G495" i="117" s="1"/>
  <c r="I495" i="117" a="1"/>
  <c r="I495" i="117" s="1"/>
  <c r="E499" i="117" s="1"/>
  <c r="J386" i="117" a="1"/>
  <c r="J386" i="117" s="1"/>
  <c r="K420" i="117"/>
  <c r="K415" i="117"/>
  <c r="K414" i="117"/>
  <c r="J449" i="117" a="1"/>
  <c r="J449" i="117" s="1"/>
  <c r="J467" i="117" a="1"/>
  <c r="J467" i="117" s="1"/>
  <c r="K353" i="117" a="1"/>
  <c r="K353" i="117" s="1"/>
  <c r="K359" i="117" a="1"/>
  <c r="K359" i="117" s="1"/>
  <c r="K421" i="117"/>
  <c r="J446" i="117" a="1"/>
  <c r="J446" i="117" s="1"/>
  <c r="K506" i="117" a="1"/>
  <c r="K506" i="117" s="1"/>
  <c r="H386" i="117" a="1"/>
  <c r="H386" i="117" s="1"/>
  <c r="J422" i="117" a="1"/>
  <c r="J422" i="117" s="1"/>
  <c r="J464" i="117" a="1"/>
  <c r="J464" i="117" s="1"/>
  <c r="I482" i="117" a="1"/>
  <c r="I482" i="117" s="1"/>
  <c r="G482" i="117" a="1"/>
  <c r="G482" i="117" s="1"/>
  <c r="K360" i="117" a="1"/>
  <c r="K360" i="117" s="1"/>
  <c r="J415" i="117" a="1"/>
  <c r="J415" i="117" s="1"/>
  <c r="K510" i="117" a="1"/>
  <c r="K510" i="117" s="1"/>
  <c r="K354" i="117" a="1"/>
  <c r="K354" i="117" s="1"/>
  <c r="K422" i="117"/>
  <c r="J450" i="117" a="1"/>
  <c r="J450" i="117" s="1"/>
  <c r="J648" i="117" a="1"/>
  <c r="J648" i="117" s="1"/>
  <c r="J644" i="117" a="1"/>
  <c r="J644" i="117" s="1"/>
  <c r="J651" i="117" a="1"/>
  <c r="J651" i="117" s="1"/>
  <c r="J629" i="117" a="1"/>
  <c r="J629" i="117" s="1"/>
  <c r="J647" i="117" a="1"/>
  <c r="J647" i="117" s="1"/>
  <c r="O14" i="113"/>
  <c r="L17" i="113"/>
  <c r="L12" i="113"/>
  <c r="O12" i="113"/>
  <c r="L15" i="113"/>
  <c r="L14" i="113"/>
  <c r="L10" i="113"/>
  <c r="O10" i="113"/>
  <c r="L13" i="113"/>
  <c r="O17" i="113"/>
  <c r="O13" i="113"/>
  <c r="O16" i="113"/>
  <c r="L19" i="113"/>
  <c r="E7" i="109"/>
  <c r="E30" i="109"/>
  <c r="P48" i="109"/>
  <c r="F48" i="109"/>
  <c r="E7" i="108"/>
  <c r="E99" i="105"/>
  <c r="E7" i="105"/>
  <c r="F192" i="105"/>
  <c r="F151" i="105"/>
  <c r="E7" i="102"/>
  <c r="L8" i="102"/>
  <c r="F58" i="102"/>
  <c r="F49" i="102"/>
  <c r="F57" i="102"/>
  <c r="F46" i="102"/>
  <c r="F56" i="102"/>
  <c r="F45" i="102"/>
  <c r="F55" i="102"/>
  <c r="F44" i="102"/>
  <c r="F52" i="102"/>
  <c r="F43" i="102"/>
  <c r="F51" i="102"/>
  <c r="F50" i="102"/>
  <c r="D39" i="102"/>
  <c r="L39" i="102" s="1" a="1"/>
  <c r="L39" i="102" s="1"/>
  <c r="D42" i="102"/>
  <c r="I18" i="100"/>
  <c r="L32" i="102" s="1" a="1"/>
  <c r="L32" i="102" s="1"/>
  <c r="D28" i="102"/>
  <c r="L28" i="102" s="1" a="1"/>
  <c r="L28" i="102" s="1"/>
  <c r="D35" i="102"/>
  <c r="D40" i="102"/>
  <c r="L40" i="102" s="1" a="1"/>
  <c r="L40" i="102" s="1"/>
  <c r="D31" i="102"/>
  <c r="L31" i="102" s="1" a="1"/>
  <c r="L31" i="102" s="1"/>
  <c r="D38" i="102"/>
  <c r="L38" i="102" s="1" a="1"/>
  <c r="L38" i="102" s="1"/>
  <c r="D48" i="102"/>
  <c r="E7" i="101"/>
  <c r="L7" i="101"/>
  <c r="F70" i="101"/>
  <c r="F61" i="101"/>
  <c r="F51" i="101"/>
  <c r="F69" i="101"/>
  <c r="F50" i="101"/>
  <c r="F58" i="101"/>
  <c r="F68" i="101"/>
  <c r="F49" i="101"/>
  <c r="F57" i="101"/>
  <c r="F67" i="101"/>
  <c r="F56" i="101"/>
  <c r="F46" i="101"/>
  <c r="F64" i="101"/>
  <c r="F55" i="101"/>
  <c r="F45" i="101"/>
  <c r="F63" i="101"/>
  <c r="F44" i="101"/>
  <c r="F62" i="101"/>
  <c r="F52" i="101"/>
  <c r="F43" i="101"/>
  <c r="D30" i="101"/>
  <c r="L30" i="101" s="1" a="1"/>
  <c r="L30" i="101" s="1"/>
  <c r="D54" i="101"/>
  <c r="D28" i="101"/>
  <c r="L28" i="101" s="1" a="1"/>
  <c r="L28" i="101" s="1"/>
  <c r="D32" i="101"/>
  <c r="L32" i="101" s="1" a="1"/>
  <c r="L32" i="101" s="1"/>
  <c r="D27" i="101"/>
  <c r="L27" i="101" s="1" a="1"/>
  <c r="L27" i="101" s="1"/>
  <c r="D31" i="101"/>
  <c r="L31" i="101" s="1" a="1"/>
  <c r="L31" i="101" s="1"/>
  <c r="D60" i="101"/>
  <c r="D26" i="101"/>
  <c r="L26" i="101" s="1" a="1"/>
  <c r="L26" i="101" s="1"/>
  <c r="I20" i="100"/>
  <c r="L33" i="101" s="1" a="1"/>
  <c r="L33" i="101" s="1"/>
  <c r="I17" i="100"/>
  <c r="F107" i="94" a="1"/>
  <c r="F107" i="94" s="1"/>
  <c r="E139" i="94" s="1"/>
  <c r="F112" i="94" a="1"/>
  <c r="F112" i="94" s="1"/>
  <c r="E144" i="94" s="1"/>
  <c r="I57" i="95"/>
  <c r="I15" i="95"/>
  <c r="F106" i="94" a="1"/>
  <c r="F106" i="94" s="1"/>
  <c r="E138" i="94" s="1"/>
  <c r="F108" i="94" a="1"/>
  <c r="F108" i="94" s="1"/>
  <c r="E140" i="94" s="1"/>
  <c r="F109" i="94" a="1"/>
  <c r="F109" i="94" s="1"/>
  <c r="E141" i="94" s="1"/>
  <c r="E49" i="95"/>
  <c r="E7" i="95"/>
  <c r="F110" i="94" a="1"/>
  <c r="F110" i="94" s="1"/>
  <c r="E142" i="94" s="1"/>
  <c r="F111" i="94" a="1"/>
  <c r="F111" i="94" s="1"/>
  <c r="E143" i="94" s="1"/>
  <c r="E43" i="94"/>
  <c r="E118" i="94"/>
  <c r="E7" i="94"/>
  <c r="E90" i="94"/>
  <c r="F105" i="94" a="1"/>
  <c r="F105" i="94" s="1"/>
  <c r="E137" i="94" s="1"/>
  <c r="G59" i="94"/>
  <c r="E7" i="93"/>
  <c r="E38" i="92"/>
  <c r="E7" i="92"/>
  <c r="E7" i="91"/>
  <c r="E43" i="91"/>
  <c r="F78" i="91"/>
  <c r="F58" i="91"/>
  <c r="W37" i="88" a="1"/>
  <c r="W37" i="88" s="1"/>
  <c r="AC37" i="88" s="1" a="1"/>
  <c r="AC37" i="88" s="1"/>
  <c r="L364" i="87"/>
  <c r="E42" i="90"/>
  <c r="N85" i="90"/>
  <c r="E7" i="90"/>
  <c r="F80" i="90"/>
  <c r="O110" i="90"/>
  <c r="F60" i="90"/>
  <c r="D40" i="89"/>
  <c r="AF80" i="88"/>
  <c r="AF76" i="88"/>
  <c r="J28" i="88" a="1"/>
  <c r="J28" i="88" s="1"/>
  <c r="N364" i="87"/>
  <c r="I368" i="87"/>
  <c r="V36" i="88" a="1"/>
  <c r="V36" i="88" s="1"/>
  <c r="W36" i="88" s="1" a="1"/>
  <c r="W36" i="88" s="1"/>
  <c r="AA36" i="88" s="1" a="1"/>
  <c r="AA36" i="88" s="1"/>
  <c r="I14" i="89"/>
  <c r="E73" i="88"/>
  <c r="E35" i="88"/>
  <c r="E94" i="88"/>
  <c r="O85" i="88"/>
  <c r="AF97" i="88"/>
  <c r="AH39" i="88"/>
  <c r="AH38" i="88"/>
  <c r="AH37" i="88"/>
  <c r="AH35" i="88"/>
  <c r="AH34" i="88"/>
  <c r="AH33" i="88"/>
  <c r="AH32" i="88"/>
  <c r="AH29" i="88"/>
  <c r="Q26" i="88"/>
  <c r="Q27" i="88"/>
  <c r="AH30" i="88"/>
  <c r="AH36" i="88"/>
  <c r="Q28" i="88"/>
  <c r="AH31" i="88"/>
  <c r="AH28" i="88"/>
  <c r="Q29" i="88"/>
  <c r="AC33" i="88" a="1"/>
  <c r="AC33" i="88" s="1"/>
  <c r="AB33" i="88" a="1"/>
  <c r="AB33" i="88" s="1"/>
  <c r="AA33" i="88" a="1"/>
  <c r="AA33" i="88" s="1"/>
  <c r="AC29" i="88" a="1"/>
  <c r="AC29" i="88" s="1"/>
  <c r="AB29" i="88" a="1"/>
  <c r="AB29" i="88" s="1"/>
  <c r="L28" i="88" a="1"/>
  <c r="L28" i="88" s="1"/>
  <c r="K28" i="88" a="1"/>
  <c r="K28" i="88" s="1"/>
  <c r="O123" i="88"/>
  <c r="W162" i="88"/>
  <c r="F128" i="88"/>
  <c r="AF149" i="88"/>
  <c r="E27" i="88" a="1"/>
  <c r="E27" i="88" s="1"/>
  <c r="F27" i="88" s="1" a="1"/>
  <c r="F27" i="88" s="1"/>
  <c r="O64" i="88"/>
  <c r="J365" i="87"/>
  <c r="W38" i="88" a="1"/>
  <c r="W38" i="88" s="1"/>
  <c r="V30" i="88" a="1"/>
  <c r="V30" i="88" s="1"/>
  <c r="W30" i="88" s="1" a="1"/>
  <c r="W30" i="88" s="1"/>
  <c r="V35" i="88" a="1"/>
  <c r="V35" i="88" s="1"/>
  <c r="W35" i="88" s="1" a="1"/>
  <c r="W35" i="88" s="1"/>
  <c r="E115" i="88"/>
  <c r="AF78" i="88"/>
  <c r="AF87" i="88"/>
  <c r="AF86" i="88"/>
  <c r="AF85" i="88"/>
  <c r="AF84" i="88"/>
  <c r="O67" i="88"/>
  <c r="AF81" i="88"/>
  <c r="O65" i="88"/>
  <c r="O66" i="88"/>
  <c r="AF77" i="88"/>
  <c r="V31" i="88" a="1"/>
  <c r="V31" i="88" s="1"/>
  <c r="W31" i="88" s="1" a="1"/>
  <c r="W31" i="88" s="1"/>
  <c r="AB31" i="88" s="1" a="1"/>
  <c r="AB31" i="88" s="1"/>
  <c r="J364" i="87"/>
  <c r="AF79" i="88"/>
  <c r="AF83" i="88"/>
  <c r="G100" i="88"/>
  <c r="O107" i="88"/>
  <c r="N362" i="87"/>
  <c r="L362" i="87"/>
  <c r="O20" i="86"/>
  <c r="F20" i="86"/>
  <c r="M366" i="87"/>
  <c r="N366" i="87"/>
  <c r="AF259" i="84"/>
  <c r="AF249" i="84"/>
  <c r="O210" i="84"/>
  <c r="AF258" i="84"/>
  <c r="F212" i="84"/>
  <c r="O209" i="84"/>
  <c r="L367" i="87"/>
  <c r="M367" i="87"/>
  <c r="J363" i="87"/>
  <c r="X261" i="83"/>
  <c r="X264" i="83"/>
  <c r="O86" i="87"/>
  <c r="N86" i="87"/>
  <c r="P90" i="87"/>
  <c r="O90" i="87"/>
  <c r="N90" i="87"/>
  <c r="P86" i="87"/>
  <c r="N96" i="87"/>
  <c r="P96" i="87"/>
  <c r="O96" i="87"/>
  <c r="K99" i="87"/>
  <c r="L99" i="87"/>
  <c r="N103" i="87"/>
  <c r="P103" i="87"/>
  <c r="O103" i="87"/>
  <c r="P112" i="87"/>
  <c r="O112" i="87"/>
  <c r="N112" i="87"/>
  <c r="K106" i="87"/>
  <c r="L106" i="87"/>
  <c r="O111" i="87"/>
  <c r="N111" i="87"/>
  <c r="P111" i="87"/>
  <c r="L115" i="87"/>
  <c r="K115" i="87"/>
  <c r="P114" i="87"/>
  <c r="N114" i="87"/>
  <c r="O114" i="87"/>
  <c r="K110" i="87"/>
  <c r="L110" i="87"/>
  <c r="P102" i="87"/>
  <c r="O102" i="87"/>
  <c r="N102" i="87"/>
  <c r="L105" i="87"/>
  <c r="K105" i="87"/>
  <c r="P110" i="87"/>
  <c r="N110" i="87"/>
  <c r="O110" i="87"/>
  <c r="P94" i="87"/>
  <c r="N94" i="87"/>
  <c r="O94" i="87"/>
  <c r="P105" i="87"/>
  <c r="N105" i="87"/>
  <c r="O105" i="87"/>
  <c r="P109" i="87"/>
  <c r="N109" i="87"/>
  <c r="O109" i="87"/>
  <c r="L113" i="87"/>
  <c r="K113" i="87"/>
  <c r="I90" i="87"/>
  <c r="I86" i="87"/>
  <c r="M87" i="87"/>
  <c r="M91" i="87"/>
  <c r="P97" i="87"/>
  <c r="N97" i="87"/>
  <c r="O97" i="87"/>
  <c r="K100" i="87"/>
  <c r="L100" i="87"/>
  <c r="N95" i="87"/>
  <c r="O95" i="87"/>
  <c r="P95" i="87"/>
  <c r="L98" i="87"/>
  <c r="K98" i="87"/>
  <c r="G91" i="87"/>
  <c r="G87" i="87"/>
  <c r="L94" i="87"/>
  <c r="K94" i="87"/>
  <c r="H87" i="87"/>
  <c r="H91" i="87"/>
  <c r="P98" i="87"/>
  <c r="N98" i="87"/>
  <c r="O98" i="87"/>
  <c r="L101" i="87"/>
  <c r="K101" i="87"/>
  <c r="L114" i="87"/>
  <c r="K114" i="87"/>
  <c r="I91" i="87"/>
  <c r="I87" i="87"/>
  <c r="J86" i="87"/>
  <c r="J90" i="87"/>
  <c r="P87" i="87"/>
  <c r="O87" i="87"/>
  <c r="O91" i="87"/>
  <c r="N87" i="87"/>
  <c r="P91" i="87"/>
  <c r="N91" i="87"/>
  <c r="P104" i="87"/>
  <c r="O104" i="87"/>
  <c r="N104" i="87"/>
  <c r="L112" i="87"/>
  <c r="K112" i="87"/>
  <c r="L86" i="87"/>
  <c r="K86" i="87"/>
  <c r="L90" i="87"/>
  <c r="K90" i="87"/>
  <c r="K96" i="87"/>
  <c r="L96" i="87"/>
  <c r="O100" i="87"/>
  <c r="P100" i="87"/>
  <c r="N100" i="87"/>
  <c r="L103" i="87"/>
  <c r="K103" i="87"/>
  <c r="L107" i="87"/>
  <c r="K107" i="87"/>
  <c r="M86" i="87"/>
  <c r="M90" i="87"/>
  <c r="P117" i="87"/>
  <c r="N117" i="87"/>
  <c r="O117" i="87"/>
  <c r="G88" i="87"/>
  <c r="G92" i="87"/>
  <c r="L95" i="87"/>
  <c r="K95" i="87"/>
  <c r="O107" i="87"/>
  <c r="N107" i="87"/>
  <c r="P107" i="87"/>
  <c r="P116" i="87"/>
  <c r="N116" i="87"/>
  <c r="O116" i="87"/>
  <c r="G223" i="87"/>
  <c r="G227" i="87"/>
  <c r="L224" i="87"/>
  <c r="L228" i="87"/>
  <c r="K224" i="87"/>
  <c r="K228" i="87"/>
  <c r="L232" i="87"/>
  <c r="K232" i="87"/>
  <c r="H223" i="87"/>
  <c r="H227" i="87"/>
  <c r="M224" i="87"/>
  <c r="M228" i="87"/>
  <c r="F226" i="87"/>
  <c r="F230" i="87"/>
  <c r="P237" i="87"/>
  <c r="O237" i="87"/>
  <c r="N237" i="87"/>
  <c r="L242" i="87"/>
  <c r="K242" i="87"/>
  <c r="N245" i="87"/>
  <c r="P245" i="87"/>
  <c r="O245" i="87"/>
  <c r="N252" i="87"/>
  <c r="P252" i="87"/>
  <c r="O252" i="87"/>
  <c r="L104" i="87"/>
  <c r="K104" i="87"/>
  <c r="J89" i="87"/>
  <c r="J93" i="87"/>
  <c r="P99" i="87"/>
  <c r="O99" i="87"/>
  <c r="N99" i="87"/>
  <c r="G86" i="87"/>
  <c r="G146" i="87" s="1"/>
  <c r="K116" i="87"/>
  <c r="I223" i="87"/>
  <c r="I227" i="87"/>
  <c r="O228" i="87"/>
  <c r="N224" i="87"/>
  <c r="N228" i="87"/>
  <c r="P224" i="87"/>
  <c r="P228" i="87"/>
  <c r="O224" i="87"/>
  <c r="G226" i="87"/>
  <c r="G230" i="87"/>
  <c r="P232" i="87"/>
  <c r="O232" i="87"/>
  <c r="N232" i="87"/>
  <c r="L236" i="87"/>
  <c r="K236" i="87"/>
  <c r="L241" i="87"/>
  <c r="K241" i="87"/>
  <c r="L251" i="87"/>
  <c r="K251" i="87"/>
  <c r="J223" i="87"/>
  <c r="J227" i="87"/>
  <c r="H230" i="87"/>
  <c r="H226" i="87"/>
  <c r="P113" i="87"/>
  <c r="N113" i="87"/>
  <c r="K97" i="87"/>
  <c r="K102" i="87"/>
  <c r="K117" i="87"/>
  <c r="K227" i="87"/>
  <c r="L223" i="87"/>
  <c r="L227" i="87"/>
  <c r="K223" i="87"/>
  <c r="I226" i="87"/>
  <c r="I230" i="87"/>
  <c r="L235" i="87"/>
  <c r="K235" i="87"/>
  <c r="J87" i="87"/>
  <c r="J147" i="87" s="1"/>
  <c r="H92" i="87"/>
  <c r="H148" i="87" s="1"/>
  <c r="M223" i="87"/>
  <c r="M227" i="87"/>
  <c r="P231" i="87"/>
  <c r="O231" i="87"/>
  <c r="N231" i="87"/>
  <c r="K87" i="87"/>
  <c r="K91" i="87"/>
  <c r="L87" i="87"/>
  <c r="G93" i="87"/>
  <c r="G149" i="87" s="1"/>
  <c r="P240" i="87"/>
  <c r="O240" i="87"/>
  <c r="N240" i="87"/>
  <c r="L249" i="87"/>
  <c r="K249" i="87"/>
  <c r="P250" i="87"/>
  <c r="O250" i="87"/>
  <c r="N250" i="87"/>
  <c r="I93" i="87"/>
  <c r="I149" i="87" s="1"/>
  <c r="K108" i="87"/>
  <c r="H225" i="87"/>
  <c r="H229" i="87"/>
  <c r="M226" i="87"/>
  <c r="M230" i="87"/>
  <c r="L234" i="87"/>
  <c r="K234" i="87"/>
  <c r="O235" i="87"/>
  <c r="P235" i="87"/>
  <c r="N235" i="87"/>
  <c r="M88" i="87"/>
  <c r="M148" i="87" s="1"/>
  <c r="O113" i="87"/>
  <c r="I225" i="87"/>
  <c r="I229" i="87"/>
  <c r="N230" i="87"/>
  <c r="P226" i="87"/>
  <c r="O226" i="87"/>
  <c r="P230" i="87"/>
  <c r="N226" i="87"/>
  <c r="O230" i="87"/>
  <c r="P249" i="87"/>
  <c r="O249" i="87"/>
  <c r="N249" i="87"/>
  <c r="L89" i="87"/>
  <c r="K89" i="87"/>
  <c r="L93" i="87"/>
  <c r="I88" i="87"/>
  <c r="I92" i="87"/>
  <c r="M93" i="87"/>
  <c r="M149" i="87" s="1"/>
  <c r="K109" i="87"/>
  <c r="F224" i="87"/>
  <c r="F228" i="87"/>
  <c r="J225" i="87"/>
  <c r="J229" i="87"/>
  <c r="P89" i="87"/>
  <c r="O89" i="87"/>
  <c r="N89" i="87"/>
  <c r="P93" i="87"/>
  <c r="O93" i="87"/>
  <c r="N93" i="87"/>
  <c r="H86" i="87"/>
  <c r="H90" i="87"/>
  <c r="P106" i="87"/>
  <c r="N106" i="87"/>
  <c r="G224" i="87"/>
  <c r="G228" i="87"/>
  <c r="K229" i="87"/>
  <c r="L225" i="87"/>
  <c r="K225" i="87"/>
  <c r="L229" i="87"/>
  <c r="K238" i="87"/>
  <c r="L238" i="87"/>
  <c r="O92" i="87"/>
  <c r="N92" i="87"/>
  <c r="P88" i="87"/>
  <c r="N88" i="87"/>
  <c r="P92" i="87"/>
  <c r="N108" i="87"/>
  <c r="P108" i="87"/>
  <c r="O108" i="87"/>
  <c r="L111" i="87"/>
  <c r="K111" i="87"/>
  <c r="J88" i="87"/>
  <c r="J92" i="87"/>
  <c r="H228" i="87"/>
  <c r="H224" i="87"/>
  <c r="M225" i="87"/>
  <c r="M229" i="87"/>
  <c r="L233" i="87"/>
  <c r="K233" i="87"/>
  <c r="L246" i="87"/>
  <c r="K246" i="87"/>
  <c r="N101" i="87"/>
  <c r="O101" i="87"/>
  <c r="N115" i="87"/>
  <c r="P115" i="87"/>
  <c r="O115" i="87"/>
  <c r="F106" i="87"/>
  <c r="F102" i="87"/>
  <c r="J7" i="111" s="1" a="1"/>
  <c r="J7" i="111" s="1"/>
  <c r="I224" i="87"/>
  <c r="I228" i="87"/>
  <c r="P238" i="87"/>
  <c r="O238" i="87"/>
  <c r="N238" i="87"/>
  <c r="L88" i="87"/>
  <c r="L92" i="87"/>
  <c r="K92" i="87"/>
  <c r="K88" i="87"/>
  <c r="H89" i="87"/>
  <c r="H93" i="87"/>
  <c r="P233" i="87"/>
  <c r="O233" i="87"/>
  <c r="N233" i="87"/>
  <c r="L252" i="87"/>
  <c r="K252" i="87"/>
  <c r="G225" i="87"/>
  <c r="G229" i="87"/>
  <c r="L231" i="87"/>
  <c r="K231" i="87"/>
  <c r="O239" i="87"/>
  <c r="N239" i="87"/>
  <c r="P239" i="87"/>
  <c r="L240" i="87"/>
  <c r="K240" i="87"/>
  <c r="L245" i="87"/>
  <c r="K245" i="87"/>
  <c r="O248" i="87"/>
  <c r="N248" i="87"/>
  <c r="P248" i="87"/>
  <c r="P253" i="87"/>
  <c r="O253" i="87"/>
  <c r="N253" i="87"/>
  <c r="P244" i="87"/>
  <c r="O244" i="87"/>
  <c r="N244" i="87"/>
  <c r="L250" i="87"/>
  <c r="K250" i="87"/>
  <c r="J224" i="87"/>
  <c r="J228" i="87"/>
  <c r="P254" i="87"/>
  <c r="O254" i="87"/>
  <c r="N254" i="87"/>
  <c r="P223" i="87"/>
  <c r="P227" i="87"/>
  <c r="O223" i="87"/>
  <c r="O227" i="87"/>
  <c r="N223" i="87"/>
  <c r="N227" i="87"/>
  <c r="L237" i="87"/>
  <c r="K237" i="87"/>
  <c r="P236" i="87"/>
  <c r="O236" i="87"/>
  <c r="N236" i="87"/>
  <c r="F223" i="87"/>
  <c r="F227" i="87"/>
  <c r="P241" i="87"/>
  <c r="O241" i="87"/>
  <c r="N241" i="87"/>
  <c r="P246" i="87"/>
  <c r="O246" i="87"/>
  <c r="N246" i="87"/>
  <c r="P251" i="87"/>
  <c r="O251" i="87"/>
  <c r="N251" i="87"/>
  <c r="J226" i="87"/>
  <c r="J230" i="87"/>
  <c r="L226" i="87"/>
  <c r="L230" i="87"/>
  <c r="K226" i="87"/>
  <c r="K230" i="87"/>
  <c r="P242" i="87"/>
  <c r="O242" i="87"/>
  <c r="N242" i="87"/>
  <c r="L243" i="87"/>
  <c r="K243" i="87"/>
  <c r="P247" i="87"/>
  <c r="O247" i="87"/>
  <c r="N247" i="87"/>
  <c r="L248" i="87"/>
  <c r="K248" i="87"/>
  <c r="L253" i="87"/>
  <c r="K253" i="87"/>
  <c r="P225" i="87"/>
  <c r="P229" i="87"/>
  <c r="O225" i="87"/>
  <c r="O229" i="87"/>
  <c r="N225" i="87"/>
  <c r="N229" i="87"/>
  <c r="L239" i="87"/>
  <c r="K239" i="87"/>
  <c r="P234" i="87"/>
  <c r="O234" i="87"/>
  <c r="N234" i="87"/>
  <c r="L244" i="87"/>
  <c r="K244" i="87"/>
  <c r="F225" i="87"/>
  <c r="F229" i="87"/>
  <c r="O243" i="87"/>
  <c r="N243" i="87"/>
  <c r="P243" i="87"/>
  <c r="L254" i="87"/>
  <c r="K254" i="87"/>
  <c r="I362" i="87"/>
  <c r="J362" i="87"/>
  <c r="L247" i="87"/>
  <c r="K247" i="87"/>
  <c r="N369" i="87"/>
  <c r="M369" i="87"/>
  <c r="L369" i="87"/>
  <c r="I366" i="87"/>
  <c r="M362" i="87"/>
  <c r="L366" i="87"/>
  <c r="J367" i="87"/>
  <c r="I367" i="87"/>
  <c r="N368" i="87"/>
  <c r="M368" i="87"/>
  <c r="L363" i="87"/>
  <c r="M363" i="87"/>
  <c r="M365" i="87"/>
  <c r="N365" i="87"/>
  <c r="J369" i="87"/>
  <c r="E7" i="86"/>
  <c r="O36" i="86"/>
  <c r="F36" i="86"/>
  <c r="AH107" i="84"/>
  <c r="AH102" i="84"/>
  <c r="AH101" i="84"/>
  <c r="AH108" i="84"/>
  <c r="AH100" i="84"/>
  <c r="AH111" i="84"/>
  <c r="AH105" i="84"/>
  <c r="Q98" i="84"/>
  <c r="AH104" i="84"/>
  <c r="J29" i="82"/>
  <c r="X258" i="83"/>
  <c r="AF136" i="84"/>
  <c r="G31" i="82"/>
  <c r="X272" i="83"/>
  <c r="AF254" i="84"/>
  <c r="L31" i="82"/>
  <c r="AF256" i="84"/>
  <c r="E7" i="85"/>
  <c r="P179" i="83"/>
  <c r="P181" i="83"/>
  <c r="AI190" i="83"/>
  <c r="W267" i="84"/>
  <c r="F229" i="84"/>
  <c r="P35" i="85"/>
  <c r="F35" i="85"/>
  <c r="M31" i="82"/>
  <c r="X253" i="83"/>
  <c r="AF47" i="84"/>
  <c r="O65" i="84"/>
  <c r="AF80" i="84"/>
  <c r="AF140" i="84"/>
  <c r="AF201" i="84"/>
  <c r="W261" i="84"/>
  <c r="AF251" i="84"/>
  <c r="X255" i="83"/>
  <c r="AH103" i="84"/>
  <c r="N25" i="82"/>
  <c r="E98" i="84" a="1"/>
  <c r="E98" i="84" s="1"/>
  <c r="AF196" i="84"/>
  <c r="O208" i="84"/>
  <c r="E104" i="84"/>
  <c r="E136" i="84"/>
  <c r="E42" i="84"/>
  <c r="E7" i="84"/>
  <c r="E178" i="84"/>
  <c r="AF42" i="84"/>
  <c r="AF45" i="84"/>
  <c r="AF37" i="84"/>
  <c r="AF39" i="84"/>
  <c r="AF41" i="84"/>
  <c r="O35" i="84"/>
  <c r="AF46" i="84"/>
  <c r="AF43" i="84"/>
  <c r="AF40" i="84"/>
  <c r="AF36" i="84"/>
  <c r="O33" i="84"/>
  <c r="AF38" i="84"/>
  <c r="O36" i="84"/>
  <c r="O34" i="84"/>
  <c r="S30" i="83"/>
  <c r="AJ34" i="83"/>
  <c r="AJ39" i="83"/>
  <c r="AJ29" i="83"/>
  <c r="L29" i="82"/>
  <c r="I29" i="82"/>
  <c r="G29" i="82"/>
  <c r="S33" i="83"/>
  <c r="O84" i="83"/>
  <c r="O54" i="84" s="1"/>
  <c r="AH77" i="83"/>
  <c r="AF57" i="84" s="1"/>
  <c r="AH86" i="83"/>
  <c r="AF66" i="84" s="1"/>
  <c r="X257" i="83"/>
  <c r="X269" i="83"/>
  <c r="F31" i="82"/>
  <c r="AI179" i="83"/>
  <c r="AF82" i="84"/>
  <c r="AF79" i="84"/>
  <c r="AF78" i="84"/>
  <c r="AF77" i="84"/>
  <c r="O63" i="84"/>
  <c r="AF75" i="84"/>
  <c r="AF81" i="84"/>
  <c r="AF76" i="84"/>
  <c r="O62" i="84"/>
  <c r="I31" i="82"/>
  <c r="X263" i="83"/>
  <c r="E191" i="84"/>
  <c r="AF72" i="84"/>
  <c r="P182" i="83"/>
  <c r="AF83" i="84"/>
  <c r="E97" i="84" a="1"/>
  <c r="E97" i="84" s="1"/>
  <c r="F97" i="84" s="1" a="1"/>
  <c r="F97" i="84" s="1"/>
  <c r="E95" i="84" a="1"/>
  <c r="E95" i="84" s="1"/>
  <c r="AF145" i="84"/>
  <c r="AF146" i="84"/>
  <c r="AF144" i="84"/>
  <c r="O127" i="84"/>
  <c r="AF142" i="84"/>
  <c r="AF143" i="84"/>
  <c r="AF138" i="84"/>
  <c r="AF137" i="84"/>
  <c r="O128" i="84"/>
  <c r="AF147" i="84"/>
  <c r="AF139" i="84"/>
  <c r="O130" i="84"/>
  <c r="O129" i="84"/>
  <c r="X178" i="83"/>
  <c r="O64" i="84"/>
  <c r="E96" i="84" a="1"/>
  <c r="E96" i="84" s="1"/>
  <c r="F96" i="84" s="1" a="1"/>
  <c r="F96" i="84" s="1"/>
  <c r="J96" i="84" s="1" a="1"/>
  <c r="J96" i="84" s="1"/>
  <c r="AF74" i="84"/>
  <c r="E31" i="82"/>
  <c r="AF197" i="84"/>
  <c r="AF205" i="84"/>
  <c r="O171" i="84"/>
  <c r="AF203" i="84"/>
  <c r="AF198" i="84"/>
  <c r="O169" i="84"/>
  <c r="AF206" i="84"/>
  <c r="AF199" i="84"/>
  <c r="O172" i="84"/>
  <c r="AF204" i="84"/>
  <c r="AF202" i="84"/>
  <c r="O170" i="84"/>
  <c r="AF207" i="84"/>
  <c r="E163" i="84" a="1"/>
  <c r="E163" i="84" s="1"/>
  <c r="E162" i="84" a="1"/>
  <c r="E162" i="84" s="1"/>
  <c r="E161" i="84" a="1"/>
  <c r="E161" i="84" s="1"/>
  <c r="AH110" i="84"/>
  <c r="Q97" i="84"/>
  <c r="AH106" i="84"/>
  <c r="Q95" i="84"/>
  <c r="Q96" i="84"/>
  <c r="AH109" i="84"/>
  <c r="AF253" i="84"/>
  <c r="V216" i="84"/>
  <c r="AF248" i="84"/>
  <c r="AF255" i="84"/>
  <c r="AF250" i="84"/>
  <c r="AF257" i="84"/>
  <c r="O207" i="84"/>
  <c r="AF252" i="84"/>
  <c r="E39" i="83"/>
  <c r="E101" i="83"/>
  <c r="E148" i="83"/>
  <c r="E206" i="83"/>
  <c r="X182" i="83"/>
  <c r="X194" i="83"/>
  <c r="J34" i="82"/>
  <c r="H34" i="82"/>
  <c r="F23" i="82"/>
  <c r="K26" i="82"/>
  <c r="N34" i="82"/>
  <c r="L26" i="82"/>
  <c r="X183" i="83"/>
  <c r="X195" i="83"/>
  <c r="X185" i="83"/>
  <c r="X197" i="83"/>
  <c r="M25" i="82"/>
  <c r="O87" i="83"/>
  <c r="O57" i="84" s="1"/>
  <c r="AH142" i="83"/>
  <c r="AH140" i="83"/>
  <c r="O133" i="83"/>
  <c r="AH138" i="83"/>
  <c r="AH136" i="83"/>
  <c r="O132" i="83"/>
  <c r="AH133" i="83"/>
  <c r="AH141" i="83"/>
  <c r="AH139" i="83"/>
  <c r="O131" i="83"/>
  <c r="AH131" i="83"/>
  <c r="AH132" i="83"/>
  <c r="X192" i="83"/>
  <c r="X180" i="83"/>
  <c r="F24" i="82"/>
  <c r="K28" i="82"/>
  <c r="X187" i="83"/>
  <c r="X199" i="83"/>
  <c r="AH135" i="83"/>
  <c r="X191" i="83"/>
  <c r="X179" i="83"/>
  <c r="G25" i="82"/>
  <c r="F25" i="82"/>
  <c r="AJ32" i="83"/>
  <c r="AJ38" i="83"/>
  <c r="AJ37" i="83"/>
  <c r="AJ36" i="83"/>
  <c r="AJ33" i="83"/>
  <c r="S31" i="83"/>
  <c r="AJ31" i="83"/>
  <c r="S32" i="83"/>
  <c r="I25" i="82"/>
  <c r="AH80" i="83"/>
  <c r="AF60" i="84" s="1"/>
  <c r="O134" i="83"/>
  <c r="O86" i="83"/>
  <c r="O56" i="84" s="1"/>
  <c r="AH82" i="83"/>
  <c r="AF62" i="84" s="1"/>
  <c r="AH87" i="83"/>
  <c r="AF67" i="84" s="1"/>
  <c r="O85" i="83"/>
  <c r="O55" i="84" s="1"/>
  <c r="AH81" i="83"/>
  <c r="AF61" i="84" s="1"/>
  <c r="AH83" i="83"/>
  <c r="AF63" i="84" s="1"/>
  <c r="AH78" i="83"/>
  <c r="AF58" i="84" s="1"/>
  <c r="AH76" i="83"/>
  <c r="AF56" i="84" s="1"/>
  <c r="H29" i="82"/>
  <c r="N29" i="82"/>
  <c r="M29" i="82"/>
  <c r="AJ35" i="83"/>
  <c r="X189" i="83"/>
  <c r="X177" i="83"/>
  <c r="K25" i="82"/>
  <c r="E29" i="82"/>
  <c r="AH137" i="83"/>
  <c r="H28" i="82"/>
  <c r="G28" i="82"/>
  <c r="I28" i="82"/>
  <c r="E25" i="82"/>
  <c r="J28" i="82"/>
  <c r="AJ30" i="83"/>
  <c r="J25" i="82"/>
  <c r="AJ28" i="83"/>
  <c r="L25" i="82"/>
  <c r="F29" i="82"/>
  <c r="AH79" i="83"/>
  <c r="AF59" i="84" s="1"/>
  <c r="AH85" i="83"/>
  <c r="AF65" i="84" s="1"/>
  <c r="AI194" i="83"/>
  <c r="AI197" i="83"/>
  <c r="AI200" i="83"/>
  <c r="AI186" i="83"/>
  <c r="AI199" i="83"/>
  <c r="AI188" i="83"/>
  <c r="AI182" i="83"/>
  <c r="P184" i="83"/>
  <c r="AI181" i="83"/>
  <c r="AI195" i="83"/>
  <c r="AI192" i="83"/>
  <c r="AI185" i="83"/>
  <c r="P183" i="83"/>
  <c r="P177" i="83"/>
  <c r="AI191" i="83"/>
  <c r="AI193" i="83"/>
  <c r="AI187" i="83"/>
  <c r="AI178" i="83"/>
  <c r="AI196" i="83"/>
  <c r="AI180" i="83"/>
  <c r="P178" i="83"/>
  <c r="AI189" i="83"/>
  <c r="AI198" i="83"/>
  <c r="AI183" i="83"/>
  <c r="AI177" i="83"/>
  <c r="P180" i="83"/>
  <c r="AI184" i="83"/>
  <c r="X200" i="83"/>
  <c r="X193" i="83"/>
  <c r="X181" i="83"/>
  <c r="X198" i="83"/>
  <c r="AI272" i="83"/>
  <c r="AI258" i="83"/>
  <c r="AI261" i="83"/>
  <c r="P236" i="83"/>
  <c r="AI264" i="83"/>
  <c r="P239" i="83"/>
  <c r="AI267" i="83"/>
  <c r="AI270" i="83"/>
  <c r="AI256" i="83"/>
  <c r="AI263" i="83"/>
  <c r="P238" i="83"/>
  <c r="AI266" i="83"/>
  <c r="AI252" i="83"/>
  <c r="P241" i="83"/>
  <c r="P235" i="83"/>
  <c r="AI271" i="83"/>
  <c r="AI265" i="83"/>
  <c r="P242" i="83"/>
  <c r="AI273" i="83"/>
  <c r="AI254" i="83"/>
  <c r="AI274" i="83"/>
  <c r="AI259" i="83"/>
  <c r="AI257" i="83"/>
  <c r="P237" i="83"/>
  <c r="AI268" i="83"/>
  <c r="AI260" i="83"/>
  <c r="AI262" i="83"/>
  <c r="AI269" i="83"/>
  <c r="F244" i="83"/>
  <c r="AI255" i="83"/>
  <c r="P240" i="83"/>
  <c r="X196" i="83"/>
  <c r="X184" i="83"/>
  <c r="AI251" i="83"/>
  <c r="X262" i="83"/>
  <c r="X268" i="83"/>
  <c r="X256" i="83"/>
  <c r="X266" i="83"/>
  <c r="X259" i="83"/>
  <c r="N30" i="82"/>
  <c r="M30" i="82"/>
  <c r="K30" i="82"/>
  <c r="H30" i="82"/>
  <c r="G30" i="82"/>
  <c r="E30" i="82"/>
  <c r="H27" i="82"/>
  <c r="I23" i="82"/>
  <c r="J23" i="82"/>
  <c r="M24" i="82"/>
  <c r="E26" i="82"/>
  <c r="M27" i="82"/>
  <c r="L33" i="82"/>
  <c r="I24" i="82"/>
  <c r="L24" i="82"/>
  <c r="K33" i="82"/>
  <c r="N24" i="82"/>
  <c r="M33" i="82"/>
  <c r="L23" i="82"/>
  <c r="L27" i="82"/>
  <c r="J27" i="82"/>
  <c r="G23" i="82"/>
  <c r="L30" i="82"/>
  <c r="M26" i="82"/>
  <c r="I26" i="82"/>
  <c r="G26" i="82"/>
  <c r="K23" i="82"/>
  <c r="F26" i="82"/>
  <c r="N27" i="82"/>
  <c r="E28" i="82"/>
  <c r="M28" i="82"/>
  <c r="M34" i="82"/>
  <c r="L34" i="82"/>
  <c r="K34" i="82"/>
  <c r="I34" i="82"/>
  <c r="F34" i="82"/>
  <c r="E34" i="82"/>
  <c r="N23" i="82"/>
  <c r="J26" i="82"/>
  <c r="F28" i="82"/>
  <c r="G34" i="82"/>
  <c r="G32" i="82"/>
  <c r="F32" i="82"/>
  <c r="E32" i="82"/>
  <c r="N32" i="82"/>
  <c r="M32" i="82"/>
  <c r="K32" i="82"/>
  <c r="E24" i="82"/>
  <c r="N26" i="82"/>
  <c r="H32" i="82"/>
  <c r="G24" i="82"/>
  <c r="E27" i="82"/>
  <c r="F30" i="82"/>
  <c r="J32" i="82"/>
  <c r="E23" i="82"/>
  <c r="H24" i="82"/>
  <c r="F27" i="82"/>
  <c r="L28" i="82"/>
  <c r="I30" i="82"/>
  <c r="L32" i="82"/>
  <c r="J30" i="82"/>
  <c r="D185" i="82"/>
  <c r="G27" i="82"/>
  <c r="J33" i="82"/>
  <c r="I33" i="82"/>
  <c r="H33" i="82"/>
  <c r="F33" i="82"/>
  <c r="N33" i="82"/>
  <c r="J24" i="82"/>
  <c r="H23" i="82"/>
  <c r="I27" i="82"/>
  <c r="G33" i="82"/>
  <c r="H31" i="82"/>
  <c r="M178" i="82"/>
  <c r="N178" i="82" s="1"/>
  <c r="O178" i="82" s="1"/>
  <c r="J31" i="82"/>
  <c r="K31" i="82"/>
  <c r="M181" i="82"/>
  <c r="L179" i="82"/>
  <c r="M179" i="82"/>
  <c r="E636" i="117" l="1"/>
  <c r="N39" i="101" a="1"/>
  <c r="N39" i="101" s="1"/>
  <c r="Q39" i="101" a="1"/>
  <c r="Q39" i="101" s="1"/>
  <c r="O39" i="101" a="1"/>
  <c r="O39" i="101" s="1"/>
  <c r="AD236" i="117" a="1"/>
  <c r="AD236" i="117" s="1"/>
  <c r="V16" i="89"/>
  <c r="X16" i="89" s="1"/>
  <c r="R236" i="117" a="1"/>
  <c r="R236" i="117" s="1"/>
  <c r="V15" i="89"/>
  <c r="X15" i="89" s="1"/>
  <c r="AK236" i="117" a="1"/>
  <c r="AK236" i="117" s="1"/>
  <c r="N181" i="82"/>
  <c r="O181" i="82" s="1"/>
  <c r="AC34" i="88" a="1"/>
  <c r="AC34" i="88" s="1"/>
  <c r="W39" i="88" a="1"/>
  <c r="W39" i="88" s="1"/>
  <c r="AA28" i="88" a="1"/>
  <c r="AA28" i="88" s="1"/>
  <c r="AA32" i="88" a="1"/>
  <c r="AA32" i="88" s="1"/>
  <c r="L162" i="84" a="1"/>
  <c r="L162" i="84" s="1"/>
  <c r="F162" i="84" a="1"/>
  <c r="F162" i="84" s="1"/>
  <c r="H162" i="84" a="1"/>
  <c r="H162" i="84" s="1"/>
  <c r="V133" i="88" a="1"/>
  <c r="V133" i="88" s="1"/>
  <c r="X235" i="83" a="1"/>
  <c r="V232" i="84" a="1"/>
  <c r="V232" i="84" s="1"/>
  <c r="H163" i="84" a="1"/>
  <c r="H163" i="84" s="1"/>
  <c r="L163" i="84" a="1"/>
  <c r="L163" i="84" s="1"/>
  <c r="F163" i="84" a="1"/>
  <c r="F163" i="84" s="1"/>
  <c r="E116" i="105"/>
  <c r="J116" i="105" s="1" a="1"/>
  <c r="J116" i="105" s="1"/>
  <c r="J133" i="105" a="1"/>
  <c r="J133" i="105" s="1"/>
  <c r="J126" i="105" a="1"/>
  <c r="J126" i="105" s="1"/>
  <c r="J124" i="105" a="1"/>
  <c r="J124" i="105" s="1"/>
  <c r="J136" i="105" a="1"/>
  <c r="J136" i="105" s="1"/>
  <c r="J119" i="105" a="1"/>
  <c r="J119" i="105" s="1"/>
  <c r="J122" i="105" a="1"/>
  <c r="J122" i="105" s="1"/>
  <c r="J144" i="105" a="1"/>
  <c r="J144" i="105" s="1"/>
  <c r="J120" i="105" a="1"/>
  <c r="J120" i="105" s="1"/>
  <c r="J123" i="105" a="1"/>
  <c r="J123" i="105" s="1"/>
  <c r="J132" i="105" a="1"/>
  <c r="J132" i="105" s="1"/>
  <c r="J127" i="105" a="1"/>
  <c r="J127" i="105" s="1"/>
  <c r="J25" i="101" a="1"/>
  <c r="J25" i="101" s="1"/>
  <c r="G25" i="101" a="1"/>
  <c r="G25" i="101" s="1"/>
  <c r="I25" i="101" a="1"/>
  <c r="I25" i="101" s="1"/>
  <c r="K25" i="101" a="1"/>
  <c r="K25" i="101" s="1"/>
  <c r="H25" i="101" a="1"/>
  <c r="H25" i="101" s="1"/>
  <c r="S257" i="117" a="1"/>
  <c r="S257" i="117" s="1"/>
  <c r="AA261" i="117" a="1"/>
  <c r="AA261" i="117" s="1"/>
  <c r="AA259" i="117" a="1"/>
  <c r="AA259" i="117" s="1"/>
  <c r="W257" i="117" a="1"/>
  <c r="W257" i="117" s="1"/>
  <c r="AE254" i="117" a="1"/>
  <c r="AE254" i="117" s="1"/>
  <c r="AE259" i="117" a="1"/>
  <c r="AE259" i="117" s="1"/>
  <c r="W252" i="117" a="1"/>
  <c r="W252" i="117" s="1"/>
  <c r="I151" i="117" a="1"/>
  <c r="I151" i="117" s="1"/>
  <c r="AE260" i="117" a="1"/>
  <c r="AE260" i="117" s="1"/>
  <c r="J138" i="105" a="1"/>
  <c r="J138" i="105" s="1"/>
  <c r="S258" i="117" a="1"/>
  <c r="S258" i="117" s="1"/>
  <c r="AE258" i="117" a="1"/>
  <c r="AE258" i="117" s="1"/>
  <c r="AE261" i="117" a="1"/>
  <c r="AE261" i="117" s="1"/>
  <c r="W256" i="117" a="1"/>
  <c r="W256" i="117" s="1"/>
  <c r="W258" i="117" a="1"/>
  <c r="W258" i="117" s="1"/>
  <c r="L161" i="84" a="1"/>
  <c r="L161" i="84" s="1"/>
  <c r="F161" i="84" a="1"/>
  <c r="F161" i="84" s="1"/>
  <c r="H161" i="84" a="1"/>
  <c r="H161" i="84" s="1"/>
  <c r="J134" i="105" a="1"/>
  <c r="J134" i="105" s="1"/>
  <c r="W261" i="117" a="1"/>
  <c r="W261" i="117" s="1"/>
  <c r="AE256" i="117" a="1"/>
  <c r="AE256" i="117" s="1"/>
  <c r="AE255" i="117" a="1"/>
  <c r="AE255" i="117" s="1"/>
  <c r="AA34" i="88" a="1"/>
  <c r="AA34" i="88" s="1"/>
  <c r="AA29" i="88" a="1"/>
  <c r="AA29" i="88" s="1"/>
  <c r="AE257" i="117" a="1"/>
  <c r="AE257" i="117" s="1"/>
  <c r="W253" i="117" a="1"/>
  <c r="W253" i="117" s="1"/>
  <c r="V14" i="89"/>
  <c r="X14" i="89" s="1"/>
  <c r="J162" i="105" a="1"/>
  <c r="J162" i="105" s="1"/>
  <c r="N36" i="101" a="1"/>
  <c r="N36" i="101" s="1"/>
  <c r="P36" i="101" a="1"/>
  <c r="P36" i="101" s="1"/>
  <c r="Q36" i="101" a="1"/>
  <c r="Q36" i="101" s="1"/>
  <c r="U92" i="84"/>
  <c r="W22" i="83"/>
  <c r="AB28" i="88" a="1"/>
  <c r="AB28" i="88" s="1"/>
  <c r="D157" i="105"/>
  <c r="J157" i="105" s="1" a="1"/>
  <c r="J157" i="105" s="1"/>
  <c r="J168" i="105" a="1"/>
  <c r="J168" i="105" s="1"/>
  <c r="J185" i="105" a="1"/>
  <c r="J185" i="105" s="1"/>
  <c r="J163" i="105" a="1"/>
  <c r="J163" i="105" s="1"/>
  <c r="J165" i="105" a="1"/>
  <c r="J165" i="105" s="1"/>
  <c r="J167" i="105" a="1"/>
  <c r="J167" i="105" s="1"/>
  <c r="J158" i="105" a="1"/>
  <c r="J158" i="105" s="1"/>
  <c r="J166" i="105" a="1"/>
  <c r="J166" i="105" s="1"/>
  <c r="U236" i="117" a="1"/>
  <c r="AH236" i="117" a="1"/>
  <c r="AH236" i="117" s="1"/>
  <c r="E21" i="105"/>
  <c r="H21" i="105" s="1" a="1"/>
  <c r="H21" i="105" s="1"/>
  <c r="H51" i="105" a="1"/>
  <c r="H51" i="105" s="1"/>
  <c r="H22" i="105" a="1"/>
  <c r="H22" i="105" s="1"/>
  <c r="H42" i="105" a="1"/>
  <c r="H42" i="105" s="1"/>
  <c r="H36" i="105" a="1"/>
  <c r="H36" i="105" s="1"/>
  <c r="H28" i="105" a="1"/>
  <c r="H28" i="105" s="1"/>
  <c r="H50" i="105" a="1"/>
  <c r="H50" i="105" s="1"/>
  <c r="H41" i="105" a="1"/>
  <c r="H41" i="105" s="1"/>
  <c r="H35" i="105" a="1"/>
  <c r="H35" i="105" s="1"/>
  <c r="H27" i="105" a="1"/>
  <c r="H27" i="105" s="1"/>
  <c r="H48" i="105" a="1"/>
  <c r="H48" i="105" s="1"/>
  <c r="H40" i="105" a="1"/>
  <c r="H40" i="105" s="1"/>
  <c r="H34" i="105" a="1"/>
  <c r="H34" i="105" s="1"/>
  <c r="H26" i="105" a="1"/>
  <c r="H26" i="105" s="1"/>
  <c r="H47" i="105" a="1"/>
  <c r="H47" i="105" s="1"/>
  <c r="H39" i="105" a="1"/>
  <c r="H39" i="105" s="1"/>
  <c r="H33" i="105" a="1"/>
  <c r="H33" i="105" s="1"/>
  <c r="H25" i="105" a="1"/>
  <c r="H25" i="105" s="1"/>
  <c r="H54" i="105" a="1"/>
  <c r="H54" i="105" s="1"/>
  <c r="H46" i="105" a="1"/>
  <c r="H46" i="105" s="1"/>
  <c r="H31" i="105" a="1"/>
  <c r="H31" i="105" s="1"/>
  <c r="H53" i="105" a="1"/>
  <c r="H53" i="105" s="1"/>
  <c r="H24" i="105" a="1"/>
  <c r="H24" i="105" s="1"/>
  <c r="H45" i="105" a="1"/>
  <c r="H45" i="105" s="1"/>
  <c r="H38" i="105" a="1"/>
  <c r="H38" i="105" s="1"/>
  <c r="H30" i="105" a="1"/>
  <c r="H30" i="105" s="1"/>
  <c r="H52" i="105" a="1"/>
  <c r="H52" i="105" s="1"/>
  <c r="H23" i="105" a="1"/>
  <c r="H23" i="105" s="1"/>
  <c r="H44" i="105" a="1"/>
  <c r="H44" i="105" s="1"/>
  <c r="H37" i="105" a="1"/>
  <c r="H37" i="105" s="1"/>
  <c r="H29" i="105" a="1"/>
  <c r="H29" i="105" s="1"/>
  <c r="K31" i="102"/>
  <c r="J31" i="102"/>
  <c r="I31" i="102"/>
  <c r="H31" i="102"/>
  <c r="G31" i="102"/>
  <c r="J177" i="105" a="1"/>
  <c r="J177" i="105" s="1"/>
  <c r="P37" i="101" a="1"/>
  <c r="P37" i="101" s="1"/>
  <c r="G38" i="102"/>
  <c r="K38" i="102"/>
  <c r="J38" i="102"/>
  <c r="I38" i="102"/>
  <c r="H38" i="102"/>
  <c r="AE253" i="117" a="1"/>
  <c r="AE253" i="117" s="1"/>
  <c r="S256" i="117" a="1"/>
  <c r="S256" i="117" s="1"/>
  <c r="AA260" i="117" a="1"/>
  <c r="AA260" i="117" s="1"/>
  <c r="AA253" i="117" a="1"/>
  <c r="AA253" i="117" s="1"/>
  <c r="S261" i="117" a="1"/>
  <c r="S261" i="117" s="1"/>
  <c r="S255" i="117" a="1"/>
  <c r="S255" i="117" s="1"/>
  <c r="AA252" i="117" a="1"/>
  <c r="AA252" i="117" s="1"/>
  <c r="AA255" i="117" a="1"/>
  <c r="AA255" i="117" s="1"/>
  <c r="S253" i="117" a="1"/>
  <c r="S253" i="117" s="1"/>
  <c r="AA258" i="117" a="1"/>
  <c r="AA258" i="117" s="1"/>
  <c r="S259" i="117" a="1"/>
  <c r="S259" i="117" s="1"/>
  <c r="AA256" i="117" a="1"/>
  <c r="AA256" i="117" s="1"/>
  <c r="W255" i="117" a="1"/>
  <c r="W255" i="117" s="1"/>
  <c r="AE252" i="117" a="1"/>
  <c r="AE252" i="117" s="1"/>
  <c r="J164" i="105" a="1"/>
  <c r="J164" i="105" s="1"/>
  <c r="Z236" i="117" a="1"/>
  <c r="Z236" i="117" s="1"/>
  <c r="AL236" i="117" a="1"/>
  <c r="AL236" i="117" s="1"/>
  <c r="D19" i="90"/>
  <c r="F19" i="90" s="1" a="1"/>
  <c r="F19" i="90" s="1"/>
  <c r="F37" i="90" a="1"/>
  <c r="F37" i="90" s="1"/>
  <c r="F23" i="90" a="1"/>
  <c r="F23" i="90" s="1"/>
  <c r="F36" i="90" a="1"/>
  <c r="F36" i="90" s="1"/>
  <c r="F22" i="90" a="1"/>
  <c r="F22" i="90" s="1"/>
  <c r="F35" i="90" a="1"/>
  <c r="F35" i="90" s="1"/>
  <c r="F34" i="90" a="1"/>
  <c r="F34" i="90" s="1"/>
  <c r="F33" i="90" a="1"/>
  <c r="F33" i="90" s="1"/>
  <c r="F32" i="90" a="1"/>
  <c r="F32" i="90" s="1"/>
  <c r="F21" i="90" a="1"/>
  <c r="F21" i="90" s="1"/>
  <c r="F31" i="90" a="1"/>
  <c r="F31" i="90" s="1"/>
  <c r="F20" i="90" a="1"/>
  <c r="F20" i="90" s="1"/>
  <c r="F30" i="90" a="1"/>
  <c r="F30" i="90" s="1"/>
  <c r="F29" i="90" a="1"/>
  <c r="F29" i="90" s="1"/>
  <c r="F28" i="90" a="1"/>
  <c r="F28" i="90" s="1"/>
  <c r="F27" i="90" a="1"/>
  <c r="F27" i="90" s="1"/>
  <c r="F26" i="90" a="1"/>
  <c r="F26" i="90" s="1"/>
  <c r="F25" i="90" a="1"/>
  <c r="F25" i="90" s="1"/>
  <c r="F24" i="90" a="1"/>
  <c r="F24" i="90" s="1"/>
  <c r="J161" i="105" a="1"/>
  <c r="J161" i="105" s="1"/>
  <c r="K36" i="102"/>
  <c r="Q36" i="102" s="1" a="1"/>
  <c r="Q36" i="102" s="1"/>
  <c r="J36" i="102"/>
  <c r="I36" i="102"/>
  <c r="H36" i="102"/>
  <c r="G36" i="102"/>
  <c r="D19" i="91"/>
  <c r="F19" i="91" s="1" a="1"/>
  <c r="F19" i="91" s="1"/>
  <c r="F26" i="91" a="1"/>
  <c r="F26" i="91" s="1"/>
  <c r="F25" i="91" a="1"/>
  <c r="F25" i="91" s="1"/>
  <c r="F24" i="91" a="1"/>
  <c r="F24" i="91" s="1"/>
  <c r="F37" i="91" a="1"/>
  <c r="F37" i="91" s="1"/>
  <c r="F23" i="91" a="1"/>
  <c r="F23" i="91" s="1"/>
  <c r="F36" i="91" a="1"/>
  <c r="F36" i="91" s="1"/>
  <c r="F22" i="91" a="1"/>
  <c r="F22" i="91" s="1"/>
  <c r="F35" i="91" a="1"/>
  <c r="F35" i="91" s="1"/>
  <c r="F21" i="91" a="1"/>
  <c r="F21" i="91" s="1"/>
  <c r="F34" i="91" a="1"/>
  <c r="F34" i="91" s="1"/>
  <c r="F20" i="91" a="1"/>
  <c r="F20" i="91" s="1"/>
  <c r="F33" i="91" a="1"/>
  <c r="F33" i="91" s="1"/>
  <c r="F32" i="91" a="1"/>
  <c r="F32" i="91" s="1"/>
  <c r="F31" i="91" a="1"/>
  <c r="F31" i="91" s="1"/>
  <c r="F30" i="91" a="1"/>
  <c r="F30" i="91" s="1"/>
  <c r="F29" i="91" a="1"/>
  <c r="F29" i="91" s="1"/>
  <c r="F28" i="91" a="1"/>
  <c r="F28" i="91" s="1"/>
  <c r="F27" i="91" a="1"/>
  <c r="F27" i="91" s="1"/>
  <c r="J174" i="105" a="1"/>
  <c r="J174" i="105" s="1"/>
  <c r="K29" i="102"/>
  <c r="J29" i="102"/>
  <c r="I29" i="102"/>
  <c r="H29" i="102"/>
  <c r="G29" i="102"/>
  <c r="J8" i="111" a="1"/>
  <c r="J8" i="111" s="1"/>
  <c r="H23" i="117" s="1" a="1"/>
  <c r="AA254" i="117" a="1"/>
  <c r="AA254" i="117" s="1"/>
  <c r="W260" i="117" a="1"/>
  <c r="W260" i="117" s="1"/>
  <c r="W259" i="117" a="1"/>
  <c r="W259" i="117" s="1"/>
  <c r="O21" i="90" a="1"/>
  <c r="K37" i="101" a="1"/>
  <c r="K37" i="101" s="1"/>
  <c r="Q37" i="101" s="1" a="1"/>
  <c r="Q37" i="101" s="1"/>
  <c r="H37" i="101" a="1"/>
  <c r="H37" i="101" s="1"/>
  <c r="N37" i="101" s="1" a="1"/>
  <c r="N37" i="101" s="1"/>
  <c r="J178" i="105" a="1"/>
  <c r="J178" i="105" s="1"/>
  <c r="D21" i="105"/>
  <c r="G190" i="105" a="1"/>
  <c r="G190" i="105" s="1"/>
  <c r="G161" i="105" a="1"/>
  <c r="G161" i="105" s="1"/>
  <c r="G146" i="105" a="1"/>
  <c r="G146" i="105" s="1"/>
  <c r="G135" i="105" a="1"/>
  <c r="G135" i="105" s="1"/>
  <c r="G44" i="105" a="1"/>
  <c r="G44" i="105" s="1"/>
  <c r="I44" i="105" s="1" a="1"/>
  <c r="I44" i="105" s="1"/>
  <c r="H139" i="105" s="1"/>
  <c r="G37" i="105" a="1"/>
  <c r="G37" i="105" s="1"/>
  <c r="I37" i="105" s="1" a="1"/>
  <c r="I37" i="105" s="1"/>
  <c r="H132" i="105" s="1"/>
  <c r="G29" i="105" a="1"/>
  <c r="G29" i="105" s="1"/>
  <c r="I29" i="105" s="1" a="1"/>
  <c r="I29" i="105" s="1"/>
  <c r="H124" i="105" s="1"/>
  <c r="I124" i="105" s="1"/>
  <c r="K124" i="105" s="1" a="1"/>
  <c r="K124" i="105" s="1"/>
  <c r="G189" i="105" a="1"/>
  <c r="G189" i="105" s="1"/>
  <c r="G177" i="105" a="1"/>
  <c r="G177" i="105" s="1"/>
  <c r="G145" i="105" a="1"/>
  <c r="G145" i="105" s="1"/>
  <c r="G125" i="105" a="1"/>
  <c r="G125" i="105" s="1"/>
  <c r="G51" i="105" a="1"/>
  <c r="G51" i="105" s="1"/>
  <c r="I51" i="105" s="1" a="1"/>
  <c r="I51" i="105" s="1"/>
  <c r="H146" i="105" s="1"/>
  <c r="G22" i="105" a="1"/>
  <c r="G22" i="105" s="1"/>
  <c r="I22" i="105" s="1" a="1"/>
  <c r="I22" i="105" s="1"/>
  <c r="H117" i="105" s="1"/>
  <c r="G188" i="105" a="1"/>
  <c r="G188" i="105" s="1"/>
  <c r="G167" i="105" a="1"/>
  <c r="G167" i="105" s="1"/>
  <c r="G160" i="105" a="1"/>
  <c r="G160" i="105" s="1"/>
  <c r="G134" i="105" a="1"/>
  <c r="G134" i="105" s="1"/>
  <c r="G118" i="105" a="1"/>
  <c r="G118" i="105" s="1"/>
  <c r="G42" i="105" a="1"/>
  <c r="G42" i="105" s="1"/>
  <c r="I42" i="105" s="1" a="1"/>
  <c r="I42" i="105" s="1"/>
  <c r="H137" i="105" s="1"/>
  <c r="G36" i="105" a="1"/>
  <c r="G36" i="105" s="1"/>
  <c r="I36" i="105" s="1" a="1"/>
  <c r="I36" i="105" s="1"/>
  <c r="H131" i="105" s="1"/>
  <c r="G28" i="105" a="1"/>
  <c r="G28" i="105" s="1"/>
  <c r="I28" i="105" s="1" a="1"/>
  <c r="I28" i="105" s="1"/>
  <c r="H123" i="105" s="1"/>
  <c r="I123" i="105" s="1"/>
  <c r="K123" i="105" s="1" a="1"/>
  <c r="K123" i="105" s="1"/>
  <c r="G187" i="105" a="1"/>
  <c r="G187" i="105" s="1"/>
  <c r="G176" i="105" a="1"/>
  <c r="G176" i="105" s="1"/>
  <c r="G143" i="105" a="1"/>
  <c r="G143" i="105" s="1"/>
  <c r="G124" i="105" a="1"/>
  <c r="G124" i="105" s="1"/>
  <c r="G50" i="105" a="1"/>
  <c r="G50" i="105" s="1"/>
  <c r="I50" i="105" s="1" a="1"/>
  <c r="I50" i="105" s="1"/>
  <c r="H145" i="105" s="1"/>
  <c r="G186" i="105" a="1"/>
  <c r="G186" i="105" s="1"/>
  <c r="G166" i="105" a="1"/>
  <c r="G166" i="105" s="1"/>
  <c r="G159" i="105" a="1"/>
  <c r="G159" i="105" s="1"/>
  <c r="G142" i="105" a="1"/>
  <c r="G142" i="105" s="1"/>
  <c r="G133" i="105" a="1"/>
  <c r="G133" i="105" s="1"/>
  <c r="G41" i="105" a="1"/>
  <c r="G41" i="105" s="1"/>
  <c r="I41" i="105" s="1" a="1"/>
  <c r="I41" i="105" s="1"/>
  <c r="H136" i="105" s="1"/>
  <c r="G35" i="105" a="1"/>
  <c r="G35" i="105" s="1"/>
  <c r="I35" i="105" s="1" a="1"/>
  <c r="I35" i="105" s="1"/>
  <c r="H130" i="105" s="1"/>
  <c r="G27" i="105" a="1"/>
  <c r="G27" i="105" s="1"/>
  <c r="I27" i="105" s="1" a="1"/>
  <c r="I27" i="105" s="1"/>
  <c r="H122" i="105" s="1"/>
  <c r="G175" i="105" a="1"/>
  <c r="G175" i="105" s="1"/>
  <c r="G141" i="105" a="1"/>
  <c r="G141" i="105" s="1"/>
  <c r="G123" i="105" a="1"/>
  <c r="G123" i="105" s="1"/>
  <c r="G117" i="105" a="1"/>
  <c r="G117" i="105" s="1"/>
  <c r="G184" i="105" a="1"/>
  <c r="G184" i="105" s="1"/>
  <c r="G165" i="105" a="1"/>
  <c r="G165" i="105" s="1"/>
  <c r="G158" i="105" a="1"/>
  <c r="G158" i="105" s="1"/>
  <c r="G140" i="105" a="1"/>
  <c r="G140" i="105" s="1"/>
  <c r="G132" i="105" a="1"/>
  <c r="G132" i="105" s="1"/>
  <c r="G48" i="105" a="1"/>
  <c r="G48" i="105" s="1"/>
  <c r="I48" i="105" s="1" a="1"/>
  <c r="I48" i="105" s="1"/>
  <c r="H143" i="105" s="1"/>
  <c r="G40" i="105" a="1"/>
  <c r="G40" i="105" s="1"/>
  <c r="I40" i="105" s="1" a="1"/>
  <c r="I40" i="105" s="1"/>
  <c r="H135" i="105" s="1"/>
  <c r="G34" i="105" a="1"/>
  <c r="G34" i="105" s="1"/>
  <c r="I34" i="105" s="1" a="1"/>
  <c r="I34" i="105" s="1"/>
  <c r="H129" i="105" s="1"/>
  <c r="G26" i="105" a="1"/>
  <c r="G26" i="105" s="1"/>
  <c r="I26" i="105" s="1" a="1"/>
  <c r="I26" i="105" s="1"/>
  <c r="H121" i="105" s="1"/>
  <c r="G183" i="105" a="1"/>
  <c r="G183" i="105" s="1"/>
  <c r="G174" i="105" a="1"/>
  <c r="G174" i="105" s="1"/>
  <c r="G139" i="105" a="1"/>
  <c r="G139" i="105" s="1"/>
  <c r="G131" i="105" a="1"/>
  <c r="G131" i="105" s="1"/>
  <c r="G122" i="105" a="1"/>
  <c r="G122" i="105" s="1"/>
  <c r="G182" i="105" a="1"/>
  <c r="G182" i="105" s="1"/>
  <c r="G164" i="105" a="1"/>
  <c r="G164" i="105" s="1"/>
  <c r="G130" i="105" a="1"/>
  <c r="G130" i="105" s="1"/>
  <c r="G47" i="105" a="1"/>
  <c r="G47" i="105" s="1"/>
  <c r="I47" i="105" s="1" a="1"/>
  <c r="I47" i="105" s="1"/>
  <c r="H142" i="105" s="1"/>
  <c r="G33" i="105" a="1"/>
  <c r="G33" i="105" s="1"/>
  <c r="I33" i="105" s="1" a="1"/>
  <c r="I33" i="105" s="1"/>
  <c r="H128" i="105" s="1"/>
  <c r="G25" i="105" a="1"/>
  <c r="G25" i="105" s="1"/>
  <c r="I25" i="105" s="1" a="1"/>
  <c r="I25" i="105" s="1"/>
  <c r="H120" i="105" s="1"/>
  <c r="G181" i="105" a="1"/>
  <c r="G181" i="105" s="1"/>
  <c r="G173" i="105" a="1"/>
  <c r="G173" i="105" s="1"/>
  <c r="G129" i="105" a="1"/>
  <c r="G129" i="105" s="1"/>
  <c r="G121" i="105" a="1"/>
  <c r="G121" i="105" s="1"/>
  <c r="G54" i="105" a="1"/>
  <c r="G54" i="105" s="1"/>
  <c r="I54" i="105" s="1" a="1"/>
  <c r="I54" i="105" s="1"/>
  <c r="H149" i="105" s="1"/>
  <c r="G39" i="105" a="1"/>
  <c r="G39" i="105" s="1"/>
  <c r="I39" i="105" s="1" a="1"/>
  <c r="I39" i="105" s="1"/>
  <c r="H134" i="105" s="1"/>
  <c r="G180" i="105" a="1"/>
  <c r="G180" i="105" s="1"/>
  <c r="G172" i="105" a="1"/>
  <c r="G172" i="105" s="1"/>
  <c r="G163" i="105" a="1"/>
  <c r="G163" i="105" s="1"/>
  <c r="G137" i="105" a="1"/>
  <c r="G137" i="105" s="1"/>
  <c r="G128" i="105" a="1"/>
  <c r="G128" i="105" s="1"/>
  <c r="G46" i="105" a="1"/>
  <c r="G46" i="105" s="1"/>
  <c r="I46" i="105" s="1" a="1"/>
  <c r="I46" i="105" s="1"/>
  <c r="H141" i="105" s="1"/>
  <c r="G31" i="105" a="1"/>
  <c r="G31" i="105" s="1"/>
  <c r="I31" i="105" s="1" a="1"/>
  <c r="I31" i="105" s="1"/>
  <c r="H126" i="105" s="1"/>
  <c r="G171" i="105" a="1"/>
  <c r="G171" i="105" s="1"/>
  <c r="G149" i="105" a="1"/>
  <c r="G149" i="105" s="1"/>
  <c r="G120" i="105" a="1"/>
  <c r="G120" i="105" s="1"/>
  <c r="G53" i="105" a="1"/>
  <c r="G53" i="105" s="1"/>
  <c r="I53" i="105" s="1" a="1"/>
  <c r="I53" i="105" s="1"/>
  <c r="H148" i="105" s="1"/>
  <c r="G24" i="105" a="1"/>
  <c r="G24" i="105" s="1"/>
  <c r="I24" i="105" s="1" a="1"/>
  <c r="I24" i="105" s="1"/>
  <c r="H119" i="105" s="1"/>
  <c r="G170" i="105" a="1"/>
  <c r="G170" i="105" s="1"/>
  <c r="G162" i="105" a="1"/>
  <c r="G162" i="105" s="1"/>
  <c r="G148" i="105" a="1"/>
  <c r="G148" i="105" s="1"/>
  <c r="G136" i="105" a="1"/>
  <c r="G136" i="105" s="1"/>
  <c r="G45" i="105" a="1"/>
  <c r="G45" i="105" s="1"/>
  <c r="I45" i="105" s="1" a="1"/>
  <c r="I45" i="105" s="1"/>
  <c r="H140" i="105" s="1"/>
  <c r="G38" i="105" a="1"/>
  <c r="G38" i="105" s="1"/>
  <c r="I38" i="105" s="1" a="1"/>
  <c r="I38" i="105" s="1"/>
  <c r="H133" i="105" s="1"/>
  <c r="G30" i="105" a="1"/>
  <c r="G30" i="105" s="1"/>
  <c r="I30" i="105" s="1" a="1"/>
  <c r="I30" i="105" s="1"/>
  <c r="H125" i="105" s="1"/>
  <c r="G178" i="105" a="1"/>
  <c r="G178" i="105" s="1"/>
  <c r="G169" i="105" a="1"/>
  <c r="G169" i="105" s="1"/>
  <c r="G147" i="105" a="1"/>
  <c r="G147" i="105" s="1"/>
  <c r="G126" i="105" a="1"/>
  <c r="G126" i="105" s="1"/>
  <c r="G119" i="105" a="1"/>
  <c r="G119" i="105" s="1"/>
  <c r="G52" i="105" a="1"/>
  <c r="G52" i="105" s="1"/>
  <c r="I52" i="105" s="1" a="1"/>
  <c r="I52" i="105" s="1"/>
  <c r="H147" i="105" s="1"/>
  <c r="G23" i="105" a="1"/>
  <c r="G23" i="105" s="1"/>
  <c r="I23" i="105" s="1" a="1"/>
  <c r="I23" i="105" s="1"/>
  <c r="H118" i="105" s="1"/>
  <c r="P236" i="117" a="1"/>
  <c r="P236" i="117" s="1"/>
  <c r="K26" i="102"/>
  <c r="Q26" i="102" s="1" a="1"/>
  <c r="Q26" i="102" s="1"/>
  <c r="J26" i="102"/>
  <c r="I26" i="102"/>
  <c r="H26" i="102"/>
  <c r="G26" i="102"/>
  <c r="N26" i="102" s="1" a="1"/>
  <c r="N26" i="102" s="1"/>
  <c r="K28" i="102"/>
  <c r="J28" i="102"/>
  <c r="I28" i="102"/>
  <c r="H28" i="102"/>
  <c r="G28" i="102"/>
  <c r="V21" i="89"/>
  <c r="X21" i="89" s="1"/>
  <c r="D285" i="117"/>
  <c r="E292" i="117"/>
  <c r="G292" i="117" s="1" a="1"/>
  <c r="G292" i="117" s="1"/>
  <c r="F291" i="117" a="1"/>
  <c r="F291" i="117" s="1"/>
  <c r="E291" i="117"/>
  <c r="G291" i="117" s="1" a="1"/>
  <c r="G291" i="117" s="1"/>
  <c r="F290" i="117" a="1"/>
  <c r="F290" i="117" s="1"/>
  <c r="E290" i="117"/>
  <c r="I290" i="117" s="1" a="1"/>
  <c r="I290" i="117" s="1"/>
  <c r="F296" i="117" a="1"/>
  <c r="F296" i="117" s="1"/>
  <c r="F289" i="117" a="1"/>
  <c r="F289" i="117" s="1"/>
  <c r="E296" i="117"/>
  <c r="G296" i="117" s="1" a="1"/>
  <c r="G296" i="117" s="1"/>
  <c r="E289" i="117"/>
  <c r="I289" i="117" s="1" a="1"/>
  <c r="I289" i="117" s="1"/>
  <c r="F295" i="117" a="1"/>
  <c r="F295" i="117" s="1"/>
  <c r="F288" i="117" a="1"/>
  <c r="F288" i="117" s="1"/>
  <c r="E295" i="117"/>
  <c r="I295" i="117" s="1" a="1"/>
  <c r="I295" i="117" s="1"/>
  <c r="E288" i="117"/>
  <c r="I288" i="117" s="1" a="1"/>
  <c r="I288" i="117" s="1"/>
  <c r="F294" i="117" a="1"/>
  <c r="F294" i="117" s="1"/>
  <c r="F287" i="117" a="1"/>
  <c r="F287" i="117" s="1"/>
  <c r="E294" i="117"/>
  <c r="G294" i="117" s="1" a="1"/>
  <c r="G294" i="117" s="1"/>
  <c r="E287" i="117"/>
  <c r="I287" i="117" s="1" a="1"/>
  <c r="I287" i="117" s="1"/>
  <c r="F293" i="117" a="1"/>
  <c r="F293" i="117" s="1"/>
  <c r="F286" i="117" a="1"/>
  <c r="F286" i="117" s="1"/>
  <c r="E293" i="117"/>
  <c r="I293" i="117" s="1" a="1"/>
  <c r="I293" i="117" s="1"/>
  <c r="E286" i="117"/>
  <c r="G286" i="117" s="1" a="1"/>
  <c r="G286" i="117" s="1"/>
  <c r="F292" i="117" a="1"/>
  <c r="F292" i="117" s="1"/>
  <c r="AG236" i="117" a="1"/>
  <c r="K34" i="102"/>
  <c r="J34" i="102"/>
  <c r="I34" i="102"/>
  <c r="H34" i="102"/>
  <c r="G34" i="102"/>
  <c r="V18" i="89"/>
  <c r="X18" i="89" s="1"/>
  <c r="J33" i="102"/>
  <c r="I33" i="102"/>
  <c r="H33" i="102"/>
  <c r="G33" i="102"/>
  <c r="P33" i="102" s="1" a="1"/>
  <c r="P33" i="102" s="1"/>
  <c r="K33" i="102"/>
  <c r="Q33" i="102" s="1" a="1"/>
  <c r="Q33" i="102" s="1"/>
  <c r="K35" i="102"/>
  <c r="Q35" i="102" s="1" a="1"/>
  <c r="Q35" i="102" s="1"/>
  <c r="J35" i="102"/>
  <c r="I35" i="102"/>
  <c r="H35" i="102"/>
  <c r="G35" i="102"/>
  <c r="I324" i="117" a="1"/>
  <c r="I324" i="117" s="1"/>
  <c r="I321" i="117" a="1"/>
  <c r="I321" i="117" s="1"/>
  <c r="J137" i="105" a="1"/>
  <c r="J137" i="105" s="1"/>
  <c r="J118" i="105" a="1"/>
  <c r="J118" i="105" s="1"/>
  <c r="I27" i="102"/>
  <c r="H27" i="102"/>
  <c r="G27" i="102"/>
  <c r="K27" i="102"/>
  <c r="Q27" i="102" s="1" a="1"/>
  <c r="Q27" i="102" s="1"/>
  <c r="J27" i="102"/>
  <c r="O236" i="117" a="1"/>
  <c r="O236" i="117" s="1"/>
  <c r="I326" i="117" a="1"/>
  <c r="I326" i="117" s="1"/>
  <c r="D19" i="94"/>
  <c r="F19" i="94" s="1" a="1"/>
  <c r="F19" i="94" s="1"/>
  <c r="G19" i="94" s="1" a="1"/>
  <c r="G19" i="94" s="1"/>
  <c r="F31" i="94" a="1"/>
  <c r="F31" i="94" s="1"/>
  <c r="G31" i="94" s="1" a="1"/>
  <c r="G31" i="94" s="1"/>
  <c r="F25" i="94" a="1"/>
  <c r="F25" i="94" s="1"/>
  <c r="G25" i="94" s="1" a="1"/>
  <c r="G25" i="94" s="1"/>
  <c r="F37" i="94" a="1"/>
  <c r="F37" i="94" s="1"/>
  <c r="G37" i="94" s="1" a="1"/>
  <c r="G37" i="94" s="1"/>
  <c r="F30" i="94" a="1"/>
  <c r="F30" i="94" s="1"/>
  <c r="G30" i="94" s="1" a="1"/>
  <c r="G30" i="94" s="1"/>
  <c r="F24" i="94" a="1"/>
  <c r="F24" i="94" s="1"/>
  <c r="G24" i="94" s="1" a="1"/>
  <c r="G24" i="94" s="1"/>
  <c r="F36" i="94" a="1"/>
  <c r="F36" i="94" s="1"/>
  <c r="G36" i="94" s="1" a="1"/>
  <c r="G36" i="94" s="1"/>
  <c r="F23" i="94" a="1"/>
  <c r="F23" i="94" s="1"/>
  <c r="G23" i="94" s="1" a="1"/>
  <c r="G23" i="94" s="1"/>
  <c r="F35" i="94" a="1"/>
  <c r="F35" i="94" s="1"/>
  <c r="G35" i="94" s="1" a="1"/>
  <c r="G35" i="94" s="1"/>
  <c r="F29" i="94" a="1"/>
  <c r="F29" i="94" s="1"/>
  <c r="G29" i="94" s="1" a="1"/>
  <c r="G29" i="94" s="1"/>
  <c r="F22" i="94" a="1"/>
  <c r="F22" i="94" s="1"/>
  <c r="G22" i="94" s="1" a="1"/>
  <c r="G22" i="94" s="1"/>
  <c r="F34" i="94" a="1"/>
  <c r="F34" i="94" s="1"/>
  <c r="G34" i="94" s="1" a="1"/>
  <c r="G34" i="94" s="1"/>
  <c r="F28" i="94" a="1"/>
  <c r="F28" i="94" s="1"/>
  <c r="G28" i="94" s="1" a="1"/>
  <c r="G28" i="94" s="1"/>
  <c r="F21" i="94" a="1"/>
  <c r="F21" i="94" s="1"/>
  <c r="G21" i="94" s="1" a="1"/>
  <c r="G21" i="94" s="1"/>
  <c r="F33" i="94" a="1"/>
  <c r="F33" i="94" s="1"/>
  <c r="G33" i="94" s="1" a="1"/>
  <c r="G33" i="94" s="1"/>
  <c r="F27" i="94" a="1"/>
  <c r="F27" i="94" s="1"/>
  <c r="G27" i="94" s="1" a="1"/>
  <c r="G27" i="94" s="1"/>
  <c r="F20" i="94" a="1"/>
  <c r="F20" i="94" s="1"/>
  <c r="G20" i="94" s="1" a="1"/>
  <c r="G20" i="94" s="1"/>
  <c r="F32" i="94" a="1"/>
  <c r="F32" i="94" s="1"/>
  <c r="G32" i="94" s="1" a="1"/>
  <c r="G32" i="94" s="1"/>
  <c r="F26" i="94" a="1"/>
  <c r="F26" i="94" s="1"/>
  <c r="G26" i="94" s="1" a="1"/>
  <c r="G26" i="94" s="1"/>
  <c r="J125" i="105" a="1"/>
  <c r="J125" i="105" s="1"/>
  <c r="AC236" i="117" a="1"/>
  <c r="Q236" i="117" a="1"/>
  <c r="V12" i="89"/>
  <c r="X12" i="89" s="1"/>
  <c r="J135" i="105" a="1"/>
  <c r="J135" i="105" s="1"/>
  <c r="J121" i="105" a="1"/>
  <c r="J121" i="105" s="1"/>
  <c r="J117" i="105" a="1"/>
  <c r="J117" i="105" s="1"/>
  <c r="K37" i="102"/>
  <c r="J37" i="102"/>
  <c r="I37" i="102"/>
  <c r="O37" i="102" s="1" a="1"/>
  <c r="O37" i="102" s="1"/>
  <c r="H37" i="102"/>
  <c r="G37" i="102"/>
  <c r="V17" i="89"/>
  <c r="X17" i="89" s="1"/>
  <c r="J30" i="102"/>
  <c r="I30" i="102"/>
  <c r="H30" i="102"/>
  <c r="G30" i="102"/>
  <c r="N30" i="102" s="1" a="1"/>
  <c r="N30" i="102" s="1"/>
  <c r="K30" i="102"/>
  <c r="AB32" i="88" a="1"/>
  <c r="AB32" i="88" s="1"/>
  <c r="E59" i="105"/>
  <c r="H59" i="105" s="1" a="1"/>
  <c r="H59" i="105" s="1"/>
  <c r="H90" i="105" a="1"/>
  <c r="H90" i="105" s="1"/>
  <c r="H75" i="105" a="1"/>
  <c r="H75" i="105" s="1"/>
  <c r="H67" i="105" a="1"/>
  <c r="H67" i="105" s="1"/>
  <c r="H60" i="105" a="1"/>
  <c r="H60" i="105" s="1"/>
  <c r="H89" i="105" a="1"/>
  <c r="H89" i="105" s="1"/>
  <c r="H82" i="105" a="1"/>
  <c r="H82" i="105" s="1"/>
  <c r="H74" i="105" a="1"/>
  <c r="H74" i="105" s="1"/>
  <c r="H66" i="105" a="1"/>
  <c r="H66" i="105" s="1"/>
  <c r="H88" i="105" a="1"/>
  <c r="H88" i="105" s="1"/>
  <c r="H80" i="105" a="1"/>
  <c r="H80" i="105" s="1"/>
  <c r="H73" i="105" a="1"/>
  <c r="H73" i="105" s="1"/>
  <c r="H65" i="105" a="1"/>
  <c r="H65" i="105" s="1"/>
  <c r="H86" i="105" a="1"/>
  <c r="H86" i="105" s="1"/>
  <c r="H79" i="105" a="1"/>
  <c r="H79" i="105" s="1"/>
  <c r="H72" i="105" a="1"/>
  <c r="H72" i="105" s="1"/>
  <c r="H64" i="105" a="1"/>
  <c r="H64" i="105" s="1"/>
  <c r="H85" i="105" a="1"/>
  <c r="H85" i="105" s="1"/>
  <c r="H78" i="105" a="1"/>
  <c r="H78" i="105" s="1"/>
  <c r="H71" i="105" a="1"/>
  <c r="H71" i="105" s="1"/>
  <c r="H63" i="105" a="1"/>
  <c r="H63" i="105" s="1"/>
  <c r="H92" i="105" a="1"/>
  <c r="H92" i="105" s="1"/>
  <c r="H77" i="105" a="1"/>
  <c r="H77" i="105" s="1"/>
  <c r="H84" i="105" a="1"/>
  <c r="H84" i="105" s="1"/>
  <c r="H69" i="105" a="1"/>
  <c r="H69" i="105" s="1"/>
  <c r="H62" i="105" a="1"/>
  <c r="H62" i="105" s="1"/>
  <c r="H91" i="105" a="1"/>
  <c r="H91" i="105" s="1"/>
  <c r="H76" i="105" a="1"/>
  <c r="H76" i="105" s="1"/>
  <c r="H83" i="105" a="1"/>
  <c r="H83" i="105" s="1"/>
  <c r="H68" i="105" a="1"/>
  <c r="H68" i="105" s="1"/>
  <c r="H61" i="105" a="1"/>
  <c r="H61" i="105" s="1"/>
  <c r="D59" i="105"/>
  <c r="G59" i="105" s="1" a="1"/>
  <c r="G59" i="105" s="1"/>
  <c r="G68" i="105" a="1"/>
  <c r="G68" i="105" s="1"/>
  <c r="I68" i="105" s="1" a="1"/>
  <c r="I68" i="105" s="1"/>
  <c r="H166" i="105" s="1"/>
  <c r="I166" i="105" s="1"/>
  <c r="K166" i="105" s="1" a="1"/>
  <c r="K166" i="105" s="1"/>
  <c r="G61" i="105" a="1"/>
  <c r="G61" i="105" s="1"/>
  <c r="G90" i="105" a="1"/>
  <c r="G90" i="105" s="1"/>
  <c r="G83" i="105" a="1"/>
  <c r="G83" i="105" s="1"/>
  <c r="G75" i="105" a="1"/>
  <c r="G75" i="105" s="1"/>
  <c r="I75" i="105" s="1" a="1"/>
  <c r="I75" i="105" s="1"/>
  <c r="H173" i="105" s="1"/>
  <c r="I173" i="105" s="1"/>
  <c r="K173" i="105" s="1" a="1"/>
  <c r="K173" i="105" s="1"/>
  <c r="G67" i="105" a="1"/>
  <c r="G67" i="105" s="1"/>
  <c r="G60" i="105" a="1"/>
  <c r="G60" i="105" s="1"/>
  <c r="I60" i="105" s="1" a="1"/>
  <c r="I60" i="105" s="1"/>
  <c r="H158" i="105" s="1"/>
  <c r="G89" i="105" a="1"/>
  <c r="G89" i="105" s="1"/>
  <c r="I89" i="105" s="1" a="1"/>
  <c r="I89" i="105" s="1"/>
  <c r="H187" i="105" s="1"/>
  <c r="G82" i="105" a="1"/>
  <c r="G82" i="105" s="1"/>
  <c r="I82" i="105" s="1" a="1"/>
  <c r="I82" i="105" s="1"/>
  <c r="H180" i="105" s="1"/>
  <c r="G74" i="105" a="1"/>
  <c r="G74" i="105" s="1"/>
  <c r="G66" i="105" a="1"/>
  <c r="G66" i="105" s="1"/>
  <c r="I66" i="105" s="1" a="1"/>
  <c r="I66" i="105" s="1"/>
  <c r="H164" i="105" s="1"/>
  <c r="G88" i="105" a="1"/>
  <c r="G88" i="105" s="1"/>
  <c r="I88" i="105" s="1" a="1"/>
  <c r="I88" i="105" s="1"/>
  <c r="H186" i="105" s="1"/>
  <c r="G80" i="105" a="1"/>
  <c r="G80" i="105" s="1"/>
  <c r="G73" i="105" a="1"/>
  <c r="G73" i="105" s="1"/>
  <c r="I73" i="105" s="1" a="1"/>
  <c r="I73" i="105" s="1"/>
  <c r="H171" i="105" s="1"/>
  <c r="G65" i="105" a="1"/>
  <c r="G65" i="105" s="1"/>
  <c r="I65" i="105" s="1" a="1"/>
  <c r="I65" i="105" s="1"/>
  <c r="H163" i="105" s="1"/>
  <c r="G86" i="105" a="1"/>
  <c r="G86" i="105" s="1"/>
  <c r="I86" i="105" s="1" a="1"/>
  <c r="I86" i="105" s="1"/>
  <c r="H184" i="105" s="1"/>
  <c r="G79" i="105" a="1"/>
  <c r="G79" i="105" s="1"/>
  <c r="G72" i="105" a="1"/>
  <c r="G72" i="105" s="1"/>
  <c r="G64" i="105" a="1"/>
  <c r="G64" i="105" s="1"/>
  <c r="I64" i="105" s="1" a="1"/>
  <c r="I64" i="105" s="1"/>
  <c r="H162" i="105" s="1"/>
  <c r="G85" i="105" a="1"/>
  <c r="G85" i="105" s="1"/>
  <c r="G78" i="105" a="1"/>
  <c r="G78" i="105" s="1"/>
  <c r="I78" i="105" s="1" a="1"/>
  <c r="I78" i="105" s="1"/>
  <c r="H176" i="105" s="1"/>
  <c r="I176" i="105" s="1"/>
  <c r="K176" i="105" s="1" a="1"/>
  <c r="K176" i="105" s="1"/>
  <c r="G71" i="105" a="1"/>
  <c r="G71" i="105" s="1"/>
  <c r="I71" i="105" s="1" a="1"/>
  <c r="I71" i="105" s="1"/>
  <c r="H169" i="105" s="1"/>
  <c r="G63" i="105" a="1"/>
  <c r="G63" i="105" s="1"/>
  <c r="I63" i="105" s="1" a="1"/>
  <c r="I63" i="105" s="1"/>
  <c r="H161" i="105" s="1"/>
  <c r="G92" i="105" a="1"/>
  <c r="G92" i="105" s="1"/>
  <c r="G77" i="105" a="1"/>
  <c r="G77" i="105" s="1"/>
  <c r="I77" i="105" s="1" a="1"/>
  <c r="I77" i="105" s="1"/>
  <c r="H175" i="105" s="1"/>
  <c r="G84" i="105" a="1"/>
  <c r="G84" i="105" s="1"/>
  <c r="I84" i="105" s="1" a="1"/>
  <c r="I84" i="105" s="1"/>
  <c r="H182" i="105" s="1"/>
  <c r="G69" i="105" a="1"/>
  <c r="G69" i="105" s="1"/>
  <c r="G62" i="105" a="1"/>
  <c r="G62" i="105" s="1"/>
  <c r="I62" i="105" s="1" a="1"/>
  <c r="I62" i="105" s="1"/>
  <c r="H160" i="105" s="1"/>
  <c r="G91" i="105" a="1"/>
  <c r="G91" i="105" s="1"/>
  <c r="I91" i="105" s="1" a="1"/>
  <c r="I91" i="105" s="1"/>
  <c r="H189" i="105" s="1"/>
  <c r="G76" i="105" a="1"/>
  <c r="G76" i="105" s="1"/>
  <c r="I76" i="105" s="1" a="1"/>
  <c r="I76" i="105" s="1"/>
  <c r="H174" i="105" s="1"/>
  <c r="V19" i="89"/>
  <c r="X19" i="89" s="1"/>
  <c r="V13" i="89"/>
  <c r="X13" i="89" s="1"/>
  <c r="K25" i="102"/>
  <c r="Q25" i="102" s="1" a="1"/>
  <c r="Q25" i="102" s="1"/>
  <c r="J25" i="102"/>
  <c r="I25" i="102"/>
  <c r="H25" i="102"/>
  <c r="G25" i="102"/>
  <c r="O25" i="102" s="1" a="1"/>
  <c r="O25" i="102" s="1"/>
  <c r="V20" i="89"/>
  <c r="X20" i="89" s="1"/>
  <c r="Y236" i="117" a="1"/>
  <c r="K32" i="102"/>
  <c r="J32" i="102"/>
  <c r="I32" i="102"/>
  <c r="O32" i="102" s="1" a="1"/>
  <c r="O32" i="102" s="1"/>
  <c r="H32" i="102"/>
  <c r="N32" i="102" s="1" a="1"/>
  <c r="N32" i="102" s="1"/>
  <c r="G32" i="102"/>
  <c r="V236" i="117" a="1"/>
  <c r="V236" i="117" s="1"/>
  <c r="Q30" i="102" a="1"/>
  <c r="Q30" i="102" s="1"/>
  <c r="O34" i="101" a="1"/>
  <c r="O34" i="101" s="1"/>
  <c r="N34" i="101" a="1"/>
  <c r="N34" i="101" s="1"/>
  <c r="P34" i="101" a="1"/>
  <c r="P34" i="101" s="1"/>
  <c r="Q34" i="101" a="1"/>
  <c r="Q34" i="101" s="1"/>
  <c r="Q31" i="101" a="1"/>
  <c r="Q31" i="101" s="1"/>
  <c r="F129" i="117"/>
  <c r="G129" i="117" s="1" a="1"/>
  <c r="G129" i="117" s="1"/>
  <c r="E181" i="117"/>
  <c r="E42" i="13" s="1" a="1"/>
  <c r="E42" i="13" s="1"/>
  <c r="H42" i="13" s="1"/>
  <c r="E143" i="117"/>
  <c r="F125" i="117"/>
  <c r="G125" i="117" s="1" a="1"/>
  <c r="G125" i="117" s="1"/>
  <c r="H389" i="117" a="1"/>
  <c r="H389" i="117" s="1"/>
  <c r="E155" i="117"/>
  <c r="E488" i="117"/>
  <c r="H390" i="117" a="1"/>
  <c r="H390" i="117" s="1"/>
  <c r="E654" i="117"/>
  <c r="E657" i="117" s="1"/>
  <c r="J385" i="117" a="1"/>
  <c r="J385" i="117" s="1"/>
  <c r="H383" i="117" a="1"/>
  <c r="H383" i="117" s="1"/>
  <c r="F121" i="117"/>
  <c r="G121" i="117" s="1" a="1"/>
  <c r="G121" i="117" s="1"/>
  <c r="E156" i="117"/>
  <c r="E487" i="117"/>
  <c r="E498" i="117"/>
  <c r="E49" i="13" s="1" a="1"/>
  <c r="E49" i="13" s="1"/>
  <c r="H49" i="13" s="1"/>
  <c r="E517" i="117"/>
  <c r="F50" i="13" s="1" a="1"/>
  <c r="F50" i="13" s="1"/>
  <c r="I50" i="13" s="1"/>
  <c r="F126" i="117"/>
  <c r="G126" i="117" s="1" a="1"/>
  <c r="G126" i="117" s="1"/>
  <c r="E363" i="117"/>
  <c r="F46" i="13" s="1" a="1"/>
  <c r="F46" i="13" s="1"/>
  <c r="I46" i="13" s="1"/>
  <c r="J324" i="117" a="1"/>
  <c r="J324" i="117" s="1"/>
  <c r="F127" i="117"/>
  <c r="J451" i="117" a="1"/>
  <c r="J451" i="117" s="1"/>
  <c r="H451" i="117" a="1"/>
  <c r="H451" i="117" s="1"/>
  <c r="J323" i="117" a="1"/>
  <c r="J323" i="117" s="1"/>
  <c r="H470" i="117" a="1"/>
  <c r="H470" i="117" s="1"/>
  <c r="J470" i="117" a="1"/>
  <c r="J470" i="117" s="1"/>
  <c r="F123" i="117"/>
  <c r="I327" i="117" a="1"/>
  <c r="I327" i="117" s="1"/>
  <c r="I120" i="117" a="1"/>
  <c r="I120" i="117" s="1"/>
  <c r="E142" i="117"/>
  <c r="M27" i="117" a="1"/>
  <c r="M27" i="117" s="1"/>
  <c r="E35" i="117" s="1"/>
  <c r="F124" i="117"/>
  <c r="J61" i="117" a="1"/>
  <c r="J61" i="117" s="1"/>
  <c r="E73" i="117" s="1"/>
  <c r="G61" i="117" a="1"/>
  <c r="G61" i="117" s="1"/>
  <c r="E72" i="117" s="1"/>
  <c r="H387" i="117" a="1"/>
  <c r="H387" i="117" s="1"/>
  <c r="J42" i="117" a="1"/>
  <c r="J42" i="117" s="1"/>
  <c r="E54" i="117" s="1"/>
  <c r="G42" i="117" a="1"/>
  <c r="G42" i="117" s="1"/>
  <c r="E53" i="117" s="1"/>
  <c r="H471" i="117" a="1"/>
  <c r="H471" i="117" s="1"/>
  <c r="J471" i="117" a="1"/>
  <c r="J471" i="117" s="1"/>
  <c r="G290" i="117" a="1"/>
  <c r="G290" i="117" s="1"/>
  <c r="F128" i="117"/>
  <c r="H469" i="117" a="1"/>
  <c r="H469" i="117" s="1"/>
  <c r="J469" i="117" a="1"/>
  <c r="J469" i="117" s="1"/>
  <c r="J326" i="117" a="1"/>
  <c r="J326" i="117" s="1"/>
  <c r="E426" i="117"/>
  <c r="I328" i="117" a="1"/>
  <c r="I328" i="117" s="1"/>
  <c r="H452" i="117" a="1"/>
  <c r="H452" i="117" s="1"/>
  <c r="J452" i="117" a="1"/>
  <c r="J452" i="117" s="1"/>
  <c r="J322" i="117" a="1"/>
  <c r="J322" i="117" s="1"/>
  <c r="I323" i="117" a="1"/>
  <c r="I323" i="117" s="1"/>
  <c r="F122" i="117"/>
  <c r="G122" i="117" s="1" a="1"/>
  <c r="G122" i="117" s="1"/>
  <c r="J328" i="117" a="1"/>
  <c r="J328" i="117" s="1"/>
  <c r="J472" i="117" a="1"/>
  <c r="J472" i="117" s="1"/>
  <c r="H472" i="117" a="1"/>
  <c r="H472" i="117" s="1"/>
  <c r="F120" i="117"/>
  <c r="G120" i="117" s="1" a="1"/>
  <c r="G120" i="117" s="1"/>
  <c r="H445" i="117" a="1"/>
  <c r="H445" i="117" s="1"/>
  <c r="J454" i="117" a="1"/>
  <c r="J454" i="117" s="1"/>
  <c r="H454" i="117" a="1"/>
  <c r="H454" i="117" s="1"/>
  <c r="G320" i="117"/>
  <c r="I320" i="117" s="1" a="1"/>
  <c r="I320" i="117" s="1"/>
  <c r="J329" i="117" a="1"/>
  <c r="J329" i="117" s="1"/>
  <c r="J327" i="117" a="1"/>
  <c r="J327" i="117" s="1"/>
  <c r="I325" i="117" a="1"/>
  <c r="I325" i="117" s="1"/>
  <c r="I322" i="117" a="1"/>
  <c r="I322" i="117" s="1"/>
  <c r="J325" i="117" a="1"/>
  <c r="J325" i="117" s="1"/>
  <c r="J382" i="117" a="1"/>
  <c r="J382" i="117" s="1"/>
  <c r="H382" i="117" a="1"/>
  <c r="H382" i="117" s="1"/>
  <c r="G79" i="117" a="1"/>
  <c r="G79" i="117" s="1"/>
  <c r="E90" i="117" s="1"/>
  <c r="J79" i="117" a="1"/>
  <c r="J79" i="117" s="1"/>
  <c r="E91" i="117" s="1"/>
  <c r="H453" i="117" a="1"/>
  <c r="H453" i="117" s="1"/>
  <c r="J453" i="117" a="1"/>
  <c r="J453" i="117" s="1"/>
  <c r="O21" i="108" a="1"/>
  <c r="O21" i="108" s="1"/>
  <c r="E21" i="108" a="1"/>
  <c r="E21" i="108" s="1"/>
  <c r="Q40" i="102" a="1"/>
  <c r="Q40" i="102" s="1"/>
  <c r="Q32" i="102" a="1"/>
  <c r="Q32" i="102" s="1"/>
  <c r="P35" i="102" a="1"/>
  <c r="P35" i="102" s="1"/>
  <c r="O35" i="102" a="1"/>
  <c r="O35" i="102" s="1"/>
  <c r="N35" i="102" a="1"/>
  <c r="N35" i="102" s="1"/>
  <c r="P28" i="102" a="1"/>
  <c r="P28" i="102" s="1"/>
  <c r="O28" i="102" a="1"/>
  <c r="O28" i="102" s="1"/>
  <c r="N28" i="102" a="1"/>
  <c r="N28" i="102" s="1"/>
  <c r="Q28" i="102" a="1"/>
  <c r="Q28" i="102" s="1"/>
  <c r="P39" i="102" a="1"/>
  <c r="P39" i="102" s="1"/>
  <c r="O39" i="102" a="1"/>
  <c r="O39" i="102" s="1"/>
  <c r="N39" i="102" a="1"/>
  <c r="N39" i="102" s="1"/>
  <c r="Q39" i="102" a="1"/>
  <c r="Q39" i="102" s="1"/>
  <c r="N33" i="102" a="1"/>
  <c r="N33" i="102" s="1"/>
  <c r="O33" i="102" a="1"/>
  <c r="O33" i="102" s="1"/>
  <c r="P38" i="102" a="1"/>
  <c r="P38" i="102" s="1"/>
  <c r="O38" i="102" a="1"/>
  <c r="O38" i="102" s="1"/>
  <c r="N38" i="102" a="1"/>
  <c r="N38" i="102" s="1"/>
  <c r="Q38" i="102" a="1"/>
  <c r="Q38" i="102" s="1"/>
  <c r="Q37" i="102" a="1"/>
  <c r="Q37" i="102" s="1"/>
  <c r="O30" i="102" a="1"/>
  <c r="O30" i="102" s="1"/>
  <c r="P32" i="102" a="1"/>
  <c r="P32" i="102" s="1"/>
  <c r="N37" i="102" a="1"/>
  <c r="N37" i="102" s="1"/>
  <c r="P30" i="102" a="1"/>
  <c r="P30" i="102" s="1"/>
  <c r="P31" i="102" a="1"/>
  <c r="P31" i="102" s="1"/>
  <c r="O31" i="102" a="1"/>
  <c r="O31" i="102" s="1"/>
  <c r="N31" i="102" a="1"/>
  <c r="N31" i="102" s="1"/>
  <c r="Q31" i="102" a="1"/>
  <c r="Q31" i="102" s="1"/>
  <c r="O29" i="102" a="1"/>
  <c r="O29" i="102" s="1"/>
  <c r="N29" i="102" a="1"/>
  <c r="N29" i="102" s="1"/>
  <c r="P29" i="102" a="1"/>
  <c r="P29" i="102" s="1"/>
  <c r="Q29" i="102" a="1"/>
  <c r="Q29" i="102" s="1"/>
  <c r="Q29" i="101" a="1"/>
  <c r="Q29" i="101" s="1"/>
  <c r="P25" i="102" a="1"/>
  <c r="P25" i="102" s="1"/>
  <c r="N25" i="102" a="1"/>
  <c r="N25" i="102" s="1"/>
  <c r="P40" i="102" a="1"/>
  <c r="P40" i="102" s="1"/>
  <c r="O40" i="102" a="1"/>
  <c r="O40" i="102" s="1"/>
  <c r="N40" i="102" a="1"/>
  <c r="N40" i="102" s="1"/>
  <c r="O36" i="102" a="1"/>
  <c r="O36" i="102" s="1"/>
  <c r="N36" i="102" a="1"/>
  <c r="N36" i="102" s="1"/>
  <c r="P36" i="102" a="1"/>
  <c r="P36" i="102" s="1"/>
  <c r="O32" i="101" a="1"/>
  <c r="O32" i="101" s="1"/>
  <c r="N32" i="101" a="1"/>
  <c r="N32" i="101" s="1"/>
  <c r="P32" i="101" a="1"/>
  <c r="P32" i="101" s="1"/>
  <c r="P33" i="101" a="1"/>
  <c r="P33" i="101" s="1"/>
  <c r="E51" i="101" s="1"/>
  <c r="O33" i="101" a="1"/>
  <c r="O33" i="101" s="1"/>
  <c r="E50" i="101" s="1"/>
  <c r="N33" i="101" a="1"/>
  <c r="N33" i="101" s="1"/>
  <c r="E49" i="101" s="1"/>
  <c r="Q33" i="101" a="1"/>
  <c r="Q33" i="101" s="1"/>
  <c r="E52" i="101" s="1"/>
  <c r="O38" i="101" a="1"/>
  <c r="O38" i="101" s="1"/>
  <c r="P38" i="101" a="1"/>
  <c r="P38" i="101" s="1"/>
  <c r="E63" i="101" s="1"/>
  <c r="Q38" i="101" a="1"/>
  <c r="Q38" i="101" s="1"/>
  <c r="N27" i="101" a="1"/>
  <c r="N27" i="101" s="1"/>
  <c r="Q27" i="101" a="1"/>
  <c r="Q27" i="101" s="1"/>
  <c r="P27" i="101" a="1"/>
  <c r="P27" i="101" s="1"/>
  <c r="O27" i="101" a="1"/>
  <c r="O27" i="101" s="1"/>
  <c r="P28" i="101" a="1"/>
  <c r="P28" i="101" s="1"/>
  <c r="O28" i="101" a="1"/>
  <c r="O28" i="101" s="1"/>
  <c r="N28" i="101" a="1"/>
  <c r="N28" i="101" s="1"/>
  <c r="Q28" i="101" a="1"/>
  <c r="Q28" i="101" s="1"/>
  <c r="Q25" i="101" a="1"/>
  <c r="Q25" i="101" s="1"/>
  <c r="P25" i="101" a="1"/>
  <c r="P25" i="101" s="1"/>
  <c r="O25" i="101" a="1"/>
  <c r="O25" i="101" s="1"/>
  <c r="N25" i="101" a="1"/>
  <c r="N25" i="101" s="1"/>
  <c r="E61" i="101"/>
  <c r="P31" i="101" a="1"/>
  <c r="P31" i="101" s="1"/>
  <c r="O31" i="101" a="1"/>
  <c r="O31" i="101" s="1"/>
  <c r="N31" i="101" a="1"/>
  <c r="N31" i="101" s="1"/>
  <c r="P29" i="101" a="1"/>
  <c r="P29" i="101" s="1"/>
  <c r="O29" i="101" a="1"/>
  <c r="O29" i="101" s="1"/>
  <c r="N29" i="101" a="1"/>
  <c r="N29" i="101" s="1"/>
  <c r="N35" i="101" a="1"/>
  <c r="N35" i="101" s="1"/>
  <c r="Q26" i="101" a="1"/>
  <c r="Q26" i="101" s="1"/>
  <c r="P26" i="101" a="1"/>
  <c r="P26" i="101" s="1"/>
  <c r="O26" i="101" a="1"/>
  <c r="O26" i="101" s="1"/>
  <c r="N26" i="101" a="1"/>
  <c r="N26" i="101" s="1"/>
  <c r="Q32" i="101" a="1"/>
  <c r="Q32" i="101" s="1"/>
  <c r="O35" i="101" a="1"/>
  <c r="O35" i="101" s="1"/>
  <c r="P35" i="101" a="1"/>
  <c r="P35" i="101" s="1"/>
  <c r="P30" i="101" a="1"/>
  <c r="P30" i="101" s="1"/>
  <c r="O30" i="101" a="1"/>
  <c r="O30" i="101" s="1"/>
  <c r="N30" i="101" a="1"/>
  <c r="N30" i="101" s="1"/>
  <c r="Q30" i="101" a="1"/>
  <c r="Q30" i="101" s="1"/>
  <c r="AB37" i="88" a="1"/>
  <c r="AB37" i="88" s="1"/>
  <c r="AB36" i="88" a="1"/>
  <c r="AB36" i="88" s="1"/>
  <c r="AC36" i="88" a="1"/>
  <c r="AC36" i="88" s="1"/>
  <c r="AA37" i="88" a="1"/>
  <c r="AA37" i="88" s="1"/>
  <c r="K29" i="88" a="1"/>
  <c r="K29" i="88" s="1"/>
  <c r="AA31" i="88" a="1"/>
  <c r="AA31" i="88" s="1"/>
  <c r="H149" i="87"/>
  <c r="L29" i="88" a="1"/>
  <c r="L29" i="88" s="1"/>
  <c r="AA38" i="88" a="1"/>
  <c r="AA38" i="88" s="1"/>
  <c r="AC38" i="88" a="1"/>
  <c r="AC38" i="88" s="1"/>
  <c r="AB38" i="88" a="1"/>
  <c r="AB38" i="88" s="1"/>
  <c r="AC35" i="88" a="1"/>
  <c r="AC35" i="88" s="1"/>
  <c r="AB35" i="88" a="1"/>
  <c r="AB35" i="88" s="1"/>
  <c r="AA35" i="88" a="1"/>
  <c r="AA35" i="88" s="1"/>
  <c r="AC30" i="88" a="1"/>
  <c r="AC30" i="88" s="1"/>
  <c r="AA30" i="88" a="1"/>
  <c r="AA30" i="88" s="1"/>
  <c r="AC31" i="88" a="1"/>
  <c r="AC31" i="88" s="1"/>
  <c r="F26" i="88" a="1"/>
  <c r="F26" i="88" s="1"/>
  <c r="L27" i="88" a="1"/>
  <c r="L27" i="88" s="1"/>
  <c r="K27" i="88" a="1"/>
  <c r="K27" i="88" s="1"/>
  <c r="J27" i="88" a="1"/>
  <c r="J27" i="88" s="1"/>
  <c r="AB30" i="88" a="1"/>
  <c r="AB30" i="88" s="1"/>
  <c r="H30" i="83"/>
  <c r="M30" i="83" s="1" a="1"/>
  <c r="M30" i="83" s="1"/>
  <c r="I147" i="87"/>
  <c r="G147" i="87"/>
  <c r="I146" i="87"/>
  <c r="AF133" i="88"/>
  <c r="O115" i="88"/>
  <c r="J149" i="87"/>
  <c r="M146" i="87"/>
  <c r="H146" i="87"/>
  <c r="P147" i="87"/>
  <c r="H147" i="87"/>
  <c r="O148" i="87"/>
  <c r="K149" i="87"/>
  <c r="L149" i="87"/>
  <c r="N149" i="87"/>
  <c r="K146" i="87"/>
  <c r="J146" i="87"/>
  <c r="M147" i="87"/>
  <c r="O149" i="87"/>
  <c r="L146" i="87"/>
  <c r="J148" i="87"/>
  <c r="P149" i="87"/>
  <c r="K148" i="87"/>
  <c r="L147" i="87"/>
  <c r="P146" i="87"/>
  <c r="K147" i="87"/>
  <c r="L148" i="87"/>
  <c r="N148" i="87"/>
  <c r="N147" i="87"/>
  <c r="P148" i="87"/>
  <c r="I148" i="87"/>
  <c r="G148" i="87"/>
  <c r="N146" i="87"/>
  <c r="O147" i="87"/>
  <c r="O146" i="87"/>
  <c r="G31" i="83"/>
  <c r="G33" i="83"/>
  <c r="N33" i="83" s="1" a="1"/>
  <c r="N33" i="83" s="1"/>
  <c r="N32" i="83" a="1"/>
  <c r="N32" i="83" s="1"/>
  <c r="H31" i="83"/>
  <c r="F95" i="84" a="1"/>
  <c r="F95" i="84" s="1"/>
  <c r="K95" i="84" s="1" a="1"/>
  <c r="K95" i="84" s="1"/>
  <c r="L97" i="84" a="1"/>
  <c r="L97" i="84" s="1"/>
  <c r="K97" i="84" a="1"/>
  <c r="K97" i="84" s="1"/>
  <c r="J97" i="84" a="1"/>
  <c r="J97" i="84" s="1"/>
  <c r="K96" i="84" a="1"/>
  <c r="K96" i="84" s="1"/>
  <c r="F98" i="84" a="1"/>
  <c r="F98" i="84" s="1"/>
  <c r="L96" i="84" a="1"/>
  <c r="L96" i="84" s="1"/>
  <c r="L32" i="83" a="1"/>
  <c r="L32" i="83" s="1"/>
  <c r="N179" i="82"/>
  <c r="O179" i="82" s="1"/>
  <c r="E55" i="13" a="1"/>
  <c r="E55" i="13" s="1"/>
  <c r="H55" i="13" s="1"/>
  <c r="F53" i="13" a="1"/>
  <c r="F53" i="13" s="1"/>
  <c r="I53" i="13" s="1"/>
  <c r="E53" i="13" a="1"/>
  <c r="E53" i="13" s="1"/>
  <c r="H53" i="13" s="1"/>
  <c r="F52" i="13"/>
  <c r="I52" i="13" s="1"/>
  <c r="E50" i="13" a="1"/>
  <c r="E50" i="13" s="1"/>
  <c r="H50" i="13" s="1"/>
  <c r="F49" i="13" a="1"/>
  <c r="F49" i="13" s="1"/>
  <c r="I49" i="13" s="1"/>
  <c r="E46" i="13" a="1"/>
  <c r="E46" i="13" s="1"/>
  <c r="H46" i="13" s="1"/>
  <c r="F42" i="13" a="1"/>
  <c r="F42" i="13" s="1"/>
  <c r="I42" i="13" s="1"/>
  <c r="I122" i="105" l="1"/>
  <c r="K122" i="105" s="1" a="1"/>
  <c r="K122" i="105" s="1"/>
  <c r="I136" i="105"/>
  <c r="K136" i="105" s="1" a="1"/>
  <c r="K136" i="105" s="1"/>
  <c r="I158" i="105"/>
  <c r="K158" i="105" s="1" a="1"/>
  <c r="K158" i="105" s="1"/>
  <c r="I162" i="105"/>
  <c r="K162" i="105" s="1" a="1"/>
  <c r="K162" i="105" s="1"/>
  <c r="I118" i="105"/>
  <c r="K118" i="105" s="1" a="1"/>
  <c r="K118" i="105" s="1"/>
  <c r="I119" i="105"/>
  <c r="K119" i="105" s="1" a="1"/>
  <c r="K119" i="105" s="1"/>
  <c r="I132" i="105"/>
  <c r="K132" i="105" s="1" a="1"/>
  <c r="K132" i="105" s="1"/>
  <c r="I137" i="105"/>
  <c r="K137" i="105" s="1" a="1"/>
  <c r="K137" i="105" s="1"/>
  <c r="I174" i="105"/>
  <c r="K174" i="105" s="1" a="1"/>
  <c r="K174" i="105" s="1"/>
  <c r="I135" i="105"/>
  <c r="K135" i="105" s="1" a="1"/>
  <c r="K135" i="105" s="1"/>
  <c r="I117" i="105"/>
  <c r="K117" i="105" s="1" a="1"/>
  <c r="K117" i="105" s="1"/>
  <c r="I120" i="105"/>
  <c r="K120" i="105" s="1" a="1"/>
  <c r="K120" i="105" s="1"/>
  <c r="I161" i="105"/>
  <c r="K161" i="105" s="1" a="1"/>
  <c r="K161" i="105" s="1"/>
  <c r="I125" i="105"/>
  <c r="K125" i="105" s="1" a="1"/>
  <c r="K125" i="105" s="1"/>
  <c r="I175" i="105"/>
  <c r="K175" i="105" s="1" a="1"/>
  <c r="K175" i="105" s="1"/>
  <c r="I121" i="105"/>
  <c r="K121" i="105" s="1" a="1"/>
  <c r="K121" i="105" s="1"/>
  <c r="F55" i="13" a="1"/>
  <c r="F55" i="13" s="1"/>
  <c r="I55" i="13" s="1"/>
  <c r="I286" i="117" a="1"/>
  <c r="I286" i="117" s="1"/>
  <c r="I296" i="117" a="1"/>
  <c r="I296" i="117" s="1"/>
  <c r="G288" i="117" a="1"/>
  <c r="G288" i="117" s="1"/>
  <c r="I291" i="117" a="1"/>
  <c r="I291" i="117" s="1"/>
  <c r="I294" i="117" a="1"/>
  <c r="I294" i="117" s="1"/>
  <c r="E62" i="101"/>
  <c r="E58" i="101"/>
  <c r="F261" i="117" a="1"/>
  <c r="F261" i="117" s="1"/>
  <c r="F254" i="117" a="1"/>
  <c r="F254" i="117" s="1"/>
  <c r="F256" i="117" a="1"/>
  <c r="F256" i="117" s="1"/>
  <c r="F260" i="117" a="1"/>
  <c r="F260" i="117" s="1"/>
  <c r="F253" i="117" a="1"/>
  <c r="F253" i="117" s="1"/>
  <c r="F259" i="117" a="1"/>
  <c r="F259" i="117" s="1"/>
  <c r="F255" i="117" a="1"/>
  <c r="F255" i="117" s="1"/>
  <c r="O11" i="90" a="1"/>
  <c r="O11" i="90" s="1"/>
  <c r="AB39" i="88" a="1"/>
  <c r="AB39" i="88" s="1"/>
  <c r="AA39" i="88" a="1"/>
  <c r="AA39" i="88" s="1"/>
  <c r="AC39" i="88" a="1"/>
  <c r="AC39" i="88" s="1"/>
  <c r="I126" i="105"/>
  <c r="K126" i="105" s="1" a="1"/>
  <c r="K126" i="105" s="1"/>
  <c r="I163" i="105"/>
  <c r="K163" i="105" s="1" a="1"/>
  <c r="K163" i="105" s="1"/>
  <c r="I133" i="105"/>
  <c r="K133" i="105" s="1" a="1"/>
  <c r="K133" i="105" s="1"/>
  <c r="I61" i="105" a="1"/>
  <c r="I61" i="105" s="1"/>
  <c r="H159" i="105" s="1"/>
  <c r="I159" i="105" s="1"/>
  <c r="K159" i="105" s="1" a="1"/>
  <c r="K159" i="105" s="1"/>
  <c r="I134" i="105"/>
  <c r="K134" i="105" s="1" a="1"/>
  <c r="K134" i="105" s="1"/>
  <c r="I160" i="105"/>
  <c r="K160" i="105" s="1" a="1"/>
  <c r="K160" i="105" s="1"/>
  <c r="I164" i="105"/>
  <c r="K164" i="105" s="1" a="1"/>
  <c r="K164" i="105" s="1"/>
  <c r="I59" i="105" a="1"/>
  <c r="I59" i="105" s="1"/>
  <c r="H157" i="105" s="1"/>
  <c r="H23" i="117"/>
  <c r="J23" i="117" s="1" a="1"/>
  <c r="J23" i="117" s="1"/>
  <c r="J26" i="117" a="1"/>
  <c r="J26" i="117" s="1"/>
  <c r="J27" i="117" a="1"/>
  <c r="J27" i="117" s="1"/>
  <c r="J24" i="117" a="1"/>
  <c r="J24" i="117" s="1"/>
  <c r="J29" i="117" a="1"/>
  <c r="J29" i="117" s="1"/>
  <c r="J31" i="117" a="1"/>
  <c r="J31" i="117" s="1"/>
  <c r="J30" i="117" a="1"/>
  <c r="J30" i="117" s="1"/>
  <c r="J28" i="117" a="1"/>
  <c r="J28" i="117" s="1"/>
  <c r="J25" i="117" a="1"/>
  <c r="J25" i="117" s="1"/>
  <c r="J32" i="117" a="1"/>
  <c r="J32" i="117" s="1"/>
  <c r="AM240" i="117" a="1"/>
  <c r="AM240" i="117" s="1"/>
  <c r="I72" i="105" a="1"/>
  <c r="I72" i="105" s="1"/>
  <c r="H170" i="105" s="1"/>
  <c r="I83" i="105" a="1"/>
  <c r="I83" i="105" s="1"/>
  <c r="H181" i="105" s="1"/>
  <c r="I79" i="105" a="1"/>
  <c r="I79" i="105" s="1"/>
  <c r="H177" i="105" s="1"/>
  <c r="I177" i="105" s="1"/>
  <c r="K177" i="105" s="1" a="1"/>
  <c r="K177" i="105" s="1"/>
  <c r="I90" i="105" a="1"/>
  <c r="I90" i="105" s="1"/>
  <c r="H188" i="105" s="1"/>
  <c r="P37" i="102" a="1"/>
  <c r="P37" i="102" s="1"/>
  <c r="X32" i="83" a="1"/>
  <c r="X32" i="83" s="1"/>
  <c r="Y32" i="83" s="1" a="1"/>
  <c r="Y32" i="83" s="1"/>
  <c r="X37" i="83" a="1"/>
  <c r="X37" i="83" s="1"/>
  <c r="Y37" i="83" s="1" a="1"/>
  <c r="Y37" i="83" s="1"/>
  <c r="AD37" i="83" s="1" a="1"/>
  <c r="AD37" i="83" s="1"/>
  <c r="X38" i="83" a="1"/>
  <c r="X38" i="83" s="1"/>
  <c r="Y38" i="83" s="1" a="1"/>
  <c r="Y38" i="83" s="1"/>
  <c r="X36" i="83" a="1"/>
  <c r="X36" i="83" s="1"/>
  <c r="Y36" i="83" s="1" a="1"/>
  <c r="Y36" i="83" s="1"/>
  <c r="AE36" i="83" s="1" a="1"/>
  <c r="AE36" i="83" s="1"/>
  <c r="X35" i="83" a="1"/>
  <c r="X35" i="83" s="1"/>
  <c r="Y35" i="83" s="1" a="1"/>
  <c r="Y35" i="83" s="1"/>
  <c r="X34" i="83" a="1"/>
  <c r="X34" i="83" s="1"/>
  <c r="Y34" i="83" s="1" a="1"/>
  <c r="Y34" i="83" s="1"/>
  <c r="X39" i="83" a="1"/>
  <c r="X39" i="83" s="1"/>
  <c r="Y39" i="83" s="1" a="1"/>
  <c r="Y39" i="83" s="1"/>
  <c r="AC39" i="83" s="1" a="1"/>
  <c r="AC39" i="83" s="1"/>
  <c r="X29" i="83" a="1"/>
  <c r="X29" i="83" s="1"/>
  <c r="Y29" i="83" s="1" a="1"/>
  <c r="Y29" i="83" s="1"/>
  <c r="X33" i="83" a="1"/>
  <c r="X33" i="83" s="1"/>
  <c r="Y33" i="83" s="1" a="1"/>
  <c r="Y33" i="83" s="1"/>
  <c r="X30" i="83" a="1"/>
  <c r="X30" i="83" s="1"/>
  <c r="Y30" i="83" s="1" a="1"/>
  <c r="Y30" i="83" s="1"/>
  <c r="X31" i="83" a="1"/>
  <c r="X31" i="83" s="1"/>
  <c r="Y31" i="83" s="1" a="1"/>
  <c r="Y31" i="83" s="1"/>
  <c r="X28" i="83" a="1"/>
  <c r="X28" i="83" s="1"/>
  <c r="Y28" i="83" s="1" a="1"/>
  <c r="Y28" i="83" s="1"/>
  <c r="AC28" i="83" s="1" a="1"/>
  <c r="AC28" i="83" s="1"/>
  <c r="AM238" i="117" a="1"/>
  <c r="AM238" i="117" s="1"/>
  <c r="Q34" i="102" a="1"/>
  <c r="Q34" i="102" s="1"/>
  <c r="E52" i="102" s="1"/>
  <c r="V108" i="84" a="1"/>
  <c r="V108" i="84" s="1"/>
  <c r="W108" i="84" s="1" a="1"/>
  <c r="W108" i="84" s="1"/>
  <c r="V111" i="84" a="1"/>
  <c r="V111" i="84" s="1"/>
  <c r="W111" i="84" s="1" a="1"/>
  <c r="W111" i="84" s="1"/>
  <c r="AC111" i="84" s="1" a="1"/>
  <c r="AC111" i="84" s="1"/>
  <c r="V180" i="84" a="1"/>
  <c r="V180" i="84" s="1"/>
  <c r="V109" i="84" a="1"/>
  <c r="V109" i="84" s="1"/>
  <c r="W109" i="84" s="1" a="1"/>
  <c r="W109" i="84" s="1"/>
  <c r="V107" i="84" a="1"/>
  <c r="V107" i="84" s="1"/>
  <c r="W107" i="84" s="1" a="1"/>
  <c r="W107" i="84" s="1"/>
  <c r="AA107" i="84" s="1" a="1"/>
  <c r="AA107" i="84" s="1"/>
  <c r="V188" i="84" a="1"/>
  <c r="V188" i="84" s="1"/>
  <c r="V182" i="84" a="1"/>
  <c r="V182" i="84" s="1"/>
  <c r="V187" i="84" a="1"/>
  <c r="V187" i="84" s="1"/>
  <c r="V183" i="84" a="1"/>
  <c r="V183" i="84" s="1"/>
  <c r="V189" i="84" a="1"/>
  <c r="V189" i="84" s="1"/>
  <c r="V101" i="84" a="1"/>
  <c r="V101" i="84" s="1"/>
  <c r="W101" i="84" s="1" a="1"/>
  <c r="W101" i="84" s="1"/>
  <c r="V190" i="84" a="1"/>
  <c r="V190" i="84" s="1"/>
  <c r="V100" i="84" a="1"/>
  <c r="V100" i="84" s="1"/>
  <c r="W100" i="84" s="1" a="1"/>
  <c r="W100" i="84" s="1"/>
  <c r="AB100" i="84" s="1" a="1"/>
  <c r="AB100" i="84" s="1"/>
  <c r="V186" i="84" a="1"/>
  <c r="V186" i="84" s="1"/>
  <c r="V184" i="84" a="1"/>
  <c r="V184" i="84" s="1"/>
  <c r="V104" i="84" a="1"/>
  <c r="V104" i="84" s="1"/>
  <c r="W104" i="84" s="1" a="1"/>
  <c r="W104" i="84" s="1"/>
  <c r="V110" i="84" a="1"/>
  <c r="V110" i="84" s="1"/>
  <c r="W110" i="84" s="1" a="1"/>
  <c r="W110" i="84" s="1"/>
  <c r="AC110" i="84" s="1" a="1"/>
  <c r="AC110" i="84" s="1"/>
  <c r="V185" i="84" a="1"/>
  <c r="V185" i="84" s="1"/>
  <c r="V103" i="84" a="1"/>
  <c r="V103" i="84" s="1"/>
  <c r="W103" i="84" s="1" a="1"/>
  <c r="W103" i="84" s="1"/>
  <c r="V106" i="84" a="1"/>
  <c r="V106" i="84" s="1"/>
  <c r="W106" i="84" s="1" a="1"/>
  <c r="W106" i="84" s="1"/>
  <c r="V191" i="84" a="1"/>
  <c r="V191" i="84" s="1"/>
  <c r="V102" i="84" a="1"/>
  <c r="V102" i="84" s="1"/>
  <c r="W102" i="84" s="1" a="1"/>
  <c r="W102" i="84" s="1"/>
  <c r="V181" i="84" a="1"/>
  <c r="V181" i="84" s="1"/>
  <c r="V105" i="84" a="1"/>
  <c r="V105" i="84" s="1"/>
  <c r="W105" i="84" s="1" a="1"/>
  <c r="W105" i="84" s="1"/>
  <c r="AM245" i="117" a="1"/>
  <c r="AM245" i="117" s="1"/>
  <c r="AG236" i="117"/>
  <c r="AI236" i="117" s="1" a="1"/>
  <c r="AI236" i="117" s="1"/>
  <c r="AI240" i="117" a="1"/>
  <c r="AI240" i="117" s="1"/>
  <c r="AI242" i="117" a="1"/>
  <c r="AI242" i="117" s="1"/>
  <c r="AI244" i="117" a="1"/>
  <c r="AI244" i="117" s="1"/>
  <c r="AI237" i="117" a="1"/>
  <c r="AI237" i="117" s="1"/>
  <c r="AI239" i="117" a="1"/>
  <c r="AI239" i="117" s="1"/>
  <c r="AI241" i="117" a="1"/>
  <c r="AI241" i="117" s="1"/>
  <c r="AI243" i="117" a="1"/>
  <c r="AI243" i="117" s="1"/>
  <c r="AI245" i="117" a="1"/>
  <c r="AI245" i="117" s="1"/>
  <c r="AI238" i="117" a="1"/>
  <c r="AI238" i="117" s="1"/>
  <c r="G21" i="105" a="1"/>
  <c r="G21" i="105" s="1"/>
  <c r="I21" i="105" s="1" a="1"/>
  <c r="I21" i="105" s="1"/>
  <c r="H116" i="105" s="1"/>
  <c r="G116" i="105" a="1"/>
  <c r="G116" i="105" s="1"/>
  <c r="G157" i="105" a="1"/>
  <c r="G157" i="105" s="1"/>
  <c r="AM243" i="117" a="1"/>
  <c r="AM243" i="117" s="1"/>
  <c r="X235" i="83"/>
  <c r="Y276" i="83"/>
  <c r="F258" i="117" a="1"/>
  <c r="F258" i="117" s="1"/>
  <c r="AM241" i="117" a="1"/>
  <c r="AM241" i="117" s="1"/>
  <c r="E64" i="101"/>
  <c r="I69" i="105" a="1"/>
  <c r="I69" i="105" s="1"/>
  <c r="H167" i="105" s="1"/>
  <c r="I167" i="105" s="1"/>
  <c r="K167" i="105" s="1" a="1"/>
  <c r="K167" i="105" s="1"/>
  <c r="I80" i="105" a="1"/>
  <c r="I80" i="105" s="1"/>
  <c r="H178" i="105" s="1"/>
  <c r="I178" i="105" s="1"/>
  <c r="K178" i="105" s="1" a="1"/>
  <c r="K178" i="105" s="1"/>
  <c r="O26" i="102" a="1"/>
  <c r="O26" i="102" s="1"/>
  <c r="U236" i="117"/>
  <c r="W236" i="117" s="1" a="1"/>
  <c r="W236" i="117" s="1"/>
  <c r="W245" i="117" a="1"/>
  <c r="W245" i="117" s="1"/>
  <c r="W238" i="117" a="1"/>
  <c r="W238" i="117" s="1"/>
  <c r="W240" i="117" a="1"/>
  <c r="W240" i="117" s="1"/>
  <c r="W242" i="117" a="1"/>
  <c r="W242" i="117" s="1"/>
  <c r="W244" i="117" a="1"/>
  <c r="W244" i="117" s="1"/>
  <c r="W237" i="117" a="1"/>
  <c r="W237" i="117" s="1"/>
  <c r="W239" i="117" a="1"/>
  <c r="W239" i="117" s="1"/>
  <c r="W241" i="117" a="1"/>
  <c r="W241" i="117" s="1"/>
  <c r="W243" i="117" a="1"/>
  <c r="W243" i="117" s="1"/>
  <c r="F257" i="117" a="1"/>
  <c r="F257" i="117" s="1"/>
  <c r="AM239" i="117" a="1"/>
  <c r="AM239" i="117" s="1"/>
  <c r="P26" i="102" a="1"/>
  <c r="P26" i="102" s="1"/>
  <c r="AM237" i="117" a="1"/>
  <c r="AM237" i="117" s="1"/>
  <c r="Y236" i="117"/>
  <c r="AA236" i="117" s="1" a="1"/>
  <c r="AA236" i="117" s="1"/>
  <c r="AA245" i="117" a="1"/>
  <c r="AA245" i="117" s="1"/>
  <c r="AA238" i="117" a="1"/>
  <c r="AA238" i="117" s="1"/>
  <c r="AA240" i="117" a="1"/>
  <c r="AA240" i="117" s="1"/>
  <c r="AA242" i="117" a="1"/>
  <c r="AA242" i="117" s="1"/>
  <c r="AA244" i="117" a="1"/>
  <c r="AA244" i="117" s="1"/>
  <c r="AA237" i="117" a="1"/>
  <c r="AA237" i="117" s="1"/>
  <c r="AA239" i="117" a="1"/>
  <c r="AA239" i="117" s="1"/>
  <c r="AA241" i="117" a="1"/>
  <c r="AA241" i="117" s="1"/>
  <c r="AA243" i="117" a="1"/>
  <c r="AA243" i="117" s="1"/>
  <c r="O21" i="90"/>
  <c r="AM244" i="117" a="1"/>
  <c r="AM244" i="117" s="1"/>
  <c r="I125" i="117" a="1"/>
  <c r="I125" i="117" s="1"/>
  <c r="G289" i="117" a="1"/>
  <c r="G289" i="117" s="1"/>
  <c r="G293" i="117" a="1"/>
  <c r="G293" i="117" s="1"/>
  <c r="I92" i="105" a="1"/>
  <c r="I92" i="105" s="1"/>
  <c r="H190" i="105" s="1"/>
  <c r="I74" i="105" a="1"/>
  <c r="I74" i="105" s="1"/>
  <c r="H172" i="105" s="1"/>
  <c r="O27" i="102" a="1"/>
  <c r="O27" i="102" s="1"/>
  <c r="N27" i="102" a="1"/>
  <c r="N27" i="102" s="1"/>
  <c r="E43" i="102" s="1"/>
  <c r="P27" i="102" a="1"/>
  <c r="P27" i="102" s="1"/>
  <c r="AM242" i="117" a="1"/>
  <c r="AM242" i="117" s="1"/>
  <c r="G287" i="117" a="1"/>
  <c r="G287" i="117" s="1"/>
  <c r="AM236" i="117" a="1"/>
  <c r="AM236" i="117" s="1"/>
  <c r="G295" i="117" a="1"/>
  <c r="G295" i="117" s="1"/>
  <c r="Q236" i="117"/>
  <c r="S236" i="117" s="1" a="1"/>
  <c r="S236" i="117" s="1"/>
  <c r="S243" i="117" a="1"/>
  <c r="S243" i="117" s="1"/>
  <c r="S245" i="117" a="1"/>
  <c r="S245" i="117" s="1"/>
  <c r="S238" i="117" a="1"/>
  <c r="S238" i="117" s="1"/>
  <c r="S240" i="117" a="1"/>
  <c r="S240" i="117" s="1"/>
  <c r="S242" i="117" a="1"/>
  <c r="S242" i="117" s="1"/>
  <c r="S244" i="117" a="1"/>
  <c r="S244" i="117" s="1"/>
  <c r="S237" i="117" a="1"/>
  <c r="S237" i="117" s="1"/>
  <c r="S239" i="117" a="1"/>
  <c r="S239" i="117" s="1"/>
  <c r="S241" i="117" a="1"/>
  <c r="S241" i="117" s="1"/>
  <c r="AC236" i="117"/>
  <c r="AE236" i="117" s="1" a="1"/>
  <c r="AE236" i="117" s="1"/>
  <c r="AE240" i="117" a="1"/>
  <c r="AE240" i="117" s="1"/>
  <c r="AE242" i="117" a="1"/>
  <c r="AE242" i="117" s="1"/>
  <c r="AE244" i="117" a="1"/>
  <c r="AE244" i="117" s="1"/>
  <c r="AE237" i="117" a="1"/>
  <c r="AE237" i="117" s="1"/>
  <c r="AE239" i="117" a="1"/>
  <c r="AE239" i="117" s="1"/>
  <c r="AE241" i="117" a="1"/>
  <c r="AE241" i="117" s="1"/>
  <c r="AE243" i="117" a="1"/>
  <c r="AE243" i="117" s="1"/>
  <c r="AE245" i="117" a="1"/>
  <c r="AE245" i="117" s="1"/>
  <c r="AE238" i="117" a="1"/>
  <c r="AE238" i="117" s="1"/>
  <c r="I292" i="117" a="1"/>
  <c r="I292" i="117" s="1"/>
  <c r="I85" i="105" a="1"/>
  <c r="I85" i="105" s="1"/>
  <c r="H183" i="105" s="1"/>
  <c r="I67" i="105" a="1"/>
  <c r="I67" i="105" s="1"/>
  <c r="H165" i="105" s="1"/>
  <c r="I165" i="105" s="1"/>
  <c r="K165" i="105" s="1" a="1"/>
  <c r="K165" i="105" s="1"/>
  <c r="O34" i="102" a="1"/>
  <c r="O34" i="102" s="1"/>
  <c r="E50" i="102" s="1"/>
  <c r="N34" i="102" a="1"/>
  <c r="N34" i="102" s="1"/>
  <c r="E49" i="102" s="1"/>
  <c r="P34" i="102" a="1"/>
  <c r="P34" i="102" s="1"/>
  <c r="E285" i="117"/>
  <c r="F285" i="117" a="1"/>
  <c r="F285" i="117" s="1"/>
  <c r="J33" i="108"/>
  <c r="E25" i="109"/>
  <c r="T33" i="108"/>
  <c r="O25" i="109"/>
  <c r="I129" i="117" a="1"/>
  <c r="I129" i="117" s="1"/>
  <c r="E94" i="117"/>
  <c r="F40" i="13" s="1" a="1"/>
  <c r="F40" i="13" s="1"/>
  <c r="I40" i="13" s="1"/>
  <c r="E57" i="101"/>
  <c r="E56" i="101"/>
  <c r="E55" i="101"/>
  <c r="E393" i="117"/>
  <c r="E394" i="117"/>
  <c r="E331" i="117"/>
  <c r="E45" i="13" s="1" a="1"/>
  <c r="E45" i="13" s="1"/>
  <c r="H45" i="13" s="1"/>
  <c r="E456" i="117"/>
  <c r="E47" i="13" s="1" a="1"/>
  <c r="E47" i="13" s="1"/>
  <c r="H47" i="13" s="1"/>
  <c r="E474" i="117"/>
  <c r="E48" i="13" s="1" a="1"/>
  <c r="E48" i="13" s="1"/>
  <c r="H48" i="13" s="1"/>
  <c r="E475" i="117"/>
  <c r="F48" i="13" s="1" a="1"/>
  <c r="F48" i="13" s="1"/>
  <c r="I48" i="13" s="1"/>
  <c r="E457" i="117"/>
  <c r="F47" i="13" s="1" a="1"/>
  <c r="F47" i="13" s="1"/>
  <c r="I47" i="13" s="1"/>
  <c r="I126" i="117" a="1"/>
  <c r="I126" i="117" s="1"/>
  <c r="G127" i="117" a="1"/>
  <c r="G127" i="117" s="1"/>
  <c r="I127" i="117" a="1"/>
  <c r="I127" i="117" s="1"/>
  <c r="G123" i="117" a="1"/>
  <c r="G123" i="117" s="1"/>
  <c r="I123" i="117" a="1"/>
  <c r="I123" i="117" s="1"/>
  <c r="J320" i="117" a="1"/>
  <c r="J320" i="117" s="1"/>
  <c r="E332" i="117" s="1"/>
  <c r="F45" i="13" s="1" a="1"/>
  <c r="F45" i="13" s="1"/>
  <c r="I45" i="13" s="1"/>
  <c r="F252" i="117" a="1"/>
  <c r="F252" i="117" s="1"/>
  <c r="I124" i="117" a="1"/>
  <c r="I124" i="117" s="1"/>
  <c r="G124" i="117" a="1"/>
  <c r="G124" i="117" s="1"/>
  <c r="I128" i="117" a="1"/>
  <c r="I128" i="117" s="1"/>
  <c r="G128" i="117" a="1"/>
  <c r="G128" i="117" s="1"/>
  <c r="I127" i="105"/>
  <c r="K127" i="105" s="1" a="1"/>
  <c r="K127" i="105" s="1"/>
  <c r="I144" i="105"/>
  <c r="K144" i="105" s="1" a="1"/>
  <c r="K144" i="105" s="1"/>
  <c r="I138" i="105"/>
  <c r="K138" i="105" s="1" a="1"/>
  <c r="K138" i="105" s="1"/>
  <c r="E46" i="102"/>
  <c r="E44" i="101"/>
  <c r="E45" i="101"/>
  <c r="E46" i="101"/>
  <c r="E43" i="101"/>
  <c r="AD36" i="83" a="1"/>
  <c r="AD36" i="83" s="1"/>
  <c r="AC36" i="83" a="1"/>
  <c r="AC36" i="83" s="1"/>
  <c r="N30" i="83" a="1"/>
  <c r="N30" i="83" s="1"/>
  <c r="AE39" i="83" a="1"/>
  <c r="AE39" i="83" s="1"/>
  <c r="L33" i="83" a="1"/>
  <c r="L33" i="83" s="1"/>
  <c r="M31" i="83" a="1"/>
  <c r="M31" i="83" s="1"/>
  <c r="N31" i="83" a="1"/>
  <c r="N31" i="83" s="1"/>
  <c r="J26" i="88" a="1"/>
  <c r="J26" i="88" s="1"/>
  <c r="L26" i="88" a="1"/>
  <c r="L26" i="88" s="1"/>
  <c r="K26" i="88" a="1"/>
  <c r="K26" i="88" s="1"/>
  <c r="AB110" i="84" a="1"/>
  <c r="AB110" i="84" s="1"/>
  <c r="L31" i="83" a="1"/>
  <c r="L31" i="83" s="1"/>
  <c r="L30" i="83" a="1"/>
  <c r="L30" i="83" s="1"/>
  <c r="L95" i="84" a="1"/>
  <c r="L95" i="84" s="1"/>
  <c r="M33" i="83" a="1"/>
  <c r="M33" i="83" s="1"/>
  <c r="J95" i="84" a="1"/>
  <c r="J95" i="84" s="1"/>
  <c r="AD39" i="83" a="1"/>
  <c r="AD39" i="83" s="1"/>
  <c r="AC100" i="84" a="1"/>
  <c r="AC100" i="84" s="1"/>
  <c r="AA100" i="84" a="1"/>
  <c r="AA100" i="84" s="1"/>
  <c r="AA110" i="84" a="1"/>
  <c r="AA110" i="84" s="1"/>
  <c r="AB111" i="84" a="1"/>
  <c r="AB111" i="84" s="1"/>
  <c r="AC38" i="83" a="1"/>
  <c r="AC38" i="83" s="1"/>
  <c r="AD38" i="83" a="1"/>
  <c r="AD38" i="83" s="1"/>
  <c r="AE38" i="83" a="1"/>
  <c r="AE38" i="83" s="1"/>
  <c r="AC35" i="83" a="1"/>
  <c r="AC35" i="83" s="1"/>
  <c r="AD35" i="83" a="1"/>
  <c r="AD35" i="83" s="1"/>
  <c r="AE35" i="83" a="1"/>
  <c r="AE35" i="83" s="1"/>
  <c r="AB109" i="84" a="1"/>
  <c r="AB109" i="84" s="1"/>
  <c r="AA109" i="84" a="1"/>
  <c r="AA109" i="84" s="1"/>
  <c r="AC109" i="84" a="1"/>
  <c r="AC109" i="84" s="1"/>
  <c r="L98" i="84" a="1"/>
  <c r="L98" i="84" s="1"/>
  <c r="J98" i="84" a="1"/>
  <c r="J98" i="84" s="1"/>
  <c r="K98" i="84" a="1"/>
  <c r="K98" i="84" s="1"/>
  <c r="AB107" i="84" a="1"/>
  <c r="AB107" i="84" s="1"/>
  <c r="AC107" i="84" a="1"/>
  <c r="AC107" i="84" s="1"/>
  <c r="H52" i="13"/>
  <c r="D32" i="81"/>
  <c r="D40" i="81"/>
  <c r="H55" i="81"/>
  <c r="H53" i="81"/>
  <c r="E72" i="72"/>
  <c r="E71" i="72"/>
  <c r="G43" i="72"/>
  <c r="D49" i="72"/>
  <c r="D65" i="72"/>
  <c r="D68" i="72" a="1"/>
  <c r="E70" i="72" s="1"/>
  <c r="D51" i="72" a="1"/>
  <c r="D51" i="72" s="1"/>
  <c r="D55" i="72" a="1"/>
  <c r="E58" i="72"/>
  <c r="F58" i="72"/>
  <c r="E59" i="72"/>
  <c r="F59" i="72"/>
  <c r="J79" i="78"/>
  <c r="J78" i="78"/>
  <c r="J77" i="78"/>
  <c r="J76" i="78"/>
  <c r="J69" i="78"/>
  <c r="J68" i="78"/>
  <c r="J67" i="78"/>
  <c r="J66" i="78"/>
  <c r="J71" i="78" l="1"/>
  <c r="I157" i="105"/>
  <c r="K157" i="105" s="1" a="1"/>
  <c r="K157" i="105" s="1"/>
  <c r="I185" i="105"/>
  <c r="K185" i="105" s="1" a="1"/>
  <c r="K185" i="105" s="1"/>
  <c r="I116" i="105"/>
  <c r="K116" i="105" s="1" a="1"/>
  <c r="K116" i="105" s="1"/>
  <c r="E151" i="105" s="1"/>
  <c r="I179" i="105"/>
  <c r="K179" i="105" s="1" a="1"/>
  <c r="K179" i="105" s="1"/>
  <c r="E44" i="102"/>
  <c r="E51" i="102"/>
  <c r="E70" i="101"/>
  <c r="I530" i="117" s="1"/>
  <c r="E45" i="102"/>
  <c r="F239" i="117" a="1"/>
  <c r="F239" i="117" s="1"/>
  <c r="F240" i="117" a="1"/>
  <c r="F240" i="117" s="1"/>
  <c r="F237" i="117" a="1"/>
  <c r="F237" i="117" s="1"/>
  <c r="F244" i="117" a="1"/>
  <c r="F244" i="117" s="1"/>
  <c r="F236" i="117" a="1"/>
  <c r="F236" i="117" s="1"/>
  <c r="F245" i="117" a="1"/>
  <c r="F245" i="117" s="1"/>
  <c r="E34" i="117"/>
  <c r="E93" i="117" s="1"/>
  <c r="E40" i="13" s="1" a="1"/>
  <c r="E40" i="13" s="1"/>
  <c r="H40" i="13" s="1"/>
  <c r="AE28" i="83" a="1"/>
  <c r="AE28" i="83" s="1"/>
  <c r="AD28" i="83" a="1"/>
  <c r="AD28" i="83" s="1"/>
  <c r="AA111" i="84" a="1"/>
  <c r="AA111" i="84" s="1"/>
  <c r="AC37" i="83" a="1"/>
  <c r="AC37" i="83" s="1"/>
  <c r="AE37" i="83" a="1"/>
  <c r="AE37" i="83" s="1"/>
  <c r="I168" i="105"/>
  <c r="K168" i="105" s="1" a="1"/>
  <c r="K168" i="105" s="1"/>
  <c r="AB104" i="84" a="1"/>
  <c r="AB104" i="84" s="1"/>
  <c r="AC104" i="84" a="1"/>
  <c r="AC104" i="84" s="1"/>
  <c r="AA104" i="84" a="1"/>
  <c r="AA104" i="84" s="1"/>
  <c r="AC29" i="83" a="1"/>
  <c r="AC29" i="83" s="1"/>
  <c r="AD29" i="83" a="1"/>
  <c r="AD29" i="83" s="1"/>
  <c r="AE29" i="83" a="1"/>
  <c r="AE29" i="83" s="1"/>
  <c r="F241" i="117" a="1"/>
  <c r="F241" i="117" s="1"/>
  <c r="AC184" i="84" a="1"/>
  <c r="AC184" i="84" s="1"/>
  <c r="Y184" i="84" a="1"/>
  <c r="Y184" i="84" s="1"/>
  <c r="W184" i="84" a="1"/>
  <c r="W184" i="84" s="1"/>
  <c r="AB108" i="84" a="1"/>
  <c r="AB108" i="84" s="1"/>
  <c r="AA108" i="84" a="1"/>
  <c r="AA108" i="84" s="1"/>
  <c r="AC108" i="84" a="1"/>
  <c r="AC108" i="84" s="1"/>
  <c r="AC186" i="84" a="1"/>
  <c r="AC186" i="84" s="1"/>
  <c r="Y186" i="84" a="1"/>
  <c r="Y186" i="84" s="1"/>
  <c r="W186" i="84" a="1"/>
  <c r="W186" i="84" s="1"/>
  <c r="AE34" i="83" a="1"/>
  <c r="AE34" i="83" s="1"/>
  <c r="AC34" i="83" a="1"/>
  <c r="AC34" i="83" s="1"/>
  <c r="AD34" i="83" a="1"/>
  <c r="AD34" i="83" s="1"/>
  <c r="Y190" i="84" a="1"/>
  <c r="Y190" i="84" s="1"/>
  <c r="AC190" i="84" a="1"/>
  <c r="AC190" i="84" s="1"/>
  <c r="W190" i="84" a="1"/>
  <c r="W190" i="84" s="1"/>
  <c r="AC101" i="84" a="1"/>
  <c r="AC101" i="84" s="1"/>
  <c r="AB101" i="84" a="1"/>
  <c r="AB101" i="84" s="1"/>
  <c r="AA101" i="84" a="1"/>
  <c r="AA101" i="84" s="1"/>
  <c r="G285" i="117" a="1"/>
  <c r="G285" i="117" s="1"/>
  <c r="E298" i="117" s="1"/>
  <c r="E44" i="13" s="1" a="1"/>
  <c r="E44" i="13" s="1"/>
  <c r="H44" i="13" s="1"/>
  <c r="I285" i="117" a="1"/>
  <c r="I285" i="117" s="1"/>
  <c r="E299" i="117" s="1"/>
  <c r="F44" i="13" s="1" a="1"/>
  <c r="F44" i="13" s="1"/>
  <c r="I44" i="13" s="1"/>
  <c r="AB105" i="84" a="1"/>
  <c r="AB105" i="84" s="1"/>
  <c r="AC105" i="84" a="1"/>
  <c r="AC105" i="84" s="1"/>
  <c r="AA105" i="84" a="1"/>
  <c r="AA105" i="84" s="1"/>
  <c r="W189" i="84" a="1"/>
  <c r="W189" i="84" s="1"/>
  <c r="AC189" i="84" a="1"/>
  <c r="AC189" i="84" s="1"/>
  <c r="Y189" i="84" a="1"/>
  <c r="Y189" i="84" s="1"/>
  <c r="F242" i="117" a="1"/>
  <c r="F242" i="117" s="1"/>
  <c r="W181" i="84" a="1"/>
  <c r="W181" i="84" s="1"/>
  <c r="AC181" i="84" a="1"/>
  <c r="AC181" i="84" s="1"/>
  <c r="Y181" i="84" a="1"/>
  <c r="Y181" i="84" s="1"/>
  <c r="AC183" i="84" a="1"/>
  <c r="AC183" i="84" s="1"/>
  <c r="Y183" i="84" a="1"/>
  <c r="Y183" i="84" s="1"/>
  <c r="W183" i="84" a="1"/>
  <c r="W183" i="84" s="1"/>
  <c r="AC32" i="83" a="1"/>
  <c r="AC32" i="83" s="1"/>
  <c r="AE32" i="83" a="1"/>
  <c r="AE32" i="83" s="1"/>
  <c r="AD32" i="83" a="1"/>
  <c r="AD32" i="83" s="1"/>
  <c r="AC102" i="84" a="1"/>
  <c r="AC102" i="84" s="1"/>
  <c r="AB102" i="84" a="1"/>
  <c r="AB102" i="84" s="1"/>
  <c r="AA102" i="84" a="1"/>
  <c r="AA102" i="84" s="1"/>
  <c r="AC187" i="84" a="1"/>
  <c r="AC187" i="84" s="1"/>
  <c r="Y187" i="84" a="1"/>
  <c r="Y187" i="84" s="1"/>
  <c r="W187" i="84" a="1"/>
  <c r="W187" i="84" s="1"/>
  <c r="F238" i="117" a="1"/>
  <c r="F238" i="117" s="1"/>
  <c r="F243" i="117" a="1"/>
  <c r="F243" i="117" s="1"/>
  <c r="AC191" i="84" a="1"/>
  <c r="AC191" i="84" s="1"/>
  <c r="Y191" i="84" a="1"/>
  <c r="Y191" i="84" s="1"/>
  <c r="W191" i="84" a="1"/>
  <c r="W191" i="84" s="1"/>
  <c r="Y182" i="84" a="1"/>
  <c r="Y182" i="84" s="1"/>
  <c r="W182" i="84" a="1"/>
  <c r="W182" i="84" s="1"/>
  <c r="AC182" i="84" a="1"/>
  <c r="AC182" i="84" s="1"/>
  <c r="AA106" i="84" a="1"/>
  <c r="AA106" i="84" s="1"/>
  <c r="AB106" i="84" a="1"/>
  <c r="AB106" i="84" s="1"/>
  <c r="AC106" i="84" a="1"/>
  <c r="AC106" i="84" s="1"/>
  <c r="Y188" i="84" a="1"/>
  <c r="Y188" i="84" s="1"/>
  <c r="W188" i="84" a="1"/>
  <c r="W188" i="84" s="1"/>
  <c r="AC188" i="84" a="1"/>
  <c r="AC188" i="84" s="1"/>
  <c r="J81" i="78"/>
  <c r="AC103" i="84" a="1"/>
  <c r="AC103" i="84" s="1"/>
  <c r="AA103" i="84" a="1"/>
  <c r="AA103" i="84" s="1"/>
  <c r="AB103" i="84" a="1"/>
  <c r="AB103" i="84" s="1"/>
  <c r="AE31" i="83" a="1"/>
  <c r="AE31" i="83" s="1"/>
  <c r="AC31" i="83" a="1"/>
  <c r="AC31" i="83" s="1"/>
  <c r="AD31" i="83" a="1"/>
  <c r="AD31" i="83" s="1"/>
  <c r="E69" i="101"/>
  <c r="AC185" i="84" a="1"/>
  <c r="AC185" i="84" s="1"/>
  <c r="Y185" i="84" a="1"/>
  <c r="Y185" i="84" s="1"/>
  <c r="W185" i="84" a="1"/>
  <c r="W185" i="84" s="1"/>
  <c r="AE30" i="83" a="1"/>
  <c r="AE30" i="83" s="1"/>
  <c r="AD30" i="83" a="1"/>
  <c r="AD30" i="83" s="1"/>
  <c r="AC30" i="83" a="1"/>
  <c r="AC30" i="83" s="1"/>
  <c r="AC180" i="84" a="1"/>
  <c r="AC180" i="84" s="1"/>
  <c r="Y180" i="84" a="1"/>
  <c r="Y180" i="84" s="1"/>
  <c r="W180" i="84" a="1"/>
  <c r="W180" i="84" s="1"/>
  <c r="AC33" i="83" a="1"/>
  <c r="AC33" i="83" s="1"/>
  <c r="AD33" i="83" a="1"/>
  <c r="AD33" i="83" s="1"/>
  <c r="AE33" i="83" a="1"/>
  <c r="AE33" i="83" s="1"/>
  <c r="E68" i="101"/>
  <c r="E67" i="101"/>
  <c r="E131" i="117"/>
  <c r="E159" i="117" s="1"/>
  <c r="E41" i="13" s="1" a="1"/>
  <c r="E41" i="13" s="1"/>
  <c r="H41" i="13" s="1"/>
  <c r="E132" i="117"/>
  <c r="E160" i="117" s="1"/>
  <c r="F41" i="13" s="1" a="1"/>
  <c r="F41" i="13" s="1"/>
  <c r="I41" i="13" s="1"/>
  <c r="E55" i="102"/>
  <c r="E56" i="102"/>
  <c r="E58" i="102"/>
  <c r="I531" i="117" s="1"/>
  <c r="E69" i="72"/>
  <c r="E61" i="13"/>
  <c r="D68" i="72"/>
  <c r="F57" i="72"/>
  <c r="E57" i="72"/>
  <c r="D55" i="72"/>
  <c r="J8" i="78"/>
  <c r="J60" i="78"/>
  <c r="J59" i="78"/>
  <c r="J58" i="78"/>
  <c r="J57" i="78"/>
  <c r="J47" i="78"/>
  <c r="J51" i="78"/>
  <c r="J50" i="78"/>
  <c r="J49" i="78"/>
  <c r="J48" i="78"/>
  <c r="J31" i="78"/>
  <c r="J41" i="78"/>
  <c r="J40" i="78"/>
  <c r="J39" i="78"/>
  <c r="J38" i="78"/>
  <c r="J37" i="78"/>
  <c r="J36" i="78"/>
  <c r="J35" i="78"/>
  <c r="J34" i="78"/>
  <c r="J33" i="78"/>
  <c r="J32" i="78"/>
  <c r="J30" i="78"/>
  <c r="J19" i="78"/>
  <c r="J24" i="78"/>
  <c r="J23" i="78"/>
  <c r="J22" i="78"/>
  <c r="J21" i="78"/>
  <c r="J20" i="78"/>
  <c r="J9" i="78"/>
  <c r="J13" i="78"/>
  <c r="J12" i="78"/>
  <c r="J11" i="78"/>
  <c r="J1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D9" i="87"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I158" i="83" s="1"/>
  <c r="D174" i="79" a="1"/>
  <c r="D174" i="79" s="1"/>
  <c r="D173" i="79" a="1"/>
  <c r="D173" i="79" s="1"/>
  <c r="D170" i="79" a="1"/>
  <c r="D169" i="79" a="1"/>
  <c r="D169" i="79" s="1"/>
  <c r="D168" i="79" a="1"/>
  <c r="D168" i="79" s="1"/>
  <c r="D167" i="79" a="1"/>
  <c r="D167" i="79" s="1"/>
  <c r="D164" i="79" a="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J62" i="78" l="1"/>
  <c r="J53" i="78"/>
  <c r="J43" i="78"/>
  <c r="J26" i="78"/>
  <c r="J15" i="78"/>
  <c r="E192" i="105"/>
  <c r="E54" i="13" s="1" a="1"/>
  <c r="E54" i="13" s="1"/>
  <c r="F54" i="13" s="1"/>
  <c r="I54" i="13" s="1"/>
  <c r="E57" i="102"/>
  <c r="E533" i="117" a="1"/>
  <c r="E533" i="117" s="1"/>
  <c r="E51" i="13" s="1" a="1"/>
  <c r="E51" i="13" s="1"/>
  <c r="F51" i="13" s="1"/>
  <c r="I51" i="13" s="1"/>
  <c r="Q51" i="109"/>
  <c r="G51" i="109"/>
  <c r="Q38" i="85"/>
  <c r="Z279" i="83"/>
  <c r="G38" i="85"/>
  <c r="X270" i="84"/>
  <c r="Q43" i="108"/>
  <c r="G232" i="84"/>
  <c r="G43" i="108"/>
  <c r="X165" i="88"/>
  <c r="G131" i="88"/>
  <c r="G97" i="95"/>
  <c r="G53" i="92"/>
  <c r="P113" i="90"/>
  <c r="O591" i="117"/>
  <c r="G591" i="117"/>
  <c r="G83" i="90"/>
  <c r="P39" i="86"/>
  <c r="G82" i="94"/>
  <c r="G39" i="86"/>
  <c r="G247" i="83"/>
  <c r="G149" i="94"/>
  <c r="J15" i="118"/>
  <c r="E68" i="82"/>
  <c r="N96" i="82"/>
  <c r="J72" i="82"/>
  <c r="G144" i="82"/>
  <c r="J84" i="82"/>
  <c r="E73" i="82"/>
  <c r="E72" i="82"/>
  <c r="G98" i="82"/>
  <c r="I64" i="82"/>
  <c r="L63" i="82"/>
  <c r="E106" i="82"/>
  <c r="I76" i="82"/>
  <c r="G28" i="84"/>
  <c r="E93" i="82"/>
  <c r="E100" i="82"/>
  <c r="D28" i="84"/>
  <c r="K61" i="82"/>
  <c r="G117" i="82"/>
  <c r="M63" i="82"/>
  <c r="E153" i="82"/>
  <c r="E166" i="83" s="1"/>
  <c r="G106" i="82"/>
  <c r="M76" i="82"/>
  <c r="J69" i="82"/>
  <c r="M135" i="82"/>
  <c r="L127" i="82"/>
  <c r="G105" i="82"/>
  <c r="L106" i="82"/>
  <c r="E92" i="82"/>
  <c r="E75" i="82"/>
  <c r="E107" i="82"/>
  <c r="E86" i="82"/>
  <c r="H83" i="82"/>
  <c r="H72" i="82"/>
  <c r="K28" i="84"/>
  <c r="N68" i="82"/>
  <c r="L98" i="82"/>
  <c r="H137" i="82"/>
  <c r="M78" i="82"/>
  <c r="I117" i="82"/>
  <c r="L67" i="82"/>
  <c r="F96" i="82"/>
  <c r="F136" i="82"/>
  <c r="G143" i="82"/>
  <c r="F99" i="82"/>
  <c r="F139" i="82"/>
  <c r="G112" i="82"/>
  <c r="E142" i="82"/>
  <c r="F115" i="82"/>
  <c r="N144" i="82"/>
  <c r="M93" i="82"/>
  <c r="G122" i="82"/>
  <c r="N93" i="82"/>
  <c r="H122" i="82"/>
  <c r="M143" i="82"/>
  <c r="H111" i="82"/>
  <c r="E67" i="82"/>
  <c r="K95" i="82"/>
  <c r="K135" i="82"/>
  <c r="L75" i="82"/>
  <c r="N119" i="82"/>
  <c r="F75" i="82"/>
  <c r="I28" i="84"/>
  <c r="J83" i="82"/>
  <c r="G69" i="82"/>
  <c r="I74" i="82"/>
  <c r="K107" i="82"/>
  <c r="M83" i="82"/>
  <c r="K73" i="82"/>
  <c r="I61" i="82"/>
  <c r="F129" i="82"/>
  <c r="K106" i="82"/>
  <c r="F108" i="82"/>
  <c r="I105" i="82"/>
  <c r="E83" i="82"/>
  <c r="I108" i="82"/>
  <c r="G96" i="82"/>
  <c r="L84" i="82"/>
  <c r="G76" i="82"/>
  <c r="L28" i="84"/>
  <c r="H70" i="82"/>
  <c r="F100" i="82"/>
  <c r="L138" i="82"/>
  <c r="E89" i="82"/>
  <c r="M118" i="82"/>
  <c r="F69" i="82"/>
  <c r="J97" i="82"/>
  <c r="J137" i="82"/>
  <c r="K144" i="82"/>
  <c r="J100" i="82"/>
  <c r="J140" i="82"/>
  <c r="K113" i="82"/>
  <c r="I143" i="82"/>
  <c r="J116" i="82"/>
  <c r="F68" i="82"/>
  <c r="G95" i="82"/>
  <c r="M133" i="82"/>
  <c r="H95" i="82"/>
  <c r="N133" i="82"/>
  <c r="F67" i="82"/>
  <c r="L112" i="82"/>
  <c r="G67" i="82"/>
  <c r="E97" i="82"/>
  <c r="E137" i="82"/>
  <c r="F77" i="82"/>
  <c r="H121" i="82"/>
  <c r="H28" i="84"/>
  <c r="E120" i="82"/>
  <c r="E63" i="82"/>
  <c r="K72" i="82"/>
  <c r="K98" i="82"/>
  <c r="G111" i="82"/>
  <c r="G85" i="82"/>
  <c r="K77" i="82"/>
  <c r="M62" i="82"/>
  <c r="J130" i="82"/>
  <c r="E108" i="82"/>
  <c r="E119" i="82"/>
  <c r="M106" i="82"/>
  <c r="I84" i="82"/>
  <c r="M121" i="82"/>
  <c r="L105" i="82"/>
  <c r="F86" i="82"/>
  <c r="I83" i="82"/>
  <c r="M28" i="84"/>
  <c r="L71" i="82"/>
  <c r="L111" i="82"/>
  <c r="F140" i="82"/>
  <c r="I90" i="82"/>
  <c r="G120" i="82"/>
  <c r="J70" i="82"/>
  <c r="N98" i="82"/>
  <c r="N138" i="82"/>
  <c r="G89" i="82"/>
  <c r="F112" i="82"/>
  <c r="N141" i="82"/>
  <c r="E115" i="82"/>
  <c r="M144" i="82"/>
  <c r="N117" i="82"/>
  <c r="N70" i="82"/>
  <c r="K96" i="82"/>
  <c r="G135" i="82"/>
  <c r="L96" i="82"/>
  <c r="H135" i="82"/>
  <c r="J68" i="82"/>
  <c r="F114" i="82"/>
  <c r="K68" i="82"/>
  <c r="I98" i="82"/>
  <c r="I138" i="82"/>
  <c r="J78" i="82"/>
  <c r="L122" i="82"/>
  <c r="L64" i="82"/>
  <c r="H63" i="82"/>
  <c r="K78" i="82"/>
  <c r="N76" i="82"/>
  <c r="H86" i="82"/>
  <c r="N116" i="82"/>
  <c r="G97" i="82"/>
  <c r="F130" i="82"/>
  <c r="G130" i="82"/>
  <c r="J127" i="82"/>
  <c r="E129" i="82"/>
  <c r="N112" i="82"/>
  <c r="K130" i="82"/>
  <c r="L70" i="82"/>
  <c r="K64" i="82"/>
  <c r="K129" i="82"/>
  <c r="L129" i="82"/>
  <c r="M134" i="82"/>
  <c r="J28" i="84"/>
  <c r="N75" i="82"/>
  <c r="F120" i="82"/>
  <c r="K74" i="82"/>
  <c r="K121" i="82"/>
  <c r="F76" i="82"/>
  <c r="N118" i="82"/>
  <c r="I140" i="82"/>
  <c r="N114" i="82"/>
  <c r="G92" i="82"/>
  <c r="I136" i="82"/>
  <c r="L113" i="82"/>
  <c r="E71" i="82"/>
  <c r="M113" i="82"/>
  <c r="L89" i="82"/>
  <c r="L136" i="82"/>
  <c r="J75" i="82"/>
  <c r="J135" i="82"/>
  <c r="M92" i="82"/>
  <c r="G141" i="82"/>
  <c r="F97" i="82"/>
  <c r="I67" i="82"/>
  <c r="N85" i="82"/>
  <c r="I121" i="82"/>
  <c r="M122" i="82"/>
  <c r="M75" i="82"/>
  <c r="N128" i="82"/>
  <c r="I130" i="82"/>
  <c r="N136" i="82"/>
  <c r="K70" i="82"/>
  <c r="M74" i="82"/>
  <c r="M70" i="82"/>
  <c r="I133" i="82"/>
  <c r="E134" i="82"/>
  <c r="G62" i="82"/>
  <c r="E28" i="84"/>
  <c r="H77" i="82"/>
  <c r="J121" i="82"/>
  <c r="E76" i="82"/>
  <c r="G133" i="82"/>
  <c r="J77" i="82"/>
  <c r="H120" i="82"/>
  <c r="M141" i="82"/>
  <c r="K91" i="82"/>
  <c r="E61" i="82"/>
  <c r="F61" i="82"/>
  <c r="N99" i="82"/>
  <c r="H130" i="82"/>
  <c r="K111" i="82"/>
  <c r="J61" i="82"/>
  <c r="E74" i="82"/>
  <c r="G78" i="82"/>
  <c r="M85" i="82"/>
  <c r="I141" i="82"/>
  <c r="F62" i="82"/>
  <c r="K63" i="82"/>
  <c r="E171" i="83"/>
  <c r="L78" i="82"/>
  <c r="N122" i="82"/>
  <c r="I77" i="82"/>
  <c r="K134" i="82"/>
  <c r="N78" i="82"/>
  <c r="L121" i="82"/>
  <c r="N67" i="82"/>
  <c r="L117" i="82"/>
  <c r="E95" i="82"/>
  <c r="G139" i="82"/>
  <c r="L120" i="82"/>
  <c r="M73" i="82"/>
  <c r="K116" i="82"/>
  <c r="J92" i="82"/>
  <c r="J139" i="82"/>
  <c r="H91" i="82"/>
  <c r="L139" i="82"/>
  <c r="M99" i="82"/>
  <c r="E144" i="82"/>
  <c r="J111" i="82"/>
  <c r="I62" i="82"/>
  <c r="J62" i="82"/>
  <c r="E133" i="82"/>
  <c r="H61" i="82"/>
  <c r="G64" i="82"/>
  <c r="N62" i="82"/>
  <c r="F78" i="82"/>
  <c r="H84" i="82"/>
  <c r="I93" i="82"/>
  <c r="E62" i="82"/>
  <c r="J63" i="82"/>
  <c r="M67" i="82"/>
  <c r="M89" i="82"/>
  <c r="H90" i="82"/>
  <c r="F133" i="82"/>
  <c r="M91" i="82"/>
  <c r="E136" i="82"/>
  <c r="F89" i="82"/>
  <c r="H133" i="82"/>
  <c r="N74" i="82"/>
  <c r="F119" i="82"/>
  <c r="I96" i="82"/>
  <c r="K140" i="82"/>
  <c r="F122" i="82"/>
  <c r="G75" i="82"/>
  <c r="E118" i="82"/>
  <c r="F98" i="82"/>
  <c r="N140" i="82"/>
  <c r="G77" i="82"/>
  <c r="J76" i="82"/>
  <c r="N63" i="82"/>
  <c r="G61" i="82"/>
  <c r="L62" i="82"/>
  <c r="L69" i="82"/>
  <c r="H64" i="82"/>
  <c r="G84" i="82"/>
  <c r="L85" i="82"/>
  <c r="J105" i="82"/>
  <c r="I63" i="82"/>
  <c r="N64" i="82"/>
  <c r="M84" i="82"/>
  <c r="G91" i="82"/>
  <c r="L91" i="82"/>
  <c r="J134" i="82"/>
  <c r="I134" i="82"/>
  <c r="N89" i="82"/>
  <c r="H62" i="82"/>
  <c r="E113" i="82"/>
  <c r="N92" i="82"/>
  <c r="E172" i="83"/>
  <c r="G70" i="82"/>
  <c r="N143" i="82"/>
  <c r="I107" i="82"/>
  <c r="E99" i="82"/>
  <c r="L83" i="82"/>
  <c r="J73" i="82"/>
  <c r="L86" i="82"/>
  <c r="I85" i="82"/>
  <c r="F84" i="82"/>
  <c r="N127" i="82"/>
  <c r="I129" i="82"/>
  <c r="F128" i="82"/>
  <c r="G83" i="82"/>
  <c r="M105" i="82"/>
  <c r="H107" i="82"/>
  <c r="E114" i="82"/>
  <c r="F28" i="84"/>
  <c r="E140" i="82"/>
  <c r="I94" i="82"/>
  <c r="M108" i="82"/>
  <c r="F106" i="82"/>
  <c r="F85" i="82"/>
  <c r="K86" i="82"/>
  <c r="E105" i="82"/>
  <c r="M86" i="82"/>
  <c r="J85" i="82"/>
  <c r="H129" i="82"/>
  <c r="M130" i="82"/>
  <c r="J129" i="82"/>
  <c r="K84" i="82"/>
  <c r="G107" i="82"/>
  <c r="L108" i="82"/>
  <c r="I115" i="82"/>
  <c r="F113" i="82"/>
  <c r="K67" i="82"/>
  <c r="G100" i="82"/>
  <c r="I144" i="82"/>
  <c r="N111" i="82"/>
  <c r="I113" i="82"/>
  <c r="J93" i="82"/>
  <c r="L137" i="82"/>
  <c r="G119" i="82"/>
  <c r="J96" i="82"/>
  <c r="L140" i="82"/>
  <c r="E98" i="82"/>
  <c r="M140" i="82"/>
  <c r="H115" i="82"/>
  <c r="E141" i="82"/>
  <c r="H118" i="82"/>
  <c r="K75" i="82"/>
  <c r="M119" i="82"/>
  <c r="H74" i="82"/>
  <c r="F137" i="82"/>
  <c r="G137" i="82"/>
  <c r="K118" i="82"/>
  <c r="G127" i="82"/>
  <c r="J107" i="82"/>
  <c r="J86" i="82"/>
  <c r="I100" i="82"/>
  <c r="I106" i="82"/>
  <c r="F105" i="82"/>
  <c r="N86" i="82"/>
  <c r="L130" i="82"/>
  <c r="M115" i="82"/>
  <c r="N130" i="82"/>
  <c r="F107" i="82"/>
  <c r="K108" i="82"/>
  <c r="F127" i="82"/>
  <c r="M116" i="82"/>
  <c r="J114" i="82"/>
  <c r="E69" i="82"/>
  <c r="M111" i="82"/>
  <c r="G71" i="82"/>
  <c r="H113" i="82"/>
  <c r="M114" i="82"/>
  <c r="N94" i="82"/>
  <c r="H143" i="82"/>
  <c r="K120" i="82"/>
  <c r="N97" i="82"/>
  <c r="F142" i="82"/>
  <c r="I99" i="82"/>
  <c r="G142" i="82"/>
  <c r="L116" i="82"/>
  <c r="I142" i="82"/>
  <c r="L119" i="82"/>
  <c r="E77" i="82"/>
  <c r="G121" i="82"/>
  <c r="F90" i="82"/>
  <c r="J138" i="82"/>
  <c r="M142" i="82"/>
  <c r="N72" i="82"/>
  <c r="E130" i="82"/>
  <c r="H127" i="82"/>
  <c r="I127" i="82"/>
  <c r="L107" i="82"/>
  <c r="K112" i="82"/>
  <c r="N107" i="82"/>
  <c r="M127" i="82"/>
  <c r="F63" i="82"/>
  <c r="M61" i="82"/>
  <c r="K105" i="82"/>
  <c r="I122" i="82"/>
  <c r="I128" i="82"/>
  <c r="N129" i="82"/>
  <c r="F73" i="82"/>
  <c r="H117" i="82"/>
  <c r="M71" i="82"/>
  <c r="K114" i="82"/>
  <c r="H73" i="82"/>
  <c r="F116" i="82"/>
  <c r="K137" i="82"/>
  <c r="L97" i="82"/>
  <c r="I89" i="82"/>
  <c r="K133" i="82"/>
  <c r="E152" i="82"/>
  <c r="E165" i="83" s="1"/>
  <c r="L128" i="82"/>
  <c r="M128" i="82"/>
  <c r="E112" i="82"/>
  <c r="K127" i="82"/>
  <c r="G116" i="82"/>
  <c r="G129" i="82"/>
  <c r="J64" i="82"/>
  <c r="G63" i="82"/>
  <c r="G128" i="82"/>
  <c r="H128" i="82"/>
  <c r="M129" i="82"/>
  <c r="J74" i="82"/>
  <c r="L118" i="82"/>
  <c r="G73" i="82"/>
  <c r="E116" i="82"/>
  <c r="L74" i="82"/>
  <c r="J117" i="82"/>
  <c r="E139" i="82"/>
  <c r="J113" i="82"/>
  <c r="M90" i="82"/>
  <c r="E135" i="82"/>
  <c r="H112" i="82"/>
  <c r="K69" i="82"/>
  <c r="I112" i="82"/>
  <c r="F71" i="82"/>
  <c r="N120" i="82"/>
  <c r="F74" i="82"/>
  <c r="F134" i="82"/>
  <c r="I91" i="82"/>
  <c r="M139" i="82"/>
  <c r="L95" i="82"/>
  <c r="F144" i="82"/>
  <c r="H116" i="82"/>
  <c r="K93" i="82"/>
  <c r="M137" i="82"/>
  <c r="H119" i="82"/>
  <c r="I72" i="82"/>
  <c r="G115" i="82"/>
  <c r="F91" i="82"/>
  <c r="F138" i="82"/>
  <c r="H78" i="82"/>
  <c r="H138" i="82"/>
  <c r="G94" i="82"/>
  <c r="K142" i="82"/>
  <c r="J98" i="82"/>
  <c r="F83" i="82"/>
  <c r="E64" i="82"/>
  <c r="K117" i="82"/>
  <c r="F72" i="82"/>
  <c r="I95" i="82"/>
  <c r="E96" i="82"/>
  <c r="H100" i="82"/>
  <c r="J120" i="82"/>
  <c r="H92" i="82"/>
  <c r="K89" i="82"/>
  <c r="F111" i="82"/>
  <c r="J95" i="82"/>
  <c r="I111" i="82"/>
  <c r="J91" i="82"/>
  <c r="M112" i="82"/>
  <c r="L61" i="82"/>
  <c r="I137" i="82"/>
  <c r="L141" i="82"/>
  <c r="H136" i="82"/>
  <c r="L100" i="82"/>
  <c r="E111" i="82"/>
  <c r="F121" i="82"/>
  <c r="F117" i="82"/>
  <c r="N61" i="82"/>
  <c r="H97" i="82"/>
  <c r="I119" i="82"/>
  <c r="I118" i="82"/>
  <c r="N69" i="82"/>
  <c r="I69" i="82"/>
  <c r="K85" i="82"/>
  <c r="H75" i="82"/>
  <c r="J67" i="82"/>
  <c r="I97" i="82"/>
  <c r="L114" i="82"/>
  <c r="N121" i="82"/>
  <c r="L93" i="82"/>
  <c r="E91" i="82"/>
  <c r="J112" i="82"/>
  <c r="H98" i="82"/>
  <c r="H94" i="82"/>
  <c r="N95" i="82"/>
  <c r="J119" i="82"/>
  <c r="E117" i="82"/>
  <c r="I135" i="82"/>
  <c r="H106" i="82"/>
  <c r="K90" i="82"/>
  <c r="J108" i="82"/>
  <c r="F93" i="82"/>
  <c r="M98" i="82"/>
  <c r="L134" i="82"/>
  <c r="J133" i="82"/>
  <c r="F95" i="82"/>
  <c r="I92" i="82"/>
  <c r="N113" i="82"/>
  <c r="L99" i="82"/>
  <c r="G114" i="82"/>
  <c r="H114" i="82"/>
  <c r="I75" i="82"/>
  <c r="G108" i="82"/>
  <c r="M138" i="82"/>
  <c r="L144" i="82"/>
  <c r="L133" i="82"/>
  <c r="J122" i="82"/>
  <c r="J118" i="82"/>
  <c r="F64" i="82"/>
  <c r="H105" i="82"/>
  <c r="G72" i="82"/>
  <c r="J94" i="82"/>
  <c r="G113" i="82"/>
  <c r="H140" i="82"/>
  <c r="N134" i="82"/>
  <c r="H99" i="82"/>
  <c r="M100" i="82"/>
  <c r="F118" i="82"/>
  <c r="J115" i="82"/>
  <c r="K115" i="82"/>
  <c r="L115" i="82"/>
  <c r="N83" i="82"/>
  <c r="F143" i="82"/>
  <c r="H142" i="82"/>
  <c r="K128" i="82"/>
  <c r="K83" i="82"/>
  <c r="H85" i="82"/>
  <c r="M96" i="82"/>
  <c r="E85" i="82"/>
  <c r="M107" i="82"/>
  <c r="I120" i="82"/>
  <c r="E127" i="82"/>
  <c r="N115" i="82"/>
  <c r="G140" i="82"/>
  <c r="J144" i="82"/>
  <c r="M97" i="82"/>
  <c r="F135" i="82"/>
  <c r="M120" i="82"/>
  <c r="L143" i="82"/>
  <c r="F141" i="82"/>
  <c r="K122" i="82"/>
  <c r="H134" i="82"/>
  <c r="H69" i="82"/>
  <c r="N142" i="82"/>
  <c r="L142" i="82"/>
  <c r="K71" i="82"/>
  <c r="I86" i="82"/>
  <c r="L73" i="82"/>
  <c r="E128" i="82"/>
  <c r="G86" i="82"/>
  <c r="N135" i="82"/>
  <c r="K141" i="82"/>
  <c r="G136" i="82"/>
  <c r="G99" i="82"/>
  <c r="J136" i="82"/>
  <c r="K136" i="82"/>
  <c r="M136" i="82"/>
  <c r="J142" i="82"/>
  <c r="G134" i="82"/>
  <c r="L135" i="82"/>
  <c r="H139" i="82"/>
  <c r="G118" i="82"/>
  <c r="M95" i="82"/>
  <c r="N108" i="82"/>
  <c r="M77" i="82"/>
  <c r="N139" i="82"/>
  <c r="K97" i="82"/>
  <c r="J141" i="82"/>
  <c r="E143" i="82"/>
  <c r="H76" i="82"/>
  <c r="K100" i="82"/>
  <c r="N137" i="82"/>
  <c r="E138" i="82"/>
  <c r="G138" i="82"/>
  <c r="E70" i="82"/>
  <c r="I68" i="82"/>
  <c r="H141" i="82"/>
  <c r="I114" i="82"/>
  <c r="N106" i="82"/>
  <c r="N105" i="82"/>
  <c r="N71" i="82"/>
  <c r="L77" i="82"/>
  <c r="I116" i="82"/>
  <c r="I139" i="82"/>
  <c r="K139" i="82"/>
  <c r="I71" i="82"/>
  <c r="K119" i="82"/>
  <c r="E84" i="82"/>
  <c r="N84" i="82"/>
  <c r="K138" i="82"/>
  <c r="I73" i="82"/>
  <c r="J106" i="82"/>
  <c r="H108" i="82"/>
  <c r="J128" i="82"/>
  <c r="H144" i="82"/>
  <c r="J90" i="82"/>
  <c r="H89" i="82"/>
  <c r="M117" i="82"/>
  <c r="J143" i="82"/>
  <c r="K143" i="82"/>
  <c r="H71" i="82"/>
  <c r="M72" i="82"/>
  <c r="H67" i="82"/>
  <c r="L76" i="82"/>
  <c r="M69" i="82"/>
  <c r="E121" i="82"/>
  <c r="I70" i="82"/>
  <c r="N91" i="82"/>
  <c r="L90" i="82"/>
  <c r="E122" i="82"/>
  <c r="G68" i="82"/>
  <c r="H68" i="82"/>
  <c r="L72" i="82"/>
  <c r="G74" i="82"/>
  <c r="L68" i="82"/>
  <c r="G90" i="82"/>
  <c r="K99" i="82"/>
  <c r="N73" i="82"/>
  <c r="M94" i="82"/>
  <c r="K92" i="82"/>
  <c r="G93" i="82"/>
  <c r="H93" i="82"/>
  <c r="F92" i="82"/>
  <c r="J89" i="82"/>
  <c r="K76" i="82"/>
  <c r="J99" i="82"/>
  <c r="L92" i="82"/>
  <c r="I78" i="82"/>
  <c r="F70" i="82"/>
  <c r="H96" i="82"/>
  <c r="E78" i="82"/>
  <c r="M68" i="82"/>
  <c r="K62" i="82"/>
  <c r="N77" i="82"/>
  <c r="M64" i="82"/>
  <c r="E94" i="82"/>
  <c r="K94" i="82"/>
  <c r="L94" i="82"/>
  <c r="N90" i="82"/>
  <c r="F94" i="82"/>
  <c r="E90" i="82"/>
  <c r="N100" i="82"/>
  <c r="J71" i="82"/>
  <c r="D164" i="79"/>
  <c r="J15" i="109"/>
  <c r="X171" i="83"/>
  <c r="X172" i="83"/>
  <c r="D170" i="79"/>
  <c r="I33" i="86"/>
  <c r="J37" i="109"/>
  <c r="I68" i="118"/>
  <c r="H25" i="109"/>
  <c r="I14" i="86"/>
  <c r="D8" i="87"/>
  <c r="I49" i="118"/>
  <c r="I29" i="85"/>
  <c r="E68" i="72"/>
  <c r="E73" i="72" s="1"/>
  <c r="E55" i="72"/>
  <c r="F55" i="72"/>
  <c r="H48" i="79"/>
  <c r="I51" i="91" s="1"/>
  <c r="H52" i="79"/>
  <c r="E22" i="75"/>
  <c r="E19" i="75"/>
  <c r="H50" i="79"/>
  <c r="J88" i="118" s="1"/>
  <c r="H54" i="79"/>
  <c r="H49" i="79"/>
  <c r="H53" i="79"/>
  <c r="H51" i="79"/>
  <c r="E83" i="78" l="1"/>
  <c r="E603" i="117"/>
  <c r="H51" i="13"/>
  <c r="H54" i="13"/>
  <c r="S94" i="90"/>
  <c r="E115" i="83" a="1"/>
  <c r="E115" i="83" s="1"/>
  <c r="K46" i="92"/>
  <c r="E153" i="84" a="1"/>
  <c r="E153" i="84" s="1"/>
  <c r="V164" i="84" a="1"/>
  <c r="V164" i="84" s="1"/>
  <c r="J92" i="95"/>
  <c r="E74" i="118" a="1"/>
  <c r="E74" i="118" s="1"/>
  <c r="J86" i="118" s="1"/>
  <c r="E90" i="118" s="1" a="1"/>
  <c r="E90" i="118" s="1"/>
  <c r="J586" i="117" s="1"/>
  <c r="O74" i="118" a="1"/>
  <c r="O74" i="118" s="1"/>
  <c r="T86" i="118" s="1"/>
  <c r="O90" i="118" s="1" a="1"/>
  <c r="O90" i="118" s="1"/>
  <c r="R586" i="117" s="1"/>
  <c r="I25" i="109" a="1"/>
  <c r="I25" i="109" s="1"/>
  <c r="D46" i="109" s="1"/>
  <c r="E46" i="109" s="1" a="1"/>
  <c r="E46" i="109" s="1"/>
  <c r="E48" i="109" s="1"/>
  <c r="G50" i="109" s="1"/>
  <c r="E53" i="109" s="1" a="1"/>
  <c r="E53" i="109" s="1"/>
  <c r="S25" i="109" a="1"/>
  <c r="S25" i="109" s="1"/>
  <c r="N46" i="109" s="1"/>
  <c r="O46" i="109" s="1" a="1"/>
  <c r="O46" i="109" s="1"/>
  <c r="O48" i="109" s="1"/>
  <c r="Q50" i="109" s="1"/>
  <c r="O53" i="109" s="1" a="1"/>
  <c r="O53" i="109" s="1"/>
  <c r="J35" i="108"/>
  <c r="I55" i="90"/>
  <c r="I33" i="85"/>
  <c r="J54" i="94"/>
  <c r="S99" i="90"/>
  <c r="I53" i="118"/>
  <c r="I129" i="94"/>
  <c r="H226" i="84"/>
  <c r="I20" i="93"/>
  <c r="I30" i="85"/>
  <c r="E68" i="83" a="1"/>
  <c r="E68" i="83" s="1"/>
  <c r="E56" i="88" a="1"/>
  <c r="E56" i="88" s="1"/>
  <c r="E119" i="84" a="1"/>
  <c r="E119" i="84" s="1"/>
  <c r="E23" i="72"/>
  <c r="F60" i="81" s="1"/>
  <c r="E20" i="84" a="1"/>
  <c r="E52" i="83" a="1"/>
  <c r="E48" i="88" a="1"/>
  <c r="J38" i="109"/>
  <c r="I126" i="94"/>
  <c r="I50" i="118"/>
  <c r="O55" i="118" s="1" a="1"/>
  <c r="O55" i="118" s="1"/>
  <c r="R585" i="117" s="1"/>
  <c r="X115" i="83" a="1"/>
  <c r="X115" i="83" s="1"/>
  <c r="V44" i="88" a="1"/>
  <c r="X44" i="83" a="1"/>
  <c r="V20" i="84" a="1"/>
  <c r="AD42" i="84" s="1" a="1"/>
  <c r="AD42" i="84" s="1"/>
  <c r="I34" i="86"/>
  <c r="J51" i="94"/>
  <c r="V60" i="88" a="1"/>
  <c r="V60" i="88" s="1"/>
  <c r="V120" i="84" a="1"/>
  <c r="V120" i="84" s="1"/>
  <c r="X60" i="83" a="1"/>
  <c r="X60" i="83" s="1"/>
  <c r="E24" i="72"/>
  <c r="G60" i="81" s="1"/>
  <c r="I51" i="90"/>
  <c r="I16" i="77"/>
  <c r="I15" i="77"/>
  <c r="I14" i="77"/>
  <c r="I13" i="77"/>
  <c r="I12" i="77"/>
  <c r="I11" i="77"/>
  <c r="I10" i="77"/>
  <c r="I9" i="77"/>
  <c r="I8" i="77"/>
  <c r="I7" i="77"/>
  <c r="E10" i="76" a="1"/>
  <c r="E10" i="76" s="1"/>
  <c r="E9" i="76" a="1"/>
  <c r="E9" i="76" s="1"/>
  <c r="V47" i="84" l="1" a="1"/>
  <c r="V47" i="84" s="1"/>
  <c r="AA40" i="84" a="1"/>
  <c r="AA40" i="84" s="1"/>
  <c r="V44" i="84" a="1"/>
  <c r="V44" i="84" s="1"/>
  <c r="V46" i="84" a="1"/>
  <c r="V46" i="84" s="1"/>
  <c r="V40" i="84" a="1"/>
  <c r="V40" i="84" s="1"/>
  <c r="V39" i="84" a="1"/>
  <c r="V39" i="84" s="1"/>
  <c r="V42" i="84" a="1"/>
  <c r="V42" i="84" s="1"/>
  <c r="V20" i="84"/>
  <c r="V36" i="84" s="1" a="1"/>
  <c r="V36" i="84" s="1"/>
  <c r="V38" i="84" a="1"/>
  <c r="V38" i="84" s="1"/>
  <c r="Y41" i="84" a="1"/>
  <c r="Y41" i="84" s="1"/>
  <c r="V41" i="84" a="1"/>
  <c r="V41" i="84" s="1"/>
  <c r="AC43" i="84" a="1"/>
  <c r="AC43" i="84" s="1"/>
  <c r="Z37" i="84" a="1"/>
  <c r="Z37" i="84" s="1"/>
  <c r="V37" i="84" a="1"/>
  <c r="V37" i="84" s="1"/>
  <c r="V43" i="84" a="1"/>
  <c r="V43" i="84" s="1"/>
  <c r="V45" i="84" a="1"/>
  <c r="V45" i="84" s="1"/>
  <c r="W41" i="84" a="1"/>
  <c r="W41" i="84" s="1"/>
  <c r="AE47" i="84" a="1"/>
  <c r="AE47" i="84" s="1"/>
  <c r="AE46" i="84" a="1"/>
  <c r="AE46" i="84" s="1"/>
  <c r="AA37" i="84" a="1"/>
  <c r="AA37" i="84" s="1"/>
  <c r="AD47" i="84" a="1"/>
  <c r="AD47" i="84" s="1"/>
  <c r="AB39" i="84" a="1"/>
  <c r="AB39" i="84" s="1"/>
  <c r="Z39" i="84" a="1"/>
  <c r="Z39" i="84" s="1"/>
  <c r="Y47" i="84" a="1"/>
  <c r="Y47" i="84" s="1"/>
  <c r="X45" i="84" a="1"/>
  <c r="X45" i="84" s="1"/>
  <c r="AC46" i="84" a="1"/>
  <c r="AC46" i="84" s="1"/>
  <c r="AC39" i="84" a="1"/>
  <c r="AC39" i="84" s="1"/>
  <c r="AB47" i="84" a="1"/>
  <c r="AB47" i="84" s="1"/>
  <c r="AA43" i="84" a="1"/>
  <c r="AA43" i="84" s="1"/>
  <c r="AD45" i="84" a="1"/>
  <c r="AD45" i="84" s="1"/>
  <c r="W40" i="84" a="1"/>
  <c r="W40" i="84" s="1"/>
  <c r="W37" i="84" a="1"/>
  <c r="W37" i="84" s="1"/>
  <c r="Y39" i="84" a="1"/>
  <c r="Y39" i="84" s="1"/>
  <c r="X42" i="84" a="1"/>
  <c r="X42" i="84" s="1"/>
  <c r="AD43" i="84" a="1"/>
  <c r="AD43" i="84" s="1"/>
  <c r="AB44" i="84" a="1"/>
  <c r="AB44" i="84" s="1"/>
  <c r="Z42" i="84" a="1"/>
  <c r="Z42" i="84" s="1"/>
  <c r="Z38" i="84" a="1"/>
  <c r="Z38" i="84" s="1"/>
  <c r="W44" i="84" a="1"/>
  <c r="W44" i="84" s="1"/>
  <c r="AB36" i="84" a="1"/>
  <c r="AB36" i="84" s="1"/>
  <c r="Y38" i="84" a="1"/>
  <c r="Y38" i="84" s="1"/>
  <c r="AE41" i="84" a="1"/>
  <c r="AE41" i="84" s="1"/>
  <c r="X38" i="84" a="1"/>
  <c r="X38" i="84" s="1"/>
  <c r="AA38" i="84" a="1"/>
  <c r="AA38" i="84" s="1"/>
  <c r="X40" i="84" a="1"/>
  <c r="X40" i="84" s="1"/>
  <c r="AD41" i="84" a="1"/>
  <c r="AD41" i="84" s="1"/>
  <c r="Z41" i="84" a="1"/>
  <c r="Z41" i="84" s="1"/>
  <c r="Z46" i="84" a="1"/>
  <c r="Z46" i="84" s="1"/>
  <c r="AB43" i="84" a="1"/>
  <c r="AB43" i="84" s="1"/>
  <c r="W45" i="84" a="1"/>
  <c r="W45" i="84" s="1"/>
  <c r="AB42" i="84" a="1"/>
  <c r="AB42" i="84" s="1"/>
  <c r="AC47" i="84" a="1"/>
  <c r="AC47" i="84" s="1"/>
  <c r="Y45" i="84" a="1"/>
  <c r="Y45" i="84" s="1"/>
  <c r="X43" i="84" a="1"/>
  <c r="X43" i="84" s="1"/>
  <c r="W43" i="84" a="1"/>
  <c r="W43" i="84" s="1"/>
  <c r="AA45" i="84" a="1"/>
  <c r="AA45" i="84" s="1"/>
  <c r="X47" i="84" a="1"/>
  <c r="X47" i="84" s="1"/>
  <c r="X36" i="84" a="1"/>
  <c r="X36" i="84" s="1"/>
  <c r="Y36" i="84" a="1"/>
  <c r="Y36" i="84" s="1"/>
  <c r="AB38" i="84" a="1"/>
  <c r="AB38" i="84" s="1"/>
  <c r="X44" i="84" a="1"/>
  <c r="X44" i="84" s="1"/>
  <c r="AE42" i="84" a="1"/>
  <c r="AE42" i="84" s="1"/>
  <c r="AC38" i="84" a="1"/>
  <c r="AC38" i="84" s="1"/>
  <c r="W36" i="84" a="1"/>
  <c r="W36" i="84" s="1"/>
  <c r="Y42" i="84" a="1"/>
  <c r="Y42" i="84" s="1"/>
  <c r="W46" i="84" a="1"/>
  <c r="W46" i="84" s="1"/>
  <c r="X46" i="84" a="1"/>
  <c r="X46" i="84" s="1"/>
  <c r="AB46" i="84" a="1"/>
  <c r="AB46" i="84" s="1"/>
  <c r="AC42" i="84" a="1"/>
  <c r="AC42" i="84" s="1"/>
  <c r="W38" i="84" a="1"/>
  <c r="W38" i="84" s="1"/>
  <c r="X37" i="84" a="1"/>
  <c r="X37" i="84" s="1"/>
  <c r="W47" i="84" a="1"/>
  <c r="W47" i="84" s="1"/>
  <c r="AC44" i="84" a="1"/>
  <c r="AC44" i="84" s="1"/>
  <c r="W39" i="84" a="1"/>
  <c r="W39" i="84" s="1"/>
  <c r="AD46" i="84" a="1"/>
  <c r="AD46" i="84" s="1"/>
  <c r="Y46" i="84" a="1"/>
  <c r="Y46" i="84" s="1"/>
  <c r="AC40" i="84" a="1"/>
  <c r="AC40" i="84" s="1"/>
  <c r="AD40" i="84" a="1"/>
  <c r="AD40" i="84" s="1"/>
  <c r="AD44" i="84" a="1"/>
  <c r="AD44" i="84" s="1"/>
  <c r="AA46" i="84" a="1"/>
  <c r="AA46" i="84" s="1"/>
  <c r="Z36" i="84" a="1"/>
  <c r="Z36" i="84" s="1"/>
  <c r="Z47" i="84" a="1"/>
  <c r="Z47" i="84" s="1"/>
  <c r="AB41" i="84" a="1"/>
  <c r="AB41" i="84" s="1"/>
  <c r="AA41" i="84" a="1"/>
  <c r="AA41" i="84" s="1"/>
  <c r="Y43" i="84" a="1"/>
  <c r="Y43" i="84" s="1"/>
  <c r="AD36" i="84" a="1"/>
  <c r="AD36" i="84" s="1"/>
  <c r="W42" i="84" a="1"/>
  <c r="W42" i="84" s="1"/>
  <c r="AB45" i="84" a="1"/>
  <c r="AB45" i="84" s="1"/>
  <c r="Z43" i="84" a="1"/>
  <c r="Z43" i="84" s="1"/>
  <c r="AE38" i="84" a="1"/>
  <c r="AE38" i="84" s="1"/>
  <c r="AE45" i="84" a="1"/>
  <c r="AE45" i="84" s="1"/>
  <c r="AE37" i="84" a="1"/>
  <c r="AE37" i="84" s="1"/>
  <c r="AA39" i="84" a="1"/>
  <c r="AA39" i="84" s="1"/>
  <c r="Y40" i="84" a="1"/>
  <c r="Y40" i="84" s="1"/>
  <c r="AC36" i="84" a="1"/>
  <c r="AC36" i="84" s="1"/>
  <c r="AD38" i="84" a="1"/>
  <c r="AD38" i="84" s="1"/>
  <c r="AB40" i="84" a="1"/>
  <c r="AB40" i="84" s="1"/>
  <c r="Y44" i="84" a="1"/>
  <c r="Y44" i="84" s="1"/>
  <c r="X39" i="84" a="1"/>
  <c r="X39" i="84" s="1"/>
  <c r="AC41" i="84" a="1"/>
  <c r="AC41" i="84" s="1"/>
  <c r="X41" i="84" a="1"/>
  <c r="X41" i="84" s="1"/>
  <c r="Z45" i="84" a="1"/>
  <c r="Z45" i="84" s="1"/>
  <c r="AE36" i="84" a="1"/>
  <c r="AE36" i="84" s="1"/>
  <c r="AE40" i="84" a="1"/>
  <c r="AE40" i="84" s="1"/>
  <c r="AE44" i="84" a="1"/>
  <c r="AE44" i="84" s="1"/>
  <c r="AA47" i="84" a="1"/>
  <c r="AA47" i="84" s="1"/>
  <c r="AA36" i="84" a="1"/>
  <c r="AA36" i="84" s="1"/>
  <c r="AD37" i="84" a="1"/>
  <c r="AD37" i="84" s="1"/>
  <c r="Z44" i="84" a="1"/>
  <c r="Z44" i="84" s="1"/>
  <c r="AE39" i="84" a="1"/>
  <c r="AE39" i="84" s="1"/>
  <c r="AA44" i="84" a="1"/>
  <c r="AA44" i="84" s="1"/>
  <c r="AC45" i="84" a="1"/>
  <c r="AC45" i="84" s="1"/>
  <c r="AC37" i="84" a="1"/>
  <c r="AC37" i="84" s="1"/>
  <c r="AD39" i="84" a="1"/>
  <c r="AD39" i="84" s="1"/>
  <c r="Z40" i="84" a="1"/>
  <c r="Z40" i="84" s="1"/>
  <c r="AB37" i="84" a="1"/>
  <c r="AB37" i="84" s="1"/>
  <c r="AA42" i="84" a="1"/>
  <c r="AA42" i="84" s="1"/>
  <c r="Y37" i="84" a="1"/>
  <c r="Y37" i="84" s="1"/>
  <c r="AE43" i="84" a="1"/>
  <c r="AE43" i="84" s="1"/>
  <c r="Z76" i="83" a="1"/>
  <c r="Z76" i="83" s="1"/>
  <c r="Z131" i="83" s="1" a="1"/>
  <c r="Z131" i="83" s="1"/>
  <c r="AE76" i="83" a="1"/>
  <c r="AE76" i="83" s="1"/>
  <c r="AE131" i="83" s="1" a="1"/>
  <c r="AE131" i="83" s="1"/>
  <c r="AE84" i="83" a="1"/>
  <c r="AE84" i="83" s="1"/>
  <c r="AE139" i="83" s="1" a="1"/>
  <c r="AE139" i="83" s="1"/>
  <c r="Y78" i="83" a="1"/>
  <c r="Y78" i="83" s="1"/>
  <c r="Y133" i="83" s="1" a="1"/>
  <c r="Y133" i="83" s="1"/>
  <c r="Z81" i="83" a="1"/>
  <c r="Z81" i="83" s="1"/>
  <c r="Z136" i="83" s="1" a="1"/>
  <c r="Z136" i="83" s="1"/>
  <c r="AE81" i="83" a="1"/>
  <c r="AE81" i="83" s="1"/>
  <c r="AE136" i="83" s="1" a="1"/>
  <c r="AE136" i="83" s="1"/>
  <c r="AD84" i="83" a="1"/>
  <c r="AD84" i="83" s="1"/>
  <c r="AD139" i="83" s="1" a="1"/>
  <c r="AD139" i="83" s="1"/>
  <c r="Y83" i="83" a="1"/>
  <c r="Y83" i="83" s="1"/>
  <c r="Y138" i="83" s="1" a="1"/>
  <c r="Y138" i="83" s="1"/>
  <c r="AD86" i="83" a="1"/>
  <c r="AD86" i="83" s="1"/>
  <c r="AD141" i="83" s="1" a="1"/>
  <c r="AD141" i="83" s="1"/>
  <c r="AG80" i="83" a="1"/>
  <c r="AG80" i="83" s="1"/>
  <c r="AG135" i="83" s="1" a="1"/>
  <c r="AG135" i="83" s="1"/>
  <c r="AD82" i="83" a="1"/>
  <c r="AD82" i="83" s="1"/>
  <c r="AD137" i="83" s="1" a="1"/>
  <c r="AD137" i="83" s="1"/>
  <c r="X83" i="83" a="1"/>
  <c r="X83" i="83" s="1"/>
  <c r="X138" i="83" s="1" a="1"/>
  <c r="X138" i="83" s="1"/>
  <c r="AE87" i="83" a="1"/>
  <c r="AE87" i="83" s="1"/>
  <c r="AE142" i="83" s="1" a="1"/>
  <c r="AE142" i="83" s="1"/>
  <c r="X79" i="83" a="1"/>
  <c r="X79" i="83" s="1"/>
  <c r="X134" i="83" s="1" a="1"/>
  <c r="X134" i="83" s="1"/>
  <c r="AD77" i="83" a="1"/>
  <c r="AD77" i="83" s="1"/>
  <c r="AD132" i="83" s="1" a="1"/>
  <c r="AD132" i="83" s="1"/>
  <c r="Z80" i="83" a="1"/>
  <c r="Z80" i="83" s="1"/>
  <c r="Z135" i="83" s="1" a="1"/>
  <c r="Z135" i="83" s="1"/>
  <c r="AD80" i="83" a="1"/>
  <c r="AD80" i="83" s="1"/>
  <c r="AD135" i="83" s="1" a="1"/>
  <c r="AD135" i="83" s="1"/>
  <c r="Z85" i="83" a="1"/>
  <c r="Z85" i="83" s="1"/>
  <c r="Z140" i="83" s="1" a="1"/>
  <c r="Z140" i="83" s="1"/>
  <c r="AG85" i="83" a="1"/>
  <c r="AG85" i="83" s="1"/>
  <c r="AG140" i="83" s="1" a="1"/>
  <c r="AG140" i="83" s="1"/>
  <c r="Y87" i="83" a="1"/>
  <c r="Y87" i="83" s="1"/>
  <c r="Y142" i="83" s="1" a="1"/>
  <c r="Y142" i="83" s="1"/>
  <c r="AD76" i="83" a="1"/>
  <c r="AD76" i="83" s="1"/>
  <c r="AD131" i="83" s="1" a="1"/>
  <c r="AD131" i="83" s="1"/>
  <c r="AF78" i="83" a="1"/>
  <c r="AF78" i="83" s="1"/>
  <c r="AF133" i="83" s="1" a="1"/>
  <c r="AF133" i="83" s="1"/>
  <c r="AG78" i="83" a="1"/>
  <c r="AG78" i="83" s="1"/>
  <c r="AG133" i="83" s="1" a="1"/>
  <c r="AG133" i="83" s="1"/>
  <c r="AG79" i="83" a="1"/>
  <c r="AG79" i="83" s="1"/>
  <c r="AG134" i="83" s="1" a="1"/>
  <c r="AG134" i="83" s="1"/>
  <c r="AG84" i="83" a="1"/>
  <c r="AG84" i="83" s="1"/>
  <c r="AG139" i="83" s="1" a="1"/>
  <c r="AG139" i="83" s="1"/>
  <c r="AF85" i="83" a="1"/>
  <c r="AF85" i="83" s="1"/>
  <c r="AF140" i="83" s="1" a="1"/>
  <c r="AF140" i="83" s="1"/>
  <c r="Z78" i="83" a="1"/>
  <c r="Z78" i="83" s="1"/>
  <c r="Z133" i="83" s="1" a="1"/>
  <c r="Z133" i="83" s="1"/>
  <c r="X78" i="83" a="1"/>
  <c r="X78" i="83" s="1"/>
  <c r="X133" i="83" s="1" a="1"/>
  <c r="X133" i="83" s="1"/>
  <c r="X82" i="83" a="1"/>
  <c r="X82" i="83" s="1"/>
  <c r="X137" i="83" s="1" a="1"/>
  <c r="X137" i="83" s="1"/>
  <c r="AE82" i="83" a="1"/>
  <c r="AE82" i="83" s="1"/>
  <c r="AE137" i="83" s="1" a="1"/>
  <c r="AE137" i="83" s="1"/>
  <c r="AG83" i="83" a="1"/>
  <c r="AG83" i="83" s="1"/>
  <c r="AG138" i="83" s="1" a="1"/>
  <c r="AG138" i="83" s="1"/>
  <c r="AF76" i="83" a="1"/>
  <c r="AF76" i="83" s="1"/>
  <c r="AF131" i="83" s="1" a="1"/>
  <c r="AF131" i="83" s="1"/>
  <c r="Y80" i="83" a="1"/>
  <c r="Y80" i="83" s="1"/>
  <c r="Y135" i="83" s="1" a="1"/>
  <c r="Y135" i="83" s="1"/>
  <c r="AG76" i="83" a="1"/>
  <c r="AG76" i="83" s="1"/>
  <c r="AG131" i="83" s="1" a="1"/>
  <c r="AG131" i="83" s="1"/>
  <c r="AG77" i="83" a="1"/>
  <c r="AG77" i="83" s="1"/>
  <c r="AG132" i="83" s="1" a="1"/>
  <c r="AG132" i="83" s="1"/>
  <c r="AF83" i="83" a="1"/>
  <c r="AF83" i="83" s="1"/>
  <c r="AF138" i="83" s="1" a="1"/>
  <c r="AF138" i="83" s="1"/>
  <c r="Y86" i="83" a="1"/>
  <c r="Y86" i="83" s="1"/>
  <c r="Y141" i="83" s="1" a="1"/>
  <c r="Y141" i="83" s="1"/>
  <c r="AG82" i="83" a="1"/>
  <c r="AG82" i="83" s="1"/>
  <c r="AG137" i="83" s="1" a="1"/>
  <c r="AG137" i="83" s="1"/>
  <c r="AG87" i="83" a="1"/>
  <c r="AG87" i="83" s="1"/>
  <c r="AG142" i="83" s="1" a="1"/>
  <c r="AG142" i="83" s="1"/>
  <c r="AF80" i="83" a="1"/>
  <c r="AF80" i="83" s="1"/>
  <c r="AF135" i="83" s="1" a="1"/>
  <c r="AF135" i="83" s="1"/>
  <c r="AE86" i="83" a="1"/>
  <c r="AE86" i="83" s="1"/>
  <c r="AE141" i="83" s="1" a="1"/>
  <c r="AE141" i="83" s="1"/>
  <c r="AG86" i="83" a="1"/>
  <c r="AG86" i="83" s="1"/>
  <c r="AG141" i="83" s="1" a="1"/>
  <c r="AG141" i="83" s="1"/>
  <c r="AF87" i="83" a="1"/>
  <c r="AF87" i="83" s="1"/>
  <c r="AF142" i="83" s="1" a="1"/>
  <c r="AF142" i="83" s="1"/>
  <c r="AA80" i="83" a="1"/>
  <c r="AA80" i="83" s="1"/>
  <c r="AA135" i="83" s="1" a="1"/>
  <c r="AA135" i="83" s="1"/>
  <c r="X87" i="83" a="1"/>
  <c r="X87" i="83" s="1"/>
  <c r="X142" i="83" s="1" a="1"/>
  <c r="X142" i="83" s="1"/>
  <c r="X77" i="83" a="1"/>
  <c r="X77" i="83" s="1"/>
  <c r="X132" i="83" s="1" a="1"/>
  <c r="X132" i="83" s="1"/>
  <c r="AD78" i="83" a="1"/>
  <c r="AD78" i="83" s="1"/>
  <c r="AD133" i="83" s="1" a="1"/>
  <c r="AD133" i="83" s="1"/>
  <c r="Z82" i="83" a="1"/>
  <c r="Z82" i="83" s="1"/>
  <c r="Z137" i="83" s="1" a="1"/>
  <c r="Z137" i="83" s="1"/>
  <c r="Y77" i="83" a="1"/>
  <c r="Y77" i="83" s="1"/>
  <c r="Y132" i="83" s="1" a="1"/>
  <c r="Y132" i="83" s="1"/>
  <c r="AF81" i="83" a="1"/>
  <c r="AF81" i="83" s="1"/>
  <c r="AF136" i="83" s="1" a="1"/>
  <c r="AF136" i="83" s="1"/>
  <c r="Z79" i="83" a="1"/>
  <c r="Z79" i="83" s="1"/>
  <c r="Z134" i="83" s="1" a="1"/>
  <c r="Z134" i="83" s="1"/>
  <c r="Y76" i="83" a="1"/>
  <c r="Y76" i="83" s="1"/>
  <c r="Y131" i="83" s="1" a="1"/>
  <c r="Y131" i="83" s="1"/>
  <c r="Z83" i="83" a="1"/>
  <c r="Z83" i="83" s="1"/>
  <c r="Z138" i="83" s="1" a="1"/>
  <c r="Z138" i="83" s="1"/>
  <c r="AE85" i="83" a="1"/>
  <c r="AE85" i="83" s="1"/>
  <c r="AE140" i="83" s="1" a="1"/>
  <c r="AE140" i="83" s="1"/>
  <c r="Z87" i="83" a="1"/>
  <c r="Z87" i="83" s="1"/>
  <c r="Z142" i="83" s="1" a="1"/>
  <c r="Z142" i="83" s="1"/>
  <c r="AG81" i="83" a="1"/>
  <c r="AG81" i="83" s="1"/>
  <c r="AG136" i="83" s="1" a="1"/>
  <c r="AG136" i="83" s="1"/>
  <c r="AE80" i="83" a="1"/>
  <c r="AE80" i="83" s="1"/>
  <c r="AE135" i="83" s="1" a="1"/>
  <c r="AE135" i="83" s="1"/>
  <c r="Y85" i="83" a="1"/>
  <c r="Y85" i="83" s="1"/>
  <c r="Y140" i="83" s="1" a="1"/>
  <c r="Y140" i="83" s="1"/>
  <c r="AF82" i="83" a="1"/>
  <c r="AF82" i="83" s="1"/>
  <c r="AF137" i="83" s="1" a="1"/>
  <c r="AF137" i="83" s="1"/>
  <c r="AF77" i="83" a="1"/>
  <c r="AF77" i="83" s="1"/>
  <c r="AF132" i="83" s="1" a="1"/>
  <c r="AF132" i="83" s="1"/>
  <c r="Z77" i="83" a="1"/>
  <c r="Z77" i="83" s="1"/>
  <c r="Z132" i="83" s="1" a="1"/>
  <c r="Z132" i="83" s="1"/>
  <c r="Z84" i="83" a="1"/>
  <c r="Z84" i="83" s="1"/>
  <c r="Z139" i="83" s="1" a="1"/>
  <c r="Z139" i="83" s="1"/>
  <c r="X85" i="83" a="1"/>
  <c r="X85" i="83" s="1"/>
  <c r="X140" i="83" s="1" a="1"/>
  <c r="X140" i="83" s="1"/>
  <c r="AF84" i="83" a="1"/>
  <c r="AF84" i="83" s="1"/>
  <c r="AF139" i="83" s="1" a="1"/>
  <c r="AF139" i="83" s="1"/>
  <c r="X80" i="83" a="1"/>
  <c r="X80" i="83" s="1"/>
  <c r="X135" i="83" s="1" a="1"/>
  <c r="X135" i="83" s="1"/>
  <c r="X44" i="83"/>
  <c r="X76" i="83" s="1" a="1"/>
  <c r="X76" i="83" s="1"/>
  <c r="X131" i="83" s="1" a="1"/>
  <c r="X131" i="83" s="1"/>
  <c r="X81" i="83" a="1"/>
  <c r="X81" i="83" s="1"/>
  <c r="X136" i="83" s="1" a="1"/>
  <c r="X136" i="83" s="1"/>
  <c r="Y81" i="83" a="1"/>
  <c r="Y81" i="83" s="1"/>
  <c r="Y136" i="83" s="1" a="1"/>
  <c r="Y136" i="83" s="1"/>
  <c r="AF79" i="83" a="1"/>
  <c r="AF79" i="83" s="1"/>
  <c r="AF134" i="83" s="1" a="1"/>
  <c r="AF134" i="83" s="1"/>
  <c r="AD87" i="83" a="1"/>
  <c r="AD87" i="83" s="1"/>
  <c r="AD142" i="83" s="1" a="1"/>
  <c r="AD142" i="83" s="1"/>
  <c r="X84" i="83" a="1"/>
  <c r="X84" i="83" s="1"/>
  <c r="X139" i="83" s="1" a="1"/>
  <c r="X139" i="83" s="1"/>
  <c r="X86" i="83" a="1"/>
  <c r="X86" i="83" s="1"/>
  <c r="X141" i="83" s="1" a="1"/>
  <c r="X141" i="83" s="1"/>
  <c r="Y82" i="83" a="1"/>
  <c r="Y82" i="83" s="1"/>
  <c r="Y137" i="83" s="1" a="1"/>
  <c r="Y137" i="83" s="1"/>
  <c r="AE77" i="83" a="1"/>
  <c r="AE77" i="83" s="1"/>
  <c r="AE132" i="83" s="1" a="1"/>
  <c r="AE132" i="83" s="1"/>
  <c r="AD79" i="83" a="1"/>
  <c r="AD79" i="83" s="1"/>
  <c r="AD134" i="83" s="1" a="1"/>
  <c r="AD134" i="83" s="1"/>
  <c r="AD85" i="83" a="1"/>
  <c r="AD85" i="83" s="1"/>
  <c r="AD140" i="83" s="1" a="1"/>
  <c r="AD140" i="83" s="1"/>
  <c r="AD83" i="83" a="1"/>
  <c r="AD83" i="83" s="1"/>
  <c r="AD138" i="83" s="1" a="1"/>
  <c r="AD138" i="83" s="1"/>
  <c r="AE83" i="83" a="1"/>
  <c r="AE83" i="83" s="1"/>
  <c r="AE138" i="83" s="1" a="1"/>
  <c r="AE138" i="83" s="1"/>
  <c r="AE79" i="83" a="1"/>
  <c r="AE79" i="83" s="1"/>
  <c r="AE134" i="83" s="1" a="1"/>
  <c r="AE134" i="83" s="1"/>
  <c r="Z86" i="83" a="1"/>
  <c r="Z86" i="83" s="1"/>
  <c r="Z141" i="83" s="1" a="1"/>
  <c r="Z141" i="83" s="1"/>
  <c r="AF86" i="83" a="1"/>
  <c r="AF86" i="83" s="1"/>
  <c r="AF141" i="83" s="1" a="1"/>
  <c r="AF141" i="83" s="1"/>
  <c r="AD81" i="83" a="1"/>
  <c r="AD81" i="83" s="1"/>
  <c r="AD136" i="83" s="1" a="1"/>
  <c r="AD136" i="83" s="1"/>
  <c r="Y84" i="83" a="1"/>
  <c r="Y84" i="83" s="1"/>
  <c r="Y139" i="83" s="1" a="1"/>
  <c r="Y139" i="83" s="1"/>
  <c r="AE78" i="83" a="1"/>
  <c r="AE78" i="83" s="1"/>
  <c r="AE133" i="83" s="1" a="1"/>
  <c r="AE133" i="83" s="1"/>
  <c r="Y79" i="83" a="1"/>
  <c r="Y79" i="83" s="1"/>
  <c r="Y134" i="83" s="1" a="1"/>
  <c r="Y134" i="83" s="1"/>
  <c r="AB84" i="83" a="1"/>
  <c r="AB84" i="83" s="1"/>
  <c r="AB139" i="83" s="1" a="1"/>
  <c r="AB139" i="83" s="1"/>
  <c r="AC76" i="83" a="1"/>
  <c r="AC76" i="83" s="1"/>
  <c r="AC131" i="83" s="1" a="1"/>
  <c r="AC131" i="83" s="1"/>
  <c r="AB87" i="83" a="1"/>
  <c r="AB87" i="83" s="1"/>
  <c r="AB142" i="83" s="1" a="1"/>
  <c r="AB142" i="83" s="1"/>
  <c r="AB83" i="83" a="1"/>
  <c r="AB83" i="83" s="1"/>
  <c r="AB138" i="83" s="1" a="1"/>
  <c r="AB138" i="83" s="1"/>
  <c r="AA84" i="83" a="1"/>
  <c r="AA84" i="83" s="1"/>
  <c r="AA139" i="83" s="1" a="1"/>
  <c r="AA139" i="83" s="1"/>
  <c r="AC86" i="83" a="1"/>
  <c r="AC86" i="83" s="1"/>
  <c r="AC141" i="83" s="1" a="1"/>
  <c r="AC141" i="83" s="1"/>
  <c r="AA87" i="83" a="1"/>
  <c r="AA87" i="83" s="1"/>
  <c r="AA142" i="83" s="1" a="1"/>
  <c r="AA142" i="83" s="1"/>
  <c r="AB86" i="83" a="1"/>
  <c r="AB86" i="83" s="1"/>
  <c r="AB141" i="83" s="1" a="1"/>
  <c r="AB141" i="83" s="1"/>
  <c r="AA85" i="83" a="1"/>
  <c r="AA85" i="83" s="1"/>
  <c r="AA140" i="83" s="1" a="1"/>
  <c r="AA140" i="83" s="1"/>
  <c r="AA86" i="83" a="1"/>
  <c r="AA86" i="83" s="1"/>
  <c r="AA141" i="83" s="1" a="1"/>
  <c r="AA141" i="83" s="1"/>
  <c r="AC87" i="83" a="1"/>
  <c r="AC87" i="83" s="1"/>
  <c r="AC142" i="83" s="1" a="1"/>
  <c r="AC142" i="83" s="1"/>
  <c r="AC84" i="83" a="1"/>
  <c r="AC84" i="83" s="1"/>
  <c r="AC139" i="83" s="1" a="1"/>
  <c r="AC139" i="83" s="1"/>
  <c r="AC85" i="83" a="1"/>
  <c r="AC85" i="83" s="1"/>
  <c r="AC140" i="83" s="1" a="1"/>
  <c r="AC140" i="83" s="1"/>
  <c r="AC83" i="83" a="1"/>
  <c r="AC83" i="83" s="1"/>
  <c r="AC138" i="83" s="1" a="1"/>
  <c r="AC138" i="83" s="1"/>
  <c r="AA76" i="83" a="1"/>
  <c r="AA76" i="83" s="1"/>
  <c r="AA131" i="83" s="1" a="1"/>
  <c r="AA131" i="83" s="1"/>
  <c r="AA83" i="83" a="1"/>
  <c r="AA83" i="83" s="1"/>
  <c r="AA138" i="83" s="1" a="1"/>
  <c r="AA138" i="83" s="1"/>
  <c r="AB76" i="83" a="1"/>
  <c r="AB76" i="83" s="1"/>
  <c r="AB131" i="83" s="1" a="1"/>
  <c r="AB131" i="83" s="1"/>
  <c r="AB85" i="83" a="1"/>
  <c r="AB85" i="83" s="1"/>
  <c r="AB140" i="83" s="1" a="1"/>
  <c r="AB140" i="83" s="1"/>
  <c r="AC81" i="83" a="1"/>
  <c r="AC81" i="83" s="1"/>
  <c r="AC136" i="83" s="1" a="1"/>
  <c r="AC136" i="83" s="1"/>
  <c r="AB80" i="83" a="1"/>
  <c r="AB80" i="83" s="1"/>
  <c r="AB135" i="83" s="1" a="1"/>
  <c r="AB135" i="83" s="1"/>
  <c r="AB82" i="83" a="1"/>
  <c r="AB82" i="83" s="1"/>
  <c r="AB137" i="83" s="1" a="1"/>
  <c r="AB137" i="83" s="1"/>
  <c r="AB81" i="83" a="1"/>
  <c r="AB81" i="83" s="1"/>
  <c r="AB136" i="83" s="1" a="1"/>
  <c r="AB136" i="83" s="1"/>
  <c r="AB79" i="83" a="1"/>
  <c r="AB79" i="83" s="1"/>
  <c r="AB134" i="83" s="1" a="1"/>
  <c r="AB134" i="83" s="1"/>
  <c r="AC80" i="83" a="1"/>
  <c r="AC80" i="83" s="1"/>
  <c r="AC135" i="83" s="1" a="1"/>
  <c r="AC135" i="83" s="1"/>
  <c r="AA82" i="83" a="1"/>
  <c r="AA82" i="83" s="1"/>
  <c r="AA137" i="83" s="1" a="1"/>
  <c r="AA137" i="83" s="1"/>
  <c r="AA79" i="83" a="1"/>
  <c r="AA79" i="83" s="1"/>
  <c r="AA134" i="83" s="1" a="1"/>
  <c r="AA134" i="83" s="1"/>
  <c r="AA81" i="83" a="1"/>
  <c r="AA81" i="83" s="1"/>
  <c r="AA136" i="83" s="1" a="1"/>
  <c r="AA136" i="83" s="1"/>
  <c r="AC77" i="83" a="1"/>
  <c r="AC77" i="83" s="1"/>
  <c r="AC132" i="83" s="1" a="1"/>
  <c r="AC132" i="83" s="1"/>
  <c r="AB78" i="83" a="1"/>
  <c r="AB78" i="83" s="1"/>
  <c r="AB133" i="83" s="1" a="1"/>
  <c r="AB133" i="83" s="1"/>
  <c r="AC82" i="83" a="1"/>
  <c r="AC82" i="83" s="1"/>
  <c r="AC137" i="83" s="1" a="1"/>
  <c r="AC137" i="83" s="1"/>
  <c r="AC79" i="83" a="1"/>
  <c r="AC79" i="83" s="1"/>
  <c r="AC134" i="83" s="1" a="1"/>
  <c r="AC134" i="83" s="1"/>
  <c r="AA78" i="83" a="1"/>
  <c r="AA78" i="83" s="1"/>
  <c r="AA133" i="83" s="1" a="1"/>
  <c r="AA133" i="83" s="1"/>
  <c r="AB77" i="83" a="1"/>
  <c r="AB77" i="83" s="1"/>
  <c r="AB132" i="83" s="1" a="1"/>
  <c r="AB132" i="83" s="1"/>
  <c r="AC78" i="83" a="1"/>
  <c r="AC78" i="83" s="1"/>
  <c r="AC133" i="83" s="1" a="1"/>
  <c r="AC133" i="83" s="1"/>
  <c r="AA77" i="83" a="1"/>
  <c r="AA77" i="83" s="1"/>
  <c r="AA132" i="83" s="1" a="1"/>
  <c r="AA132" i="83" s="1"/>
  <c r="H28" i="93" a="1"/>
  <c r="H28" i="93" s="1"/>
  <c r="H29" i="93" a="1"/>
  <c r="H29" i="93" s="1"/>
  <c r="E34" i="84" a="1"/>
  <c r="E34" i="84" s="1"/>
  <c r="F35" i="84" a="1"/>
  <c r="F35" i="84" s="1"/>
  <c r="E35" i="84" a="1"/>
  <c r="E35" i="84" s="1"/>
  <c r="E36" i="84" a="1"/>
  <c r="E36" i="84" s="1"/>
  <c r="G35" i="84" a="1"/>
  <c r="G35" i="84" s="1"/>
  <c r="N35" i="84" a="1"/>
  <c r="N35" i="84" s="1"/>
  <c r="K34" i="84" a="1"/>
  <c r="K34" i="84" s="1"/>
  <c r="E20" i="84"/>
  <c r="E33" i="84" s="1" a="1"/>
  <c r="E33" i="84" s="1"/>
  <c r="H33" i="84" a="1"/>
  <c r="H33" i="84" s="1"/>
  <c r="M33" i="84" a="1"/>
  <c r="M33" i="84" s="1"/>
  <c r="G34" i="84" a="1"/>
  <c r="G34" i="84" s="1"/>
  <c r="J35" i="84" a="1"/>
  <c r="J35" i="84" s="1"/>
  <c r="K36" i="84" a="1"/>
  <c r="K36" i="84" s="1"/>
  <c r="I33" i="84" a="1"/>
  <c r="I33" i="84" s="1"/>
  <c r="M36" i="84" a="1"/>
  <c r="M36" i="84" s="1"/>
  <c r="J34" i="84" a="1"/>
  <c r="J34" i="84" s="1"/>
  <c r="M35" i="84" a="1"/>
  <c r="M35" i="84" s="1"/>
  <c r="I35" i="84" a="1"/>
  <c r="I35" i="84" s="1"/>
  <c r="F36" i="84" a="1"/>
  <c r="F36" i="84" s="1"/>
  <c r="K35" i="84" a="1"/>
  <c r="K35" i="84" s="1"/>
  <c r="G36" i="84" a="1"/>
  <c r="G36" i="84" s="1"/>
  <c r="J36" i="84" a="1"/>
  <c r="J36" i="84" s="1"/>
  <c r="L35" i="84" a="1"/>
  <c r="L35" i="84" s="1"/>
  <c r="G33" i="84" a="1"/>
  <c r="G33" i="84" s="1"/>
  <c r="M34" i="84" a="1"/>
  <c r="M34" i="84" s="1"/>
  <c r="F33" i="84" a="1"/>
  <c r="F33" i="84" s="1"/>
  <c r="N36" i="84" a="1"/>
  <c r="N36" i="84" s="1"/>
  <c r="N34" i="84" a="1"/>
  <c r="N34" i="84" s="1"/>
  <c r="L36" i="84" a="1"/>
  <c r="L36" i="84" s="1"/>
  <c r="H34" i="84" a="1"/>
  <c r="H34" i="84" s="1"/>
  <c r="I36" i="84" a="1"/>
  <c r="I36" i="84" s="1"/>
  <c r="J33" i="84" a="1"/>
  <c r="J33" i="84" s="1"/>
  <c r="H35" i="84" a="1"/>
  <c r="H35" i="84" s="1"/>
  <c r="K33" i="84" a="1"/>
  <c r="K33" i="84" s="1"/>
  <c r="L34" i="84" a="1"/>
  <c r="L34" i="84" s="1"/>
  <c r="F34" i="84" a="1"/>
  <c r="F34" i="84" s="1"/>
  <c r="I34" i="84" a="1"/>
  <c r="I34" i="84" s="1"/>
  <c r="H36" i="84" a="1"/>
  <c r="H36" i="84" s="1"/>
  <c r="N33" i="84" a="1"/>
  <c r="N33" i="84" s="1"/>
  <c r="L33" i="84" a="1"/>
  <c r="L33" i="84" s="1"/>
  <c r="W82" i="88" a="1"/>
  <c r="W82" i="88" s="1"/>
  <c r="W103" i="88" s="1" a="1"/>
  <c r="W103" i="88" s="1"/>
  <c r="W155" i="88" s="1" a="1"/>
  <c r="W155" i="88" s="1"/>
  <c r="X79" i="88" a="1"/>
  <c r="X79" i="88" s="1"/>
  <c r="X100" i="88" s="1" a="1"/>
  <c r="X100" i="88" s="1"/>
  <c r="X152" i="88" s="1" a="1"/>
  <c r="X152" i="88" s="1"/>
  <c r="AC86" i="88" a="1"/>
  <c r="AC86" i="88" s="1"/>
  <c r="AC107" i="88" s="1" a="1"/>
  <c r="AC107" i="88" s="1"/>
  <c r="AC159" i="88" s="1" a="1"/>
  <c r="AC159" i="88" s="1"/>
  <c r="AC82" i="88" a="1"/>
  <c r="AC82" i="88" s="1"/>
  <c r="AC103" i="88" s="1" a="1"/>
  <c r="AC103" i="88" s="1"/>
  <c r="AC155" i="88" s="1" a="1"/>
  <c r="AC155" i="88" s="1"/>
  <c r="W83" i="88" a="1"/>
  <c r="W83" i="88" s="1"/>
  <c r="W104" i="88" s="1" a="1"/>
  <c r="W104" i="88" s="1"/>
  <c r="W156" i="88" s="1" a="1"/>
  <c r="W156" i="88" s="1"/>
  <c r="AB82" i="88" a="1"/>
  <c r="AB82" i="88" s="1"/>
  <c r="AB103" i="88" s="1" a="1"/>
  <c r="AB103" i="88" s="1"/>
  <c r="AB155" i="88" s="1" a="1"/>
  <c r="AB155" i="88" s="1"/>
  <c r="AE84" i="88" a="1"/>
  <c r="AE84" i="88" s="1"/>
  <c r="AE105" i="88" s="1" a="1"/>
  <c r="AE105" i="88" s="1"/>
  <c r="AE157" i="88" s="1" a="1"/>
  <c r="AE157" i="88" s="1"/>
  <c r="X78" i="88" a="1"/>
  <c r="X78" i="88" s="1"/>
  <c r="X99" i="88" s="1" a="1"/>
  <c r="X99" i="88" s="1"/>
  <c r="X151" i="88" s="1" a="1"/>
  <c r="X151" i="88" s="1"/>
  <c r="AD86" i="88" a="1"/>
  <c r="AD86" i="88" s="1"/>
  <c r="AD107" i="88" s="1" a="1"/>
  <c r="AD107" i="88" s="1"/>
  <c r="AD159" i="88" s="1" a="1"/>
  <c r="AD159" i="88" s="1"/>
  <c r="AE82" i="88" a="1"/>
  <c r="AE82" i="88" s="1"/>
  <c r="AE103" i="88" s="1" a="1"/>
  <c r="AE103" i="88" s="1"/>
  <c r="AE155" i="88" s="1" a="1"/>
  <c r="AE155" i="88" s="1"/>
  <c r="AE87" i="88" a="1"/>
  <c r="AE87" i="88" s="1"/>
  <c r="AE108" i="88" s="1" a="1"/>
  <c r="AE108" i="88" s="1"/>
  <c r="AE160" i="88" s="1" a="1"/>
  <c r="AE160" i="88" s="1"/>
  <c r="AB83" i="88" a="1"/>
  <c r="AB83" i="88" s="1"/>
  <c r="AB104" i="88" s="1" a="1"/>
  <c r="AB104" i="88" s="1"/>
  <c r="AB156" i="88" s="1" a="1"/>
  <c r="AB156" i="88" s="1"/>
  <c r="AE81" i="88" a="1"/>
  <c r="AE81" i="88" s="1"/>
  <c r="AE102" i="88" s="1" a="1"/>
  <c r="AE102" i="88" s="1"/>
  <c r="AE154" i="88" s="1" a="1"/>
  <c r="AE154" i="88" s="1"/>
  <c r="AC80" i="88" a="1"/>
  <c r="AC80" i="88" s="1"/>
  <c r="AC101" i="88" s="1" a="1"/>
  <c r="AC101" i="88" s="1"/>
  <c r="AC153" i="88" s="1" a="1"/>
  <c r="AC153" i="88" s="1"/>
  <c r="AC78" i="88" a="1"/>
  <c r="AC78" i="88" s="1"/>
  <c r="AC99" i="88" s="1" a="1"/>
  <c r="AC99" i="88" s="1"/>
  <c r="AC151" i="88" s="1" a="1"/>
  <c r="AC151" i="88" s="1"/>
  <c r="AC77" i="88" a="1"/>
  <c r="AC77" i="88" s="1"/>
  <c r="AC98" i="88" s="1" a="1"/>
  <c r="AC98" i="88" s="1"/>
  <c r="AC150" i="88" s="1" a="1"/>
  <c r="AC150" i="88" s="1"/>
  <c r="V84" i="88" a="1"/>
  <c r="V84" i="88" s="1"/>
  <c r="V105" i="88" s="1" a="1"/>
  <c r="V105" i="88" s="1"/>
  <c r="V157" i="88" s="1" a="1"/>
  <c r="V157" i="88" s="1"/>
  <c r="V44" i="88"/>
  <c r="V76" i="88" s="1" a="1"/>
  <c r="V76" i="88" s="1"/>
  <c r="V97" i="88" s="1" a="1"/>
  <c r="V97" i="88" s="1"/>
  <c r="V149" i="88" s="1" a="1"/>
  <c r="V149" i="88" s="1"/>
  <c r="V81" i="88" a="1"/>
  <c r="V81" i="88" s="1"/>
  <c r="V102" i="88" s="1" a="1"/>
  <c r="V102" i="88" s="1"/>
  <c r="V154" i="88" s="1" a="1"/>
  <c r="V154" i="88" s="1"/>
  <c r="X80" i="88" a="1"/>
  <c r="X80" i="88" s="1"/>
  <c r="X101" i="88" s="1" a="1"/>
  <c r="X101" i="88" s="1"/>
  <c r="X153" i="88" s="1" a="1"/>
  <c r="X153" i="88" s="1"/>
  <c r="AE79" i="88" a="1"/>
  <c r="AE79" i="88" s="1"/>
  <c r="AE100" i="88" s="1" a="1"/>
  <c r="AE100" i="88" s="1"/>
  <c r="AE152" i="88" s="1" a="1"/>
  <c r="AE152" i="88" s="1"/>
  <c r="AB80" i="88" a="1"/>
  <c r="AB80" i="88" s="1"/>
  <c r="AB101" i="88" s="1" a="1"/>
  <c r="AB101" i="88" s="1"/>
  <c r="AB153" i="88" s="1" a="1"/>
  <c r="AB153" i="88" s="1"/>
  <c r="AE77" i="88" a="1"/>
  <c r="AE77" i="88" s="1"/>
  <c r="AE98" i="88" s="1" a="1"/>
  <c r="AE98" i="88" s="1"/>
  <c r="AE150" i="88" s="1" a="1"/>
  <c r="AE150" i="88" s="1"/>
  <c r="AB86" i="88" a="1"/>
  <c r="AB86" i="88" s="1"/>
  <c r="AB107" i="88" s="1" a="1"/>
  <c r="AB107" i="88" s="1"/>
  <c r="AB159" i="88" s="1" a="1"/>
  <c r="AB159" i="88" s="1"/>
  <c r="X84" i="88" a="1"/>
  <c r="X84" i="88" s="1"/>
  <c r="X105" i="88" s="1" a="1"/>
  <c r="X105" i="88" s="1"/>
  <c r="X157" i="88" s="1" a="1"/>
  <c r="X157" i="88" s="1"/>
  <c r="W76" i="88" a="1"/>
  <c r="W76" i="88" s="1"/>
  <c r="W97" i="88" s="1" a="1"/>
  <c r="W97" i="88" s="1"/>
  <c r="W149" i="88" s="1" a="1"/>
  <c r="W149" i="88" s="1"/>
  <c r="AB77" i="88" a="1"/>
  <c r="AB77" i="88" s="1"/>
  <c r="AB98" i="88" s="1" a="1"/>
  <c r="AB98" i="88" s="1"/>
  <c r="AB150" i="88" s="1" a="1"/>
  <c r="AB150" i="88" s="1"/>
  <c r="AD77" i="88" a="1"/>
  <c r="AD77" i="88" s="1"/>
  <c r="AD98" i="88" s="1" a="1"/>
  <c r="AD98" i="88" s="1"/>
  <c r="AD150" i="88" s="1" a="1"/>
  <c r="AD150" i="88" s="1"/>
  <c r="AC76" i="88" a="1"/>
  <c r="AC76" i="88" s="1"/>
  <c r="AC97" i="88" s="1" a="1"/>
  <c r="AC97" i="88" s="1"/>
  <c r="AC149" i="88" s="1" a="1"/>
  <c r="AC149" i="88" s="1"/>
  <c r="V87" i="88" a="1"/>
  <c r="V87" i="88" s="1"/>
  <c r="V108" i="88" s="1" a="1"/>
  <c r="V108" i="88" s="1"/>
  <c r="V160" i="88" s="1" a="1"/>
  <c r="V160" i="88" s="1"/>
  <c r="X81" i="88" a="1"/>
  <c r="X81" i="88" s="1"/>
  <c r="X102" i="88" s="1" a="1"/>
  <c r="X102" i="88" s="1"/>
  <c r="X154" i="88" s="1" a="1"/>
  <c r="X154" i="88" s="1"/>
  <c r="V79" i="88" a="1"/>
  <c r="V79" i="88" s="1"/>
  <c r="V100" i="88" s="1" a="1"/>
  <c r="V100" i="88" s="1"/>
  <c r="V152" i="88" s="1" a="1"/>
  <c r="V152" i="88" s="1"/>
  <c r="W85" i="88" a="1"/>
  <c r="W85" i="88" s="1"/>
  <c r="W106" i="88" s="1" a="1"/>
  <c r="W106" i="88" s="1"/>
  <c r="W158" i="88" s="1" a="1"/>
  <c r="W158" i="88" s="1"/>
  <c r="AB85" i="88" a="1"/>
  <c r="AB85" i="88" s="1"/>
  <c r="AB106" i="88" s="1" a="1"/>
  <c r="AB106" i="88" s="1"/>
  <c r="AB158" i="88" s="1" a="1"/>
  <c r="AB158" i="88" s="1"/>
  <c r="X85" i="88" a="1"/>
  <c r="X85" i="88" s="1"/>
  <c r="X106" i="88" s="1" a="1"/>
  <c r="X106" i="88" s="1"/>
  <c r="X158" i="88" s="1" a="1"/>
  <c r="X158" i="88" s="1"/>
  <c r="AB81" i="88" a="1"/>
  <c r="AB81" i="88" s="1"/>
  <c r="AB102" i="88" s="1" a="1"/>
  <c r="AB102" i="88" s="1"/>
  <c r="AB154" i="88" s="1" a="1"/>
  <c r="AB154" i="88" s="1"/>
  <c r="V80" i="88" a="1"/>
  <c r="V80" i="88" s="1"/>
  <c r="V101" i="88" s="1" a="1"/>
  <c r="V101" i="88" s="1"/>
  <c r="V153" i="88" s="1" a="1"/>
  <c r="V153" i="88" s="1"/>
  <c r="AC84" i="88" a="1"/>
  <c r="AC84" i="88" s="1"/>
  <c r="AC105" i="88" s="1" a="1"/>
  <c r="AC105" i="88" s="1"/>
  <c r="AC157" i="88" s="1" a="1"/>
  <c r="AC157" i="88" s="1"/>
  <c r="V78" i="88" a="1"/>
  <c r="V78" i="88" s="1"/>
  <c r="V99" i="88" s="1" a="1"/>
  <c r="V99" i="88" s="1"/>
  <c r="V151" i="88" s="1" a="1"/>
  <c r="V151" i="88" s="1"/>
  <c r="V85" i="88" a="1"/>
  <c r="V85" i="88" s="1"/>
  <c r="V106" i="88" s="1" a="1"/>
  <c r="V106" i="88" s="1"/>
  <c r="V158" i="88" s="1" a="1"/>
  <c r="V158" i="88" s="1"/>
  <c r="AC79" i="88" a="1"/>
  <c r="AC79" i="88" s="1"/>
  <c r="AC100" i="88" s="1" a="1"/>
  <c r="AC100" i="88" s="1"/>
  <c r="AC152" i="88" s="1" a="1"/>
  <c r="AC152" i="88" s="1"/>
  <c r="AD83" i="88" a="1"/>
  <c r="AD83" i="88" s="1"/>
  <c r="AD104" i="88" s="1" a="1"/>
  <c r="AD104" i="88" s="1"/>
  <c r="AD156" i="88" s="1" a="1"/>
  <c r="AD156" i="88" s="1"/>
  <c r="AC85" i="88" a="1"/>
  <c r="AC85" i="88" s="1"/>
  <c r="AC106" i="88" s="1" a="1"/>
  <c r="AC106" i="88" s="1"/>
  <c r="AC158" i="88" s="1" a="1"/>
  <c r="AC158" i="88" s="1"/>
  <c r="AB87" i="88" a="1"/>
  <c r="AB87" i="88" s="1"/>
  <c r="AB108" i="88" s="1" a="1"/>
  <c r="AB108" i="88" s="1"/>
  <c r="AB160" i="88" s="1" a="1"/>
  <c r="AB160" i="88" s="1"/>
  <c r="AB79" i="88" a="1"/>
  <c r="AB79" i="88" s="1"/>
  <c r="AB100" i="88" s="1" a="1"/>
  <c r="AB100" i="88" s="1"/>
  <c r="AB152" i="88" s="1" a="1"/>
  <c r="AB152" i="88" s="1"/>
  <c r="W79" i="88" a="1"/>
  <c r="W79" i="88" s="1"/>
  <c r="W100" i="88" s="1" a="1"/>
  <c r="W100" i="88" s="1"/>
  <c r="W152" i="88" s="1" a="1"/>
  <c r="W152" i="88" s="1"/>
  <c r="W87" i="88" a="1"/>
  <c r="W87" i="88" s="1"/>
  <c r="W108" i="88" s="1" a="1"/>
  <c r="W108" i="88" s="1"/>
  <c r="W160" i="88" s="1" a="1"/>
  <c r="W160" i="88" s="1"/>
  <c r="V82" i="88" a="1"/>
  <c r="V82" i="88" s="1"/>
  <c r="V103" i="88" s="1" a="1"/>
  <c r="V103" i="88" s="1"/>
  <c r="V155" i="88" s="1" a="1"/>
  <c r="V155" i="88" s="1"/>
  <c r="AE78" i="88" a="1"/>
  <c r="AE78" i="88" s="1"/>
  <c r="AE99" i="88" s="1" a="1"/>
  <c r="AE99" i="88" s="1"/>
  <c r="AE151" i="88" s="1" a="1"/>
  <c r="AE151" i="88" s="1"/>
  <c r="X86" i="88" a="1"/>
  <c r="X86" i="88" s="1"/>
  <c r="X107" i="88" s="1" a="1"/>
  <c r="X107" i="88" s="1"/>
  <c r="X159" i="88" s="1" a="1"/>
  <c r="X159" i="88" s="1"/>
  <c r="X77" i="88" a="1"/>
  <c r="X77" i="88" s="1"/>
  <c r="X98" i="88" s="1" a="1"/>
  <c r="X98" i="88" s="1"/>
  <c r="X150" i="88" s="1" a="1"/>
  <c r="X150" i="88" s="1"/>
  <c r="W86" i="88" a="1"/>
  <c r="W86" i="88" s="1"/>
  <c r="W107" i="88" s="1" a="1"/>
  <c r="W107" i="88" s="1"/>
  <c r="W159" i="88" s="1" a="1"/>
  <c r="W159" i="88" s="1"/>
  <c r="X87" i="88" a="1"/>
  <c r="X87" i="88" s="1"/>
  <c r="X108" i="88" s="1" a="1"/>
  <c r="X108" i="88" s="1"/>
  <c r="X160" i="88" s="1" a="1"/>
  <c r="X160" i="88" s="1"/>
  <c r="AD78" i="88" a="1"/>
  <c r="AD78" i="88" s="1"/>
  <c r="AD99" i="88" s="1" a="1"/>
  <c r="AD99" i="88" s="1"/>
  <c r="AD151" i="88" s="1" a="1"/>
  <c r="AD151" i="88" s="1"/>
  <c r="W84" i="88" a="1"/>
  <c r="W84" i="88" s="1"/>
  <c r="W105" i="88" s="1" a="1"/>
  <c r="W105" i="88" s="1"/>
  <c r="W157" i="88" s="1" a="1"/>
  <c r="W157" i="88" s="1"/>
  <c r="AE85" i="88" a="1"/>
  <c r="AE85" i="88" s="1"/>
  <c r="AE106" i="88" s="1" a="1"/>
  <c r="AE106" i="88" s="1"/>
  <c r="AE158" i="88" s="1" a="1"/>
  <c r="AE158" i="88" s="1"/>
  <c r="AD85" i="88" a="1"/>
  <c r="AD85" i="88" s="1"/>
  <c r="AD106" i="88" s="1" a="1"/>
  <c r="AD106" i="88" s="1"/>
  <c r="AD158" i="88" s="1" a="1"/>
  <c r="AD158" i="88" s="1"/>
  <c r="AC87" i="88" a="1"/>
  <c r="AC87" i="88" s="1"/>
  <c r="AC108" i="88" s="1" a="1"/>
  <c r="AC108" i="88" s="1"/>
  <c r="AC160" i="88" s="1" a="1"/>
  <c r="AC160" i="88" s="1"/>
  <c r="V77" i="88" a="1"/>
  <c r="V77" i="88" s="1"/>
  <c r="V98" i="88" s="1" a="1"/>
  <c r="V98" i="88" s="1"/>
  <c r="V150" i="88" s="1" a="1"/>
  <c r="V150" i="88" s="1"/>
  <c r="X76" i="88" a="1"/>
  <c r="X76" i="88" s="1"/>
  <c r="X97" i="88" s="1" a="1"/>
  <c r="X97" i="88" s="1"/>
  <c r="X149" i="88" s="1" a="1"/>
  <c r="X149" i="88" s="1"/>
  <c r="AB78" i="88" a="1"/>
  <c r="AB78" i="88" s="1"/>
  <c r="AB99" i="88" s="1" a="1"/>
  <c r="AB99" i="88" s="1"/>
  <c r="AB151" i="88" s="1" a="1"/>
  <c r="AB151" i="88" s="1"/>
  <c r="W77" i="88" a="1"/>
  <c r="W77" i="88" s="1"/>
  <c r="W98" i="88" s="1" a="1"/>
  <c r="W98" i="88" s="1"/>
  <c r="W150" i="88" s="1" a="1"/>
  <c r="W150" i="88" s="1"/>
  <c r="AD79" i="88" a="1"/>
  <c r="AD79" i="88" s="1"/>
  <c r="AD100" i="88" s="1" a="1"/>
  <c r="AD100" i="88" s="1"/>
  <c r="AD152" i="88" s="1" a="1"/>
  <c r="AD152" i="88" s="1"/>
  <c r="AD84" i="88" a="1"/>
  <c r="AD84" i="88" s="1"/>
  <c r="AD105" i="88" s="1" a="1"/>
  <c r="AD105" i="88" s="1"/>
  <c r="AD157" i="88" s="1" a="1"/>
  <c r="AD157" i="88" s="1"/>
  <c r="AB76" i="88" a="1"/>
  <c r="AB76" i="88" s="1"/>
  <c r="AB97" i="88" s="1" a="1"/>
  <c r="AB97" i="88" s="1"/>
  <c r="AB149" i="88" s="1" a="1"/>
  <c r="AB149" i="88" s="1"/>
  <c r="AD82" i="88" a="1"/>
  <c r="AD82" i="88" s="1"/>
  <c r="AD103" i="88" s="1" a="1"/>
  <c r="AD103" i="88" s="1"/>
  <c r="AD155" i="88" s="1" a="1"/>
  <c r="AD155" i="88" s="1"/>
  <c r="W80" i="88" a="1"/>
  <c r="W80" i="88" s="1"/>
  <c r="W101" i="88" s="1" a="1"/>
  <c r="W101" i="88" s="1"/>
  <c r="W153" i="88" s="1" a="1"/>
  <c r="W153" i="88" s="1"/>
  <c r="AB84" i="88" a="1"/>
  <c r="AB84" i="88" s="1"/>
  <c r="AB105" i="88" s="1" a="1"/>
  <c r="AB105" i="88" s="1"/>
  <c r="AB157" i="88" s="1" a="1"/>
  <c r="AB157" i="88" s="1"/>
  <c r="X82" i="88" a="1"/>
  <c r="X82" i="88" s="1"/>
  <c r="X103" i="88" s="1" a="1"/>
  <c r="X103" i="88" s="1"/>
  <c r="X155" i="88" s="1" a="1"/>
  <c r="X155" i="88" s="1"/>
  <c r="AC83" i="88" a="1"/>
  <c r="AC83" i="88" s="1"/>
  <c r="AC104" i="88" s="1" a="1"/>
  <c r="AC104" i="88" s="1"/>
  <c r="AC156" i="88" s="1" a="1"/>
  <c r="AC156" i="88" s="1"/>
  <c r="AD81" i="88" a="1"/>
  <c r="AD81" i="88" s="1"/>
  <c r="AD102" i="88" s="1" a="1"/>
  <c r="AD102" i="88" s="1"/>
  <c r="AD154" i="88" s="1" a="1"/>
  <c r="AD154" i="88" s="1"/>
  <c r="AD76" i="88" a="1"/>
  <c r="AD76" i="88" s="1"/>
  <c r="AD97" i="88" s="1" a="1"/>
  <c r="AD97" i="88" s="1"/>
  <c r="AD149" i="88" s="1" a="1"/>
  <c r="AD149" i="88" s="1"/>
  <c r="W81" i="88" a="1"/>
  <c r="W81" i="88" s="1"/>
  <c r="W102" i="88" s="1" a="1"/>
  <c r="W102" i="88" s="1"/>
  <c r="W154" i="88" s="1" a="1"/>
  <c r="W154" i="88" s="1"/>
  <c r="AD80" i="88" a="1"/>
  <c r="AD80" i="88" s="1"/>
  <c r="AD101" i="88" s="1" a="1"/>
  <c r="AD101" i="88" s="1"/>
  <c r="AD153" i="88" s="1" a="1"/>
  <c r="AD153" i="88" s="1"/>
  <c r="AE76" i="88" a="1"/>
  <c r="AE76" i="88" s="1"/>
  <c r="AE97" i="88" s="1" a="1"/>
  <c r="AE97" i="88" s="1"/>
  <c r="AE149" i="88" s="1" a="1"/>
  <c r="AE149" i="88" s="1"/>
  <c r="W78" i="88" a="1"/>
  <c r="W78" i="88" s="1"/>
  <c r="W99" i="88" s="1" a="1"/>
  <c r="W99" i="88" s="1"/>
  <c r="W151" i="88" s="1" a="1"/>
  <c r="W151" i="88" s="1"/>
  <c r="AE83" i="88" a="1"/>
  <c r="AE83" i="88" s="1"/>
  <c r="AE104" i="88" s="1" a="1"/>
  <c r="AE104" i="88" s="1"/>
  <c r="AE156" i="88" s="1" a="1"/>
  <c r="AE156" i="88" s="1"/>
  <c r="AC81" i="88" a="1"/>
  <c r="AC81" i="88" s="1"/>
  <c r="AC102" i="88" s="1" a="1"/>
  <c r="AC102" i="88" s="1"/>
  <c r="AC154" i="88" s="1" a="1"/>
  <c r="AC154" i="88" s="1"/>
  <c r="AE80" i="88" a="1"/>
  <c r="AE80" i="88" s="1"/>
  <c r="AE101" i="88" s="1" a="1"/>
  <c r="AE101" i="88" s="1"/>
  <c r="AE153" i="88" s="1" a="1"/>
  <c r="AE153" i="88" s="1"/>
  <c r="X83" i="88" a="1"/>
  <c r="X83" i="88" s="1"/>
  <c r="X104" i="88" s="1" a="1"/>
  <c r="X104" i="88" s="1"/>
  <c r="X156" i="88" s="1" a="1"/>
  <c r="X156" i="88" s="1"/>
  <c r="V86" i="88" a="1"/>
  <c r="V86" i="88" s="1"/>
  <c r="V107" i="88" s="1" a="1"/>
  <c r="V107" i="88" s="1"/>
  <c r="V159" i="88" s="1" a="1"/>
  <c r="V159" i="88" s="1"/>
  <c r="Z80" i="88" a="1"/>
  <c r="Z80" i="88" s="1"/>
  <c r="Z101" i="88" s="1" a="1"/>
  <c r="Z101" i="88" s="1"/>
  <c r="Z153" i="88" s="1" a="1"/>
  <c r="Z153" i="88" s="1"/>
  <c r="V83" i="88" a="1"/>
  <c r="V83" i="88" s="1"/>
  <c r="V104" i="88" s="1" a="1"/>
  <c r="V104" i="88" s="1"/>
  <c r="V156" i="88" s="1" a="1"/>
  <c r="V156" i="88" s="1"/>
  <c r="AE86" i="88" a="1"/>
  <c r="AE86" i="88" s="1"/>
  <c r="AE107" i="88" s="1" a="1"/>
  <c r="AE107" i="88" s="1"/>
  <c r="AE159" i="88" s="1" a="1"/>
  <c r="AE159" i="88" s="1"/>
  <c r="AD87" i="88" a="1"/>
  <c r="AD87" i="88" s="1"/>
  <c r="AD108" i="88" s="1" a="1"/>
  <c r="AD108" i="88" s="1"/>
  <c r="AD160" i="88" s="1" a="1"/>
  <c r="AD160" i="88" s="1"/>
  <c r="Z82" i="88" a="1"/>
  <c r="Z82" i="88" s="1"/>
  <c r="Z103" i="88" s="1" a="1"/>
  <c r="Z103" i="88" s="1"/>
  <c r="Z155" i="88" s="1" a="1"/>
  <c r="Z155" i="88" s="1"/>
  <c r="AA80" i="88" a="1"/>
  <c r="AA80" i="88" s="1"/>
  <c r="AA101" i="88" s="1" a="1"/>
  <c r="AA101" i="88" s="1"/>
  <c r="AA153" i="88" s="1" a="1"/>
  <c r="AA153" i="88" s="1"/>
  <c r="Y87" i="88" a="1"/>
  <c r="Y87" i="88" s="1"/>
  <c r="Y108" i="88" s="1" a="1"/>
  <c r="Y108" i="88" s="1"/>
  <c r="Y160" i="88" s="1" a="1"/>
  <c r="Y160" i="88" s="1"/>
  <c r="Z79" i="88" a="1"/>
  <c r="Z79" i="88" s="1"/>
  <c r="Z100" i="88" s="1" a="1"/>
  <c r="Z100" i="88" s="1"/>
  <c r="Z152" i="88" s="1" a="1"/>
  <c r="Z152" i="88" s="1"/>
  <c r="Y76" i="88" a="1"/>
  <c r="Y76" i="88" s="1"/>
  <c r="Y97" i="88" s="1" a="1"/>
  <c r="Y97" i="88" s="1"/>
  <c r="Y149" i="88" s="1" a="1"/>
  <c r="Y149" i="88" s="1"/>
  <c r="Z77" i="88" a="1"/>
  <c r="Z77" i="88" s="1"/>
  <c r="Z98" i="88" s="1" a="1"/>
  <c r="Z98" i="88" s="1"/>
  <c r="Z150" i="88" s="1" a="1"/>
  <c r="Z150" i="88" s="1"/>
  <c r="AA77" i="88" a="1"/>
  <c r="AA77" i="88" s="1"/>
  <c r="AA98" i="88" s="1" a="1"/>
  <c r="AA98" i="88" s="1"/>
  <c r="AA150" i="88" s="1" a="1"/>
  <c r="AA150" i="88" s="1"/>
  <c r="Z81" i="88" a="1"/>
  <c r="Z81" i="88" s="1"/>
  <c r="Z102" i="88" s="1" a="1"/>
  <c r="Z102" i="88" s="1"/>
  <c r="Z154" i="88" s="1" a="1"/>
  <c r="Z154" i="88" s="1"/>
  <c r="Y84" i="88" a="1"/>
  <c r="Y84" i="88" s="1"/>
  <c r="Y105" i="88" s="1" a="1"/>
  <c r="Y105" i="88" s="1"/>
  <c r="Y157" i="88" s="1" a="1"/>
  <c r="Y157" i="88" s="1"/>
  <c r="AA87" i="88" a="1"/>
  <c r="AA87" i="88" s="1"/>
  <c r="AA108" i="88" s="1" a="1"/>
  <c r="AA108" i="88" s="1"/>
  <c r="AA160" i="88" s="1" a="1"/>
  <c r="AA160" i="88" s="1"/>
  <c r="AA76" i="88" a="1"/>
  <c r="AA76" i="88" s="1"/>
  <c r="AA97" i="88" s="1" a="1"/>
  <c r="AA97" i="88" s="1"/>
  <c r="AA149" i="88" s="1" a="1"/>
  <c r="AA149" i="88" s="1"/>
  <c r="Z87" i="88" a="1"/>
  <c r="Z87" i="88" s="1"/>
  <c r="Z108" i="88" s="1" a="1"/>
  <c r="Z108" i="88" s="1"/>
  <c r="Z160" i="88" s="1" a="1"/>
  <c r="Z160" i="88" s="1"/>
  <c r="Y80" i="88" a="1"/>
  <c r="Y80" i="88" s="1"/>
  <c r="Y101" i="88" s="1" a="1"/>
  <c r="Y101" i="88" s="1"/>
  <c r="Y153" i="88" s="1" a="1"/>
  <c r="Y153" i="88" s="1"/>
  <c r="AA85" i="88" a="1"/>
  <c r="AA85" i="88" s="1"/>
  <c r="AA106" i="88" s="1" a="1"/>
  <c r="AA106" i="88" s="1"/>
  <c r="AA158" i="88" s="1" a="1"/>
  <c r="AA158" i="88" s="1"/>
  <c r="Y81" i="88" a="1"/>
  <c r="Y81" i="88" s="1"/>
  <c r="Y102" i="88" s="1" a="1"/>
  <c r="Y102" i="88" s="1"/>
  <c r="Y154" i="88" s="1" a="1"/>
  <c r="Y154" i="88" s="1"/>
  <c r="AA81" i="88" a="1"/>
  <c r="AA81" i="88" s="1"/>
  <c r="AA102" i="88" s="1" a="1"/>
  <c r="AA102" i="88" s="1"/>
  <c r="AA154" i="88" s="1" a="1"/>
  <c r="AA154" i="88" s="1"/>
  <c r="AA82" i="88" a="1"/>
  <c r="AA82" i="88" s="1"/>
  <c r="AA103" i="88" s="1" a="1"/>
  <c r="AA103" i="88" s="1"/>
  <c r="AA155" i="88" s="1" a="1"/>
  <c r="AA155" i="88" s="1"/>
  <c r="AA78" i="88" a="1"/>
  <c r="AA78" i="88" s="1"/>
  <c r="AA99" i="88" s="1" a="1"/>
  <c r="AA99" i="88" s="1"/>
  <c r="AA151" i="88" s="1" a="1"/>
  <c r="AA151" i="88" s="1"/>
  <c r="Y78" i="88" a="1"/>
  <c r="Y78" i="88" s="1"/>
  <c r="Y99" i="88" s="1" a="1"/>
  <c r="Y99" i="88" s="1"/>
  <c r="Y151" i="88" s="1" a="1"/>
  <c r="Y151" i="88" s="1"/>
  <c r="Y85" i="88" a="1"/>
  <c r="Y85" i="88" s="1"/>
  <c r="Y106" i="88" s="1" a="1"/>
  <c r="Y106" i="88" s="1"/>
  <c r="Y158" i="88" s="1" a="1"/>
  <c r="Y158" i="88" s="1"/>
  <c r="Z83" i="88" a="1"/>
  <c r="Z83" i="88" s="1"/>
  <c r="Z104" i="88" s="1" a="1"/>
  <c r="Z104" i="88" s="1"/>
  <c r="Z156" i="88" s="1" a="1"/>
  <c r="Z156" i="88" s="1"/>
  <c r="AA79" i="88" a="1"/>
  <c r="AA79" i="88" s="1"/>
  <c r="AA100" i="88" s="1" a="1"/>
  <c r="AA100" i="88" s="1"/>
  <c r="AA152" i="88" s="1" a="1"/>
  <c r="AA152" i="88" s="1"/>
  <c r="AA86" i="88" a="1"/>
  <c r="AA86" i="88" s="1"/>
  <c r="AA107" i="88" s="1" a="1"/>
  <c r="AA107" i="88" s="1"/>
  <c r="AA159" i="88" s="1" a="1"/>
  <c r="AA159" i="88" s="1"/>
  <c r="Z84" i="88" a="1"/>
  <c r="Z84" i="88" s="1"/>
  <c r="Z105" i="88" s="1" a="1"/>
  <c r="Z105" i="88" s="1"/>
  <c r="Z157" i="88" s="1" a="1"/>
  <c r="Z157" i="88" s="1"/>
  <c r="Z76" i="88" a="1"/>
  <c r="Z76" i="88" s="1"/>
  <c r="Z97" i="88" s="1" a="1"/>
  <c r="Z97" i="88" s="1"/>
  <c r="Z149" i="88" s="1" a="1"/>
  <c r="Z149" i="88" s="1"/>
  <c r="Y86" i="88" a="1"/>
  <c r="Y86" i="88" s="1"/>
  <c r="Y107" i="88" s="1" a="1"/>
  <c r="Y107" i="88" s="1"/>
  <c r="Y159" i="88" s="1" a="1"/>
  <c r="Y159" i="88" s="1"/>
  <c r="Z78" i="88" a="1"/>
  <c r="Z78" i="88" s="1"/>
  <c r="Z99" i="88" s="1" a="1"/>
  <c r="Z99" i="88" s="1"/>
  <c r="Z151" i="88" s="1" a="1"/>
  <c r="Z151" i="88" s="1"/>
  <c r="AA83" i="88" a="1"/>
  <c r="AA83" i="88" s="1"/>
  <c r="AA104" i="88" s="1" a="1"/>
  <c r="AA104" i="88" s="1"/>
  <c r="AA156" i="88" s="1" a="1"/>
  <c r="AA156" i="88" s="1"/>
  <c r="Y83" i="88" a="1"/>
  <c r="Y83" i="88" s="1"/>
  <c r="Y104" i="88" s="1" a="1"/>
  <c r="Y104" i="88" s="1"/>
  <c r="Y156" i="88" s="1" a="1"/>
  <c r="Y156" i="88" s="1"/>
  <c r="Y79" i="88" a="1"/>
  <c r="Y79" i="88" s="1"/>
  <c r="Y100" i="88" s="1" a="1"/>
  <c r="Y100" i="88" s="1"/>
  <c r="Y152" i="88" s="1" a="1"/>
  <c r="Y152" i="88" s="1"/>
  <c r="AA84" i="88" a="1"/>
  <c r="AA84" i="88" s="1"/>
  <c r="AA105" i="88" s="1" a="1"/>
  <c r="AA105" i="88" s="1"/>
  <c r="AA157" i="88" s="1" a="1"/>
  <c r="AA157" i="88" s="1"/>
  <c r="Z85" i="88" a="1"/>
  <c r="Z85" i="88" s="1"/>
  <c r="Z106" i="88" s="1" a="1"/>
  <c r="Z106" i="88" s="1"/>
  <c r="Z158" i="88" s="1" a="1"/>
  <c r="Z158" i="88" s="1"/>
  <c r="Z86" i="88" a="1"/>
  <c r="Z86" i="88" s="1"/>
  <c r="Z107" i="88" s="1" a="1"/>
  <c r="Z107" i="88" s="1"/>
  <c r="Z159" i="88" s="1" a="1"/>
  <c r="Z159" i="88" s="1"/>
  <c r="Y77" i="88" a="1"/>
  <c r="Y77" i="88" s="1"/>
  <c r="Y98" i="88" s="1" a="1"/>
  <c r="Y98" i="88" s="1"/>
  <c r="Y150" i="88" s="1" a="1"/>
  <c r="Y150" i="88" s="1"/>
  <c r="Y82" i="88" a="1"/>
  <c r="Y82" i="88" s="1"/>
  <c r="Y103" i="88" s="1" a="1"/>
  <c r="Y103" i="88" s="1"/>
  <c r="Y155" i="88" s="1" a="1"/>
  <c r="Y155" i="88" s="1"/>
  <c r="H56" i="89"/>
  <c r="F32" i="89"/>
  <c r="G32" i="89" s="1"/>
  <c r="G15" i="89"/>
  <c r="I15" i="89" s="1"/>
  <c r="G21" i="89"/>
  <c r="I21" i="89" s="1"/>
  <c r="F34" i="89"/>
  <c r="G34" i="89" s="1"/>
  <c r="G17" i="89"/>
  <c r="I17" i="89" s="1"/>
  <c r="F31" i="89"/>
  <c r="G31" i="89" s="1"/>
  <c r="G13" i="89"/>
  <c r="F42" i="89"/>
  <c r="G42" i="89" s="1"/>
  <c r="H55" i="89"/>
  <c r="F30" i="89"/>
  <c r="G30" i="89" s="1"/>
  <c r="F29" i="89"/>
  <c r="G29" i="89" s="1"/>
  <c r="H54" i="89"/>
  <c r="F28" i="89"/>
  <c r="G28" i="89" s="1"/>
  <c r="F27" i="89"/>
  <c r="G27" i="89" s="1"/>
  <c r="F44" i="89"/>
  <c r="G44" i="89" s="1"/>
  <c r="F25" i="89"/>
  <c r="F43" i="89"/>
  <c r="G43" i="89" s="1"/>
  <c r="G20" i="89"/>
  <c r="I20" i="89" s="1"/>
  <c r="G19" i="89"/>
  <c r="I19" i="89" s="1"/>
  <c r="G18" i="89"/>
  <c r="I18" i="89" s="1"/>
  <c r="F26" i="89"/>
  <c r="G26" i="89" s="1"/>
  <c r="F33" i="89"/>
  <c r="G33" i="89" s="1"/>
  <c r="G16" i="89"/>
  <c r="I16" i="89" s="1"/>
  <c r="E22" i="72"/>
  <c r="E55" i="118" a="1"/>
  <c r="E55" i="118" s="1"/>
  <c r="J585" i="117" s="1"/>
  <c r="I128" i="94"/>
  <c r="I125" i="94" s="1"/>
  <c r="I18" i="95"/>
  <c r="I14" i="95" s="1"/>
  <c r="S98" i="90"/>
  <c r="I54" i="90"/>
  <c r="I50" i="90" s="1"/>
  <c r="I60" i="95"/>
  <c r="I56" i="95" s="1"/>
  <c r="J53" i="94"/>
  <c r="J50" i="94" s="1"/>
  <c r="M67" i="88" a="1"/>
  <c r="M67" i="88" s="1"/>
  <c r="M88" i="88" s="1" a="1"/>
  <c r="M88" i="88" s="1"/>
  <c r="M126" i="88" s="1" a="1"/>
  <c r="M126" i="88" s="1"/>
  <c r="L67" i="88" a="1"/>
  <c r="L67" i="88" s="1"/>
  <c r="L88" i="88" s="1" a="1"/>
  <c r="L88" i="88" s="1"/>
  <c r="L126" i="88" s="1" a="1"/>
  <c r="L126" i="88" s="1"/>
  <c r="G64" i="88" a="1"/>
  <c r="G64" i="88" s="1"/>
  <c r="G85" i="88" s="1" a="1"/>
  <c r="G85" i="88" s="1"/>
  <c r="G123" i="88" s="1" a="1"/>
  <c r="G123" i="88" s="1"/>
  <c r="K67" i="88" a="1"/>
  <c r="K67" i="88" s="1"/>
  <c r="K88" i="88" s="1" a="1"/>
  <c r="K88" i="88" s="1"/>
  <c r="K126" i="88" s="1" a="1"/>
  <c r="K126" i="88" s="1"/>
  <c r="F66" i="88" a="1"/>
  <c r="F66" i="88" s="1"/>
  <c r="F87" i="88" s="1" a="1"/>
  <c r="F87" i="88" s="1"/>
  <c r="F125" i="88" s="1" a="1"/>
  <c r="F125" i="88" s="1"/>
  <c r="M66" i="88" a="1"/>
  <c r="M66" i="88" s="1"/>
  <c r="M87" i="88" s="1" a="1"/>
  <c r="M87" i="88" s="1"/>
  <c r="M125" i="88" s="1" a="1"/>
  <c r="M125" i="88" s="1"/>
  <c r="E48" i="88"/>
  <c r="E64" i="88" s="1" a="1"/>
  <c r="E64" i="88" s="1"/>
  <c r="E85" i="88" s="1" a="1"/>
  <c r="E85" i="88" s="1"/>
  <c r="E123" i="88" s="1" a="1"/>
  <c r="E123" i="88" s="1"/>
  <c r="K65" i="88" a="1"/>
  <c r="K65" i="88" s="1"/>
  <c r="K86" i="88" s="1" a="1"/>
  <c r="K86" i="88" s="1"/>
  <c r="K124" i="88" s="1" a="1"/>
  <c r="K124" i="88" s="1"/>
  <c r="L66" i="88" a="1"/>
  <c r="L66" i="88" s="1"/>
  <c r="L87" i="88" s="1" a="1"/>
  <c r="L87" i="88" s="1"/>
  <c r="L125" i="88" s="1" a="1"/>
  <c r="L125" i="88" s="1"/>
  <c r="F67" i="88" a="1"/>
  <c r="F67" i="88" s="1"/>
  <c r="F88" i="88" s="1" a="1"/>
  <c r="F88" i="88" s="1"/>
  <c r="F126" i="88" s="1" a="1"/>
  <c r="F126" i="88" s="1"/>
  <c r="E65" i="88" a="1"/>
  <c r="E65" i="88" s="1"/>
  <c r="E86" i="88" s="1" a="1"/>
  <c r="E86" i="88" s="1"/>
  <c r="E124" i="88" s="1" a="1"/>
  <c r="E124" i="88" s="1"/>
  <c r="E66" i="88" a="1"/>
  <c r="E66" i="88" s="1"/>
  <c r="E87" i="88" s="1" a="1"/>
  <c r="E87" i="88" s="1"/>
  <c r="E125" i="88" s="1" a="1"/>
  <c r="E125" i="88" s="1"/>
  <c r="N65" i="88" a="1"/>
  <c r="N65" i="88" s="1"/>
  <c r="N86" i="88" s="1" a="1"/>
  <c r="N86" i="88" s="1"/>
  <c r="N124" i="88" s="1" a="1"/>
  <c r="N124" i="88" s="1"/>
  <c r="N67" i="88" a="1"/>
  <c r="N67" i="88" s="1"/>
  <c r="N88" i="88" s="1" a="1"/>
  <c r="N88" i="88" s="1"/>
  <c r="N126" i="88" s="1" a="1"/>
  <c r="N126" i="88" s="1"/>
  <c r="G67" i="88" a="1"/>
  <c r="G67" i="88" s="1"/>
  <c r="G88" i="88" s="1" a="1"/>
  <c r="G88" i="88" s="1"/>
  <c r="G126" i="88" s="1" a="1"/>
  <c r="G126" i="88" s="1"/>
  <c r="M64" i="88" a="1"/>
  <c r="M64" i="88" s="1"/>
  <c r="M85" i="88" s="1" a="1"/>
  <c r="M85" i="88" s="1"/>
  <c r="M123" i="88" s="1" a="1"/>
  <c r="M123" i="88" s="1"/>
  <c r="F64" i="88" a="1"/>
  <c r="F64" i="88" s="1"/>
  <c r="F85" i="88" s="1" a="1"/>
  <c r="F85" i="88" s="1"/>
  <c r="F123" i="88" s="1" a="1"/>
  <c r="F123" i="88" s="1"/>
  <c r="N64" i="88" a="1"/>
  <c r="N64" i="88" s="1"/>
  <c r="N85" i="88" s="1" a="1"/>
  <c r="N85" i="88" s="1"/>
  <c r="N123" i="88" s="1" a="1"/>
  <c r="N123" i="88" s="1"/>
  <c r="L65" i="88" a="1"/>
  <c r="L65" i="88" s="1"/>
  <c r="L86" i="88" s="1" a="1"/>
  <c r="L86" i="88" s="1"/>
  <c r="L124" i="88" s="1" a="1"/>
  <c r="L124" i="88" s="1"/>
  <c r="M65" i="88" a="1"/>
  <c r="M65" i="88" s="1"/>
  <c r="M86" i="88" s="1" a="1"/>
  <c r="M86" i="88" s="1"/>
  <c r="M124" i="88" s="1" a="1"/>
  <c r="M124" i="88" s="1"/>
  <c r="K66" i="88" a="1"/>
  <c r="K66" i="88" s="1"/>
  <c r="K87" i="88" s="1" a="1"/>
  <c r="K87" i="88" s="1"/>
  <c r="K125" i="88" s="1" a="1"/>
  <c r="K125" i="88" s="1"/>
  <c r="K64" i="88" a="1"/>
  <c r="K64" i="88" s="1"/>
  <c r="K85" i="88" s="1" a="1"/>
  <c r="K85" i="88" s="1"/>
  <c r="K123" i="88" s="1" a="1"/>
  <c r="K123" i="88" s="1"/>
  <c r="L64" i="88" a="1"/>
  <c r="L64" i="88" s="1"/>
  <c r="L85" i="88" s="1" a="1"/>
  <c r="L85" i="88" s="1"/>
  <c r="L123" i="88" s="1" a="1"/>
  <c r="L123" i="88" s="1"/>
  <c r="F65" i="88" a="1"/>
  <c r="F65" i="88" s="1"/>
  <c r="F86" i="88" s="1" a="1"/>
  <c r="F86" i="88" s="1"/>
  <c r="F124" i="88" s="1" a="1"/>
  <c r="F124" i="88" s="1"/>
  <c r="N66" i="88" a="1"/>
  <c r="N66" i="88" s="1"/>
  <c r="N87" i="88" s="1" a="1"/>
  <c r="N87" i="88" s="1"/>
  <c r="N125" i="88" s="1" a="1"/>
  <c r="N125" i="88" s="1"/>
  <c r="G65" i="88" a="1"/>
  <c r="G65" i="88" s="1"/>
  <c r="G86" i="88" s="1" a="1"/>
  <c r="G86" i="88" s="1"/>
  <c r="G124" i="88" s="1" a="1"/>
  <c r="G124" i="88" s="1"/>
  <c r="G66" i="88" a="1"/>
  <c r="G66" i="88" s="1"/>
  <c r="G87" i="88" s="1" a="1"/>
  <c r="G87" i="88" s="1"/>
  <c r="G125" i="88" s="1" a="1"/>
  <c r="G125" i="88" s="1"/>
  <c r="E67" i="88" a="1"/>
  <c r="E67" i="88" s="1"/>
  <c r="E88" i="88" s="1" a="1"/>
  <c r="E88" i="88" s="1"/>
  <c r="E126" i="88" s="1" a="1"/>
  <c r="E126" i="88" s="1"/>
  <c r="I66" i="88" a="1"/>
  <c r="I66" i="88" s="1"/>
  <c r="I87" i="88" s="1" a="1"/>
  <c r="I87" i="88" s="1"/>
  <c r="I125" i="88" s="1" a="1"/>
  <c r="I125" i="88" s="1"/>
  <c r="H66" i="88" a="1"/>
  <c r="H66" i="88" s="1"/>
  <c r="H87" i="88" s="1" a="1"/>
  <c r="H87" i="88" s="1"/>
  <c r="H125" i="88" s="1" a="1"/>
  <c r="H125" i="88" s="1"/>
  <c r="H67" i="88" a="1"/>
  <c r="H67" i="88" s="1"/>
  <c r="H88" i="88" s="1" a="1"/>
  <c r="H88" i="88" s="1"/>
  <c r="H126" i="88" s="1" a="1"/>
  <c r="H126" i="88" s="1"/>
  <c r="J66" i="88" a="1"/>
  <c r="J66" i="88" s="1"/>
  <c r="J87" i="88" s="1" a="1"/>
  <c r="J87" i="88" s="1"/>
  <c r="J125" i="88" s="1" a="1"/>
  <c r="J125" i="88" s="1"/>
  <c r="I65" i="88" a="1"/>
  <c r="I65" i="88" s="1"/>
  <c r="I86" i="88" s="1" a="1"/>
  <c r="I86" i="88" s="1"/>
  <c r="I124" i="88" s="1" a="1"/>
  <c r="I124" i="88" s="1"/>
  <c r="J65" i="88" a="1"/>
  <c r="J65" i="88" s="1"/>
  <c r="J86" i="88" s="1" a="1"/>
  <c r="J86" i="88" s="1"/>
  <c r="J124" i="88" s="1" a="1"/>
  <c r="J124" i="88" s="1"/>
  <c r="H65" i="88" a="1"/>
  <c r="H65" i="88" s="1"/>
  <c r="H86" i="88" s="1" a="1"/>
  <c r="H86" i="88" s="1"/>
  <c r="H124" i="88" s="1" a="1"/>
  <c r="H124" i="88" s="1"/>
  <c r="J67" i="88" a="1"/>
  <c r="J67" i="88" s="1"/>
  <c r="J88" i="88" s="1" a="1"/>
  <c r="J88" i="88" s="1"/>
  <c r="J126" i="88" s="1" a="1"/>
  <c r="J126" i="88" s="1"/>
  <c r="I67" i="88" a="1"/>
  <c r="I67" i="88" s="1"/>
  <c r="I88" i="88" s="1" a="1"/>
  <c r="I88" i="88" s="1"/>
  <c r="I126" i="88" s="1" a="1"/>
  <c r="I126" i="88" s="1"/>
  <c r="J64" i="88" a="1"/>
  <c r="J64" i="88" s="1"/>
  <c r="J85" i="88" s="1" a="1"/>
  <c r="J85" i="88" s="1"/>
  <c r="J123" i="88" s="1" a="1"/>
  <c r="J123" i="88" s="1"/>
  <c r="I64" i="88" a="1"/>
  <c r="I64" i="88" s="1"/>
  <c r="I85" i="88" s="1" a="1"/>
  <c r="I85" i="88" s="1"/>
  <c r="I123" i="88" s="1" a="1"/>
  <c r="I123" i="88" s="1"/>
  <c r="H64" i="88" a="1"/>
  <c r="H64" i="88" s="1"/>
  <c r="H85" i="88" s="1" a="1"/>
  <c r="H85" i="88" s="1"/>
  <c r="H123" i="88" s="1" a="1"/>
  <c r="H123" i="88" s="1"/>
  <c r="N85" i="83" a="1"/>
  <c r="N85" i="83" s="1"/>
  <c r="N132" i="83" s="1" a="1"/>
  <c r="N132" i="83" s="1"/>
  <c r="K84" i="83" a="1"/>
  <c r="K84" i="83" s="1"/>
  <c r="K131" i="83" s="1" a="1"/>
  <c r="K131" i="83" s="1"/>
  <c r="N86" i="83" a="1"/>
  <c r="N86" i="83" s="1"/>
  <c r="N133" i="83" s="1" a="1"/>
  <c r="N133" i="83" s="1"/>
  <c r="G84" i="83" a="1"/>
  <c r="G84" i="83" s="1"/>
  <c r="G131" i="83" s="1" a="1"/>
  <c r="G131" i="83" s="1"/>
  <c r="G86" i="83" a="1"/>
  <c r="G86" i="83" s="1"/>
  <c r="G133" i="83" s="1" a="1"/>
  <c r="G133" i="83" s="1"/>
  <c r="F84" i="83" a="1"/>
  <c r="F84" i="83" s="1"/>
  <c r="F131" i="83" s="1" a="1"/>
  <c r="F131" i="83" s="1"/>
  <c r="N87" i="83" a="1"/>
  <c r="N87" i="83" s="1"/>
  <c r="N134" i="83" s="1" a="1"/>
  <c r="N134" i="83" s="1"/>
  <c r="G85" i="83" a="1"/>
  <c r="G85" i="83" s="1"/>
  <c r="G132" i="83" s="1" a="1"/>
  <c r="G132" i="83" s="1"/>
  <c r="K85" i="83" a="1"/>
  <c r="K85" i="83" s="1"/>
  <c r="K132" i="83" s="1" a="1"/>
  <c r="K132" i="83" s="1"/>
  <c r="E85" i="83" a="1"/>
  <c r="E85" i="83" s="1"/>
  <c r="E132" i="83" s="1" a="1"/>
  <c r="E132" i="83" s="1"/>
  <c r="M86" i="83" a="1"/>
  <c r="M86" i="83" s="1"/>
  <c r="M133" i="83" s="1" a="1"/>
  <c r="M133" i="83" s="1"/>
  <c r="M87" i="83" a="1"/>
  <c r="M87" i="83" s="1"/>
  <c r="M134" i="83" s="1" a="1"/>
  <c r="M134" i="83" s="1"/>
  <c r="L85" i="83" a="1"/>
  <c r="L85" i="83" s="1"/>
  <c r="L132" i="83" s="1" a="1"/>
  <c r="L132" i="83" s="1"/>
  <c r="G87" i="83" a="1"/>
  <c r="G87" i="83" s="1"/>
  <c r="G134" i="83" s="1" a="1"/>
  <c r="G134" i="83" s="1"/>
  <c r="K86" i="83" a="1"/>
  <c r="K86" i="83" s="1"/>
  <c r="K133" i="83" s="1" a="1"/>
  <c r="K133" i="83" s="1"/>
  <c r="F87" i="83" a="1"/>
  <c r="F87" i="83" s="1"/>
  <c r="F134" i="83" s="1" a="1"/>
  <c r="F134" i="83" s="1"/>
  <c r="L86" i="83" a="1"/>
  <c r="L86" i="83" s="1"/>
  <c r="L133" i="83" s="1" a="1"/>
  <c r="L133" i="83" s="1"/>
  <c r="F86" i="83" a="1"/>
  <c r="F86" i="83" s="1"/>
  <c r="F133" i="83" s="1" a="1"/>
  <c r="F133" i="83" s="1"/>
  <c r="K87" i="83" a="1"/>
  <c r="K87" i="83" s="1"/>
  <c r="K134" i="83" s="1" a="1"/>
  <c r="K134" i="83" s="1"/>
  <c r="F85" i="83" a="1"/>
  <c r="F85" i="83" s="1"/>
  <c r="F132" i="83" s="1" a="1"/>
  <c r="F132" i="83" s="1"/>
  <c r="L87" i="83" a="1"/>
  <c r="L87" i="83" s="1"/>
  <c r="L134" i="83" s="1" a="1"/>
  <c r="L134" i="83" s="1"/>
  <c r="E87" i="83" a="1"/>
  <c r="E87" i="83" s="1"/>
  <c r="E134" i="83" s="1" a="1"/>
  <c r="E134" i="83" s="1"/>
  <c r="M84" i="83" a="1"/>
  <c r="M84" i="83" s="1"/>
  <c r="M131" i="83" s="1" a="1"/>
  <c r="M131" i="83" s="1"/>
  <c r="N84" i="83" a="1"/>
  <c r="N84" i="83" s="1"/>
  <c r="N131" i="83" s="1" a="1"/>
  <c r="N131" i="83" s="1"/>
  <c r="E52" i="83"/>
  <c r="E84" i="83" s="1" a="1"/>
  <c r="E84" i="83" s="1"/>
  <c r="E131" i="83" s="1" a="1"/>
  <c r="E131" i="83" s="1"/>
  <c r="M85" i="83" a="1"/>
  <c r="M85" i="83" s="1"/>
  <c r="M132" i="83" s="1" a="1"/>
  <c r="M132" i="83" s="1"/>
  <c r="E86" i="83" a="1"/>
  <c r="E86" i="83" s="1"/>
  <c r="E133" i="83" s="1" a="1"/>
  <c r="E133" i="83" s="1"/>
  <c r="L84" i="83" a="1"/>
  <c r="L84" i="83" s="1"/>
  <c r="L131" i="83" s="1" a="1"/>
  <c r="L131" i="83" s="1"/>
  <c r="I86" i="83" a="1"/>
  <c r="I86" i="83" s="1"/>
  <c r="I133" i="83" s="1" a="1"/>
  <c r="I133" i="83" s="1"/>
  <c r="J86" i="83" a="1"/>
  <c r="J86" i="83" s="1"/>
  <c r="J133" i="83" s="1" a="1"/>
  <c r="J133" i="83" s="1"/>
  <c r="I84" i="83" a="1"/>
  <c r="I84" i="83" s="1"/>
  <c r="I131" i="83" s="1" a="1"/>
  <c r="I131" i="83" s="1"/>
  <c r="H86" i="83" a="1"/>
  <c r="H86" i="83" s="1"/>
  <c r="H133" i="83" s="1" a="1"/>
  <c r="H133" i="83" s="1"/>
  <c r="J87" i="83" a="1"/>
  <c r="J87" i="83" s="1"/>
  <c r="J134" i="83" s="1" a="1"/>
  <c r="J134" i="83" s="1"/>
  <c r="I87" i="83" a="1"/>
  <c r="I87" i="83" s="1"/>
  <c r="I134" i="83" s="1" a="1"/>
  <c r="I134" i="83" s="1"/>
  <c r="J85" i="83" a="1"/>
  <c r="J85" i="83" s="1"/>
  <c r="J132" i="83" s="1" a="1"/>
  <c r="J132" i="83" s="1"/>
  <c r="H84" i="83" a="1"/>
  <c r="H84" i="83" s="1"/>
  <c r="H131" i="83" s="1" a="1"/>
  <c r="H131" i="83" s="1"/>
  <c r="H87" i="83" a="1"/>
  <c r="H87" i="83" s="1"/>
  <c r="H134" i="83" s="1" a="1"/>
  <c r="H134" i="83" s="1"/>
  <c r="H85" i="83" a="1"/>
  <c r="H85" i="83" s="1"/>
  <c r="H132" i="83" s="1" a="1"/>
  <c r="H132" i="83" s="1"/>
  <c r="I85" i="83" a="1"/>
  <c r="I85" i="83" s="1"/>
  <c r="I132" i="83" s="1" a="1"/>
  <c r="I132" i="83" s="1"/>
  <c r="J84" i="83" a="1"/>
  <c r="J84" i="83" s="1"/>
  <c r="J131" i="83" s="1" a="1"/>
  <c r="J131" i="83" s="1"/>
  <c r="E29" i="72"/>
  <c r="AC194" i="83" l="1" a="1"/>
  <c r="AC194" i="83" s="1"/>
  <c r="AC268" i="83" s="1" a="1"/>
  <c r="AC268" i="83" s="1"/>
  <c r="AC182" i="83" a="1"/>
  <c r="AC182" i="83" s="1"/>
  <c r="AC256" i="83" s="1" a="1"/>
  <c r="AC256" i="83" s="1"/>
  <c r="AF180" i="83" a="1"/>
  <c r="AF180" i="83" s="1"/>
  <c r="AF254" i="83" s="1" a="1"/>
  <c r="AF254" i="83" s="1"/>
  <c r="AF192" i="83" a="1"/>
  <c r="AF192" i="83" s="1"/>
  <c r="AF266" i="83" s="1" a="1"/>
  <c r="AF266" i="83" s="1"/>
  <c r="G179" i="83" a="1"/>
  <c r="G179" i="83" s="1"/>
  <c r="G237" i="83" s="1" a="1"/>
  <c r="G237" i="83" s="1"/>
  <c r="G183" i="83" a="1"/>
  <c r="G183" i="83" s="1"/>
  <c r="G241" i="83" s="1" a="1"/>
  <c r="G241" i="83" s="1"/>
  <c r="H177" i="83" a="1"/>
  <c r="H177" i="83" s="1"/>
  <c r="H235" i="83" s="1" a="1"/>
  <c r="H235" i="83" s="1"/>
  <c r="H181" i="83" a="1"/>
  <c r="H181" i="83" s="1"/>
  <c r="H239" i="83" s="1" a="1"/>
  <c r="H239" i="83" s="1"/>
  <c r="J181" i="83" a="1"/>
  <c r="J181" i="83" s="1"/>
  <c r="J239" i="83" s="1" a="1"/>
  <c r="J239" i="83" s="1"/>
  <c r="J177" i="83" a="1"/>
  <c r="J177" i="83" s="1"/>
  <c r="J235" i="83" s="1" a="1"/>
  <c r="J235" i="83" s="1"/>
  <c r="M179" i="83" a="1"/>
  <c r="M179" i="83" s="1"/>
  <c r="M237" i="83" s="1" a="1"/>
  <c r="M237" i="83" s="1"/>
  <c r="M183" i="83" a="1"/>
  <c r="M183" i="83" s="1"/>
  <c r="M241" i="83" s="1" a="1"/>
  <c r="M241" i="83" s="1"/>
  <c r="O183" i="83" a="1"/>
  <c r="O183" i="83" s="1"/>
  <c r="O241" i="83" s="1" a="1"/>
  <c r="O241" i="83" s="1"/>
  <c r="O179" i="83" a="1"/>
  <c r="O179" i="83" s="1"/>
  <c r="O237" i="83" s="1" a="1"/>
  <c r="O237" i="83" s="1"/>
  <c r="AD191" i="83" a="1"/>
  <c r="AD191" i="83" s="1"/>
  <c r="AD265" i="83" s="1" a="1"/>
  <c r="AD265" i="83" s="1"/>
  <c r="AD179" i="83" a="1"/>
  <c r="AD179" i="83" s="1"/>
  <c r="AD253" i="83" s="1" a="1"/>
  <c r="AD253" i="83" s="1"/>
  <c r="AC181" i="83" a="1"/>
  <c r="AC181" i="83" s="1"/>
  <c r="AC255" i="83" s="1" a="1"/>
  <c r="AC255" i="83" s="1"/>
  <c r="AC193" i="83" a="1"/>
  <c r="AC193" i="83" s="1"/>
  <c r="AC267" i="83" s="1" a="1"/>
  <c r="AC267" i="83" s="1"/>
  <c r="AD199" i="83" a="1"/>
  <c r="AD199" i="83" s="1"/>
  <c r="AD273" i="83" s="1" a="1"/>
  <c r="AD273" i="83" s="1"/>
  <c r="AD187" i="83" a="1"/>
  <c r="AD187" i="83" s="1"/>
  <c r="AD261" i="83" s="1" a="1"/>
  <c r="AD261" i="83" s="1"/>
  <c r="AE196" i="83" a="1"/>
  <c r="AE196" i="83" s="1"/>
  <c r="AE270" i="83" s="1" a="1"/>
  <c r="AE270" i="83" s="1"/>
  <c r="AE184" i="83" a="1"/>
  <c r="AE184" i="83" s="1"/>
  <c r="AE258" i="83" s="1" a="1"/>
  <c r="AE258" i="83" s="1"/>
  <c r="Y198" i="83" a="1"/>
  <c r="Y198" i="83" s="1"/>
  <c r="Y272" i="83" s="1" a="1"/>
  <c r="Y272" i="83" s="1"/>
  <c r="Y186" i="83" a="1"/>
  <c r="Y186" i="83" s="1"/>
  <c r="Y260" i="83" s="1" a="1"/>
  <c r="Y260" i="83" s="1"/>
  <c r="Z190" i="83" a="1"/>
  <c r="Z190" i="83" s="1"/>
  <c r="Z264" i="83" s="1" a="1"/>
  <c r="Z264" i="83" s="1"/>
  <c r="Z178" i="83" a="1"/>
  <c r="Z178" i="83" s="1"/>
  <c r="Z252" i="83" s="1" a="1"/>
  <c r="Z252" i="83" s="1"/>
  <c r="AH190" i="83" a="1"/>
  <c r="AH190" i="83" s="1"/>
  <c r="AH264" i="83" s="1" a="1"/>
  <c r="AH264" i="83" s="1"/>
  <c r="AH178" i="83" a="1"/>
  <c r="AH178" i="83" s="1"/>
  <c r="AH252" i="83" s="1" a="1"/>
  <c r="AH252" i="83" s="1"/>
  <c r="AE189" i="83" a="1"/>
  <c r="AE189" i="83" s="1"/>
  <c r="AE263" i="83" s="1" a="1"/>
  <c r="AE263" i="83" s="1"/>
  <c r="AE177" i="83" a="1"/>
  <c r="AE177" i="83" s="1"/>
  <c r="AE251" i="83" s="1" a="1"/>
  <c r="AE251" i="83" s="1"/>
  <c r="AE197" i="83" a="1"/>
  <c r="AE197" i="83" s="1"/>
  <c r="AE271" i="83" s="1" a="1"/>
  <c r="AE271" i="83" s="1"/>
  <c r="AE185" i="83" a="1"/>
  <c r="AE185" i="83" s="1"/>
  <c r="AE259" i="83" s="1" a="1"/>
  <c r="AE259" i="83" s="1"/>
  <c r="AC187" i="83" a="1"/>
  <c r="AC187" i="83" s="1"/>
  <c r="AC261" i="83" s="1" a="1"/>
  <c r="AC261" i="83" s="1"/>
  <c r="AC199" i="83" a="1"/>
  <c r="AC199" i="83" s="1"/>
  <c r="AC273" i="83" s="1" a="1"/>
  <c r="AC273" i="83" s="1"/>
  <c r="Y193" i="83" a="1"/>
  <c r="Y193" i="83" s="1"/>
  <c r="Y267" i="83" s="1" a="1"/>
  <c r="Y267" i="83" s="1"/>
  <c r="Y181" i="83" a="1"/>
  <c r="Y181" i="83" s="1"/>
  <c r="Y255" i="83" s="1" a="1"/>
  <c r="Y255" i="83" s="1"/>
  <c r="I183" i="83" a="1"/>
  <c r="I183" i="83" s="1"/>
  <c r="I241" i="83" s="1" a="1"/>
  <c r="I241" i="83" s="1"/>
  <c r="I179" i="83" a="1"/>
  <c r="I179" i="83" s="1"/>
  <c r="I237" i="83" s="1" a="1"/>
  <c r="I237" i="83" s="1"/>
  <c r="K179" i="83" a="1"/>
  <c r="K179" i="83" s="1"/>
  <c r="K237" i="83" s="1" a="1"/>
  <c r="K237" i="83" s="1"/>
  <c r="K183" i="83" a="1"/>
  <c r="K183" i="83" s="1"/>
  <c r="K241" i="83" s="1" a="1"/>
  <c r="K241" i="83" s="1"/>
  <c r="G180" i="83" a="1"/>
  <c r="G180" i="83" s="1"/>
  <c r="G238" i="83" s="1" a="1"/>
  <c r="G238" i="83" s="1"/>
  <c r="G184" i="83" a="1"/>
  <c r="G184" i="83" s="1"/>
  <c r="G242" i="83" s="1" a="1"/>
  <c r="G242" i="83" s="1"/>
  <c r="L177" i="83" a="1"/>
  <c r="L177" i="83" s="1"/>
  <c r="L235" i="83" s="1" a="1"/>
  <c r="L235" i="83" s="1"/>
  <c r="L181" i="83" a="1"/>
  <c r="L181" i="83" s="1"/>
  <c r="L239" i="83" s="1" a="1"/>
  <c r="L239" i="83" s="1"/>
  <c r="AC178" i="83" a="1"/>
  <c r="AC178" i="83" s="1"/>
  <c r="AC252" i="83" s="1" a="1"/>
  <c r="AC252" i="83" s="1"/>
  <c r="AC190" i="83" a="1"/>
  <c r="AC190" i="83" s="1"/>
  <c r="AC264" i="83" s="1" a="1"/>
  <c r="AC264" i="83" s="1"/>
  <c r="AD194" i="83" a="1"/>
  <c r="AD194" i="83" s="1"/>
  <c r="AD268" i="83" s="1" a="1"/>
  <c r="AD268" i="83" s="1"/>
  <c r="AD182" i="83" a="1"/>
  <c r="AD182" i="83" s="1"/>
  <c r="AD256" i="83" s="1" a="1"/>
  <c r="AD256" i="83" s="1"/>
  <c r="AB185" i="83" a="1"/>
  <c r="AB185" i="83" s="1"/>
  <c r="AB259" i="83" s="1" a="1"/>
  <c r="AB259" i="83" s="1"/>
  <c r="AB197" i="83" a="1"/>
  <c r="AB197" i="83" s="1"/>
  <c r="AB271" i="83" s="1" a="1"/>
  <c r="AB271" i="83" s="1"/>
  <c r="AE198" i="83" a="1"/>
  <c r="AE198" i="83" s="1"/>
  <c r="AE272" i="83" s="1" a="1"/>
  <c r="AE272" i="83" s="1"/>
  <c r="AE186" i="83" a="1"/>
  <c r="AE186" i="83" s="1"/>
  <c r="AE260" i="83" s="1" a="1"/>
  <c r="AE260" i="83" s="1"/>
  <c r="AA185" i="83" a="1"/>
  <c r="AA185" i="83" s="1"/>
  <c r="AA259" i="83" s="1" a="1"/>
  <c r="AA259" i="83" s="1"/>
  <c r="AA197" i="83" a="1"/>
  <c r="AA197" i="83" s="1"/>
  <c r="AA271" i="83" s="1" a="1"/>
  <c r="AA271" i="83" s="1"/>
  <c r="AA183" i="83" a="1"/>
  <c r="AA183" i="83" s="1"/>
  <c r="AA257" i="83" s="1" a="1"/>
  <c r="AA257" i="83" s="1"/>
  <c r="AA195" i="83" a="1"/>
  <c r="AA195" i="83" s="1"/>
  <c r="AA269" i="83" s="1" a="1"/>
  <c r="AA269" i="83" s="1"/>
  <c r="AH177" i="83" a="1"/>
  <c r="AH177" i="83" s="1"/>
  <c r="AH251" i="83" s="1" a="1"/>
  <c r="AH251" i="83" s="1"/>
  <c r="AH189" i="83" a="1"/>
  <c r="AH189" i="83" s="1"/>
  <c r="AH263" i="83" s="1" a="1"/>
  <c r="AH263" i="83" s="1"/>
  <c r="Z200" i="83" a="1"/>
  <c r="Z200" i="83" s="1"/>
  <c r="Z274" i="83" s="1" a="1"/>
  <c r="Z274" i="83" s="1"/>
  <c r="Z188" i="83" a="1"/>
  <c r="Z188" i="83" s="1"/>
  <c r="Z262" i="83" s="1" a="1"/>
  <c r="Z262" i="83" s="1"/>
  <c r="AF194" i="83" a="1"/>
  <c r="AF194" i="83" s="1"/>
  <c r="AF268" i="83" s="1" a="1"/>
  <c r="AF268" i="83" s="1"/>
  <c r="AF182" i="83" a="1"/>
  <c r="AF182" i="83" s="1"/>
  <c r="AF256" i="83" s="1" a="1"/>
  <c r="AF256" i="83" s="1"/>
  <c r="L183" i="83" a="1"/>
  <c r="L183" i="83" s="1"/>
  <c r="L241" i="83" s="1" a="1"/>
  <c r="L241" i="83" s="1"/>
  <c r="L179" i="83" a="1"/>
  <c r="L179" i="83" s="1"/>
  <c r="L237" i="83" s="1" a="1"/>
  <c r="L237" i="83" s="1"/>
  <c r="O182" i="83" a="1"/>
  <c r="O182" i="83" s="1"/>
  <c r="O240" i="83" s="1" a="1"/>
  <c r="O240" i="83" s="1"/>
  <c r="O178" i="83" a="1"/>
  <c r="O178" i="83" s="1"/>
  <c r="O236" i="83" s="1" a="1"/>
  <c r="O236" i="83" s="1"/>
  <c r="F73" i="95" a="1"/>
  <c r="F73" i="95" s="1"/>
  <c r="F71" i="95" a="1"/>
  <c r="F71" i="95" s="1"/>
  <c r="F72" i="95" a="1"/>
  <c r="F72" i="95" s="1"/>
  <c r="F68" i="95" a="1"/>
  <c r="F68" i="95" s="1"/>
  <c r="F69" i="95" a="1"/>
  <c r="F69" i="95" s="1"/>
  <c r="F75" i="95" a="1"/>
  <c r="F75" i="95" s="1"/>
  <c r="F70" i="95" a="1"/>
  <c r="F70" i="95" s="1"/>
  <c r="F74" i="95" a="1"/>
  <c r="F74" i="95" s="1"/>
  <c r="G25" i="89"/>
  <c r="E252" i="117" s="1" a="1"/>
  <c r="P21" i="90" a="1"/>
  <c r="AB179" i="83" a="1"/>
  <c r="AB179" i="83" s="1"/>
  <c r="AB253" i="83" s="1" a="1"/>
  <c r="AB253" i="83" s="1"/>
  <c r="AB191" i="83" a="1"/>
  <c r="AB191" i="83" s="1"/>
  <c r="AB265" i="83" s="1" a="1"/>
  <c r="AB265" i="83" s="1"/>
  <c r="AC198" i="83" a="1"/>
  <c r="AC198" i="83" s="1"/>
  <c r="AC272" i="83" s="1" a="1"/>
  <c r="AC272" i="83" s="1"/>
  <c r="AC186" i="83" a="1"/>
  <c r="AC186" i="83" s="1"/>
  <c r="AC260" i="83" s="1" a="1"/>
  <c r="AC260" i="83" s="1"/>
  <c r="AC196" i="83" a="1"/>
  <c r="AC196" i="83" s="1"/>
  <c r="AC270" i="83" s="1" a="1"/>
  <c r="AC270" i="83" s="1"/>
  <c r="AC184" i="83" a="1"/>
  <c r="AC184" i="83" s="1"/>
  <c r="AC258" i="83" s="1" a="1"/>
  <c r="AC258" i="83" s="1"/>
  <c r="AE192" i="83" a="1"/>
  <c r="AE192" i="83" s="1"/>
  <c r="AE266" i="83" s="1" a="1"/>
  <c r="AE266" i="83" s="1"/>
  <c r="AE180" i="83" a="1"/>
  <c r="AE180" i="83" s="1"/>
  <c r="AE254" i="83" s="1" a="1"/>
  <c r="AE254" i="83" s="1"/>
  <c r="AA178" i="83" a="1"/>
  <c r="AA178" i="83" s="1"/>
  <c r="AA252" i="83" s="1" a="1"/>
  <c r="AA252" i="83" s="1"/>
  <c r="AA190" i="83" a="1"/>
  <c r="AA190" i="83" s="1"/>
  <c r="AA264" i="83" s="1" a="1"/>
  <c r="AA264" i="83" s="1"/>
  <c r="AE179" i="83" a="1"/>
  <c r="AE179" i="83" s="1"/>
  <c r="AE253" i="83" s="1" a="1"/>
  <c r="AE253" i="83" s="1"/>
  <c r="AE191" i="83" a="1"/>
  <c r="AE191" i="83" s="1"/>
  <c r="AE265" i="83" s="1" a="1"/>
  <c r="AE265" i="83" s="1"/>
  <c r="Z193" i="83" a="1"/>
  <c r="Z193" i="83" s="1"/>
  <c r="Z267" i="83" s="1" a="1"/>
  <c r="Z267" i="83" s="1"/>
  <c r="Z181" i="83" a="1"/>
  <c r="Z181" i="83" s="1"/>
  <c r="Z255" i="83" s="1" a="1"/>
  <c r="Z255" i="83" s="1"/>
  <c r="AH186" i="83" a="1"/>
  <c r="AH186" i="83" s="1"/>
  <c r="AH260" i="83" s="1" a="1"/>
  <c r="AH260" i="83" s="1"/>
  <c r="AH198" i="83" a="1"/>
  <c r="AH198" i="83" s="1"/>
  <c r="AH272" i="83" s="1" a="1"/>
  <c r="AH272" i="83" s="1"/>
  <c r="AA194" i="83" a="1"/>
  <c r="AA194" i="83" s="1"/>
  <c r="AA268" i="83" s="1" a="1"/>
  <c r="AA268" i="83" s="1"/>
  <c r="AA182" i="83" a="1"/>
  <c r="AA182" i="83" s="1"/>
  <c r="AA256" i="83" s="1" a="1"/>
  <c r="AA256" i="83" s="1"/>
  <c r="I13" i="89"/>
  <c r="P11" i="90" a="1"/>
  <c r="M181" i="83" a="1"/>
  <c r="M181" i="83" s="1"/>
  <c r="M239" i="83" s="1" a="1"/>
  <c r="M239" i="83" s="1"/>
  <c r="M177" i="83" a="1"/>
  <c r="M177" i="83" s="1"/>
  <c r="M235" i="83" s="1" a="1"/>
  <c r="M235" i="83" s="1"/>
  <c r="AD192" i="83" a="1"/>
  <c r="AD192" i="83" s="1"/>
  <c r="AD266" i="83" s="1" a="1"/>
  <c r="AD266" i="83" s="1"/>
  <c r="AD180" i="83" a="1"/>
  <c r="AD180" i="83" s="1"/>
  <c r="AD254" i="83" s="1" a="1"/>
  <c r="AD254" i="83" s="1"/>
  <c r="AC177" i="83" a="1"/>
  <c r="AC177" i="83" s="1"/>
  <c r="AC251" i="83" s="1" a="1"/>
  <c r="AC251" i="83" s="1"/>
  <c r="AC189" i="83" a="1"/>
  <c r="AC189" i="83" s="1"/>
  <c r="AC263" i="83" s="1" a="1"/>
  <c r="AC263" i="83" s="1"/>
  <c r="AC188" i="83" a="1"/>
  <c r="AC188" i="83" s="1"/>
  <c r="AC262" i="83" s="1" a="1"/>
  <c r="AC262" i="83" s="1"/>
  <c r="AC200" i="83" a="1"/>
  <c r="AC200" i="83" s="1"/>
  <c r="AC274" i="83" s="1" a="1"/>
  <c r="AC274" i="83" s="1"/>
  <c r="AF190" i="83" a="1"/>
  <c r="AF190" i="83" s="1"/>
  <c r="AF264" i="83" s="1" a="1"/>
  <c r="AF264" i="83" s="1"/>
  <c r="AF178" i="83" a="1"/>
  <c r="AF178" i="83" s="1"/>
  <c r="AF252" i="83" s="1" a="1"/>
  <c r="AF252" i="83" s="1"/>
  <c r="AG190" i="83" a="1"/>
  <c r="AG190" i="83" s="1"/>
  <c r="AG264" i="83" s="1" a="1"/>
  <c r="AG264" i="83" s="1"/>
  <c r="AG178" i="83" a="1"/>
  <c r="AG178" i="83" s="1"/>
  <c r="AG252" i="83" s="1" a="1"/>
  <c r="AG252" i="83" s="1"/>
  <c r="Y178" i="83" a="1"/>
  <c r="Y178" i="83" s="1"/>
  <c r="Y252" i="83" s="1" a="1"/>
  <c r="Y252" i="83" s="1"/>
  <c r="Y190" i="83" a="1"/>
  <c r="Y190" i="83" s="1"/>
  <c r="Y264" i="83" s="1" a="1"/>
  <c r="Y264" i="83" s="1"/>
  <c r="AG177" i="83" a="1"/>
  <c r="AG177" i="83" s="1"/>
  <c r="AG251" i="83" s="1" a="1"/>
  <c r="AG251" i="83" s="1"/>
  <c r="AG189" i="83" a="1"/>
  <c r="AG189" i="83" s="1"/>
  <c r="AG263" i="83" s="1" a="1"/>
  <c r="AG263" i="83" s="1"/>
  <c r="AA186" i="83" a="1"/>
  <c r="AA186" i="83" s="1"/>
  <c r="AA260" i="83" s="1" a="1"/>
  <c r="AA260" i="83" s="1"/>
  <c r="AA198" i="83" a="1"/>
  <c r="AA198" i="83" s="1"/>
  <c r="AA272" i="83" s="1" a="1"/>
  <c r="AA272" i="83" s="1"/>
  <c r="Z191" i="83" a="1"/>
  <c r="Z191" i="83" s="1"/>
  <c r="Z265" i="83" s="1" a="1"/>
  <c r="Z265" i="83" s="1"/>
  <c r="Z179" i="83" a="1"/>
  <c r="Z179" i="83" s="1"/>
  <c r="Z253" i="83" s="1" a="1"/>
  <c r="Z253" i="83" s="1"/>
  <c r="H180" i="83" a="1"/>
  <c r="H180" i="83" s="1"/>
  <c r="H238" i="83" s="1" a="1"/>
  <c r="H238" i="83" s="1"/>
  <c r="H184" i="83" a="1"/>
  <c r="H184" i="83" s="1"/>
  <c r="H242" i="83" s="1" a="1"/>
  <c r="H242" i="83" s="1"/>
  <c r="F179" i="83" a="1"/>
  <c r="F179" i="83" s="1"/>
  <c r="F237" i="83" s="1" a="1"/>
  <c r="F237" i="83" s="1"/>
  <c r="F183" i="83" a="1"/>
  <c r="F183" i="83" s="1"/>
  <c r="F241" i="83" s="1" a="1"/>
  <c r="F241" i="83" s="1"/>
  <c r="M178" i="83" a="1"/>
  <c r="M178" i="83" s="1"/>
  <c r="M236" i="83" s="1" a="1"/>
  <c r="M236" i="83" s="1"/>
  <c r="M182" i="83" a="1"/>
  <c r="M182" i="83" s="1"/>
  <c r="M240" i="83" s="1" a="1"/>
  <c r="M240" i="83" s="1"/>
  <c r="O108" i="90" a="1"/>
  <c r="O108" i="90" s="1"/>
  <c r="N106" i="90"/>
  <c r="N105" i="90"/>
  <c r="J56" i="89"/>
  <c r="I56" i="89"/>
  <c r="AD195" i="83" a="1"/>
  <c r="AD195" i="83" s="1"/>
  <c r="AD269" i="83" s="1" a="1"/>
  <c r="AD269" i="83" s="1"/>
  <c r="AD183" i="83" a="1"/>
  <c r="AD183" i="83" s="1"/>
  <c r="AD257" i="83" s="1" a="1"/>
  <c r="AD257" i="83" s="1"/>
  <c r="AB196" i="83" a="1"/>
  <c r="AB196" i="83" s="1"/>
  <c r="AB270" i="83" s="1" a="1"/>
  <c r="AB270" i="83" s="1"/>
  <c r="AB184" i="83" a="1"/>
  <c r="AB184" i="83" s="1"/>
  <c r="AB258" i="83" s="1" a="1"/>
  <c r="AB258" i="83" s="1"/>
  <c r="AD177" i="83" a="1"/>
  <c r="AD177" i="83" s="1"/>
  <c r="AD251" i="83" s="1" a="1"/>
  <c r="AD251" i="83" s="1"/>
  <c r="AD189" i="83" a="1"/>
  <c r="AD189" i="83" s="1"/>
  <c r="AD263" i="83" s="1" a="1"/>
  <c r="AD263" i="83" s="1"/>
  <c r="Z183" i="83" a="1"/>
  <c r="Z183" i="83" s="1"/>
  <c r="Z257" i="83" s="1" a="1"/>
  <c r="Z257" i="83" s="1"/>
  <c r="Z195" i="83" a="1"/>
  <c r="Z195" i="83" s="1"/>
  <c r="Z269" i="83" s="1" a="1"/>
  <c r="Z269" i="83" s="1"/>
  <c r="AG183" i="83" a="1"/>
  <c r="AG183" i="83" s="1"/>
  <c r="AG257" i="83" s="1" a="1"/>
  <c r="AG257" i="83" s="1"/>
  <c r="AG195" i="83" a="1"/>
  <c r="AG195" i="83" s="1"/>
  <c r="AG269" i="83" s="1" a="1"/>
  <c r="AG269" i="83" s="1"/>
  <c r="Y200" i="83" a="1"/>
  <c r="Y200" i="83" s="1"/>
  <c r="Y274" i="83" s="1" a="1"/>
  <c r="Y274" i="83" s="1"/>
  <c r="Y188" i="83" a="1"/>
  <c r="Y188" i="83" s="1"/>
  <c r="Y262" i="83" s="1" a="1"/>
  <c r="Y262" i="83" s="1"/>
  <c r="AH184" i="83" a="1"/>
  <c r="AH184" i="83" s="1"/>
  <c r="AH258" i="83" s="1" a="1"/>
  <c r="AH258" i="83" s="1"/>
  <c r="AH196" i="83" a="1"/>
  <c r="AH196" i="83" s="1"/>
  <c r="AH270" i="83" s="1" a="1"/>
  <c r="AH270" i="83" s="1"/>
  <c r="AE193" i="83" a="1"/>
  <c r="AE193" i="83" s="1"/>
  <c r="AE267" i="83" s="1" a="1"/>
  <c r="AE267" i="83" s="1"/>
  <c r="AE181" i="83" a="1"/>
  <c r="AE181" i="83" s="1"/>
  <c r="AE255" i="83" s="1" a="1"/>
  <c r="AE255" i="83" s="1"/>
  <c r="AF197" i="83" a="1"/>
  <c r="AF197" i="83" s="1"/>
  <c r="AF271" i="83" s="1" a="1"/>
  <c r="AF271" i="83" s="1"/>
  <c r="AF185" i="83" a="1"/>
  <c r="AF185" i="83" s="1"/>
  <c r="AF259" i="83" s="1" a="1"/>
  <c r="AF259" i="83" s="1"/>
  <c r="J183" i="83" a="1"/>
  <c r="J183" i="83" s="1"/>
  <c r="J241" i="83" s="1" a="1"/>
  <c r="J241" i="83" s="1"/>
  <c r="J179" i="83" a="1"/>
  <c r="J179" i="83" s="1"/>
  <c r="J237" i="83" s="1" a="1"/>
  <c r="J237" i="83" s="1"/>
  <c r="K181" i="83" a="1"/>
  <c r="K181" i="83" s="1"/>
  <c r="K239" i="83" s="1" a="1"/>
  <c r="K239" i="83" s="1"/>
  <c r="K177" i="83" a="1"/>
  <c r="K177" i="83" s="1"/>
  <c r="K235" i="83" s="1" a="1"/>
  <c r="K235" i="83" s="1"/>
  <c r="AB181" i="83" a="1"/>
  <c r="AB181" i="83" s="1"/>
  <c r="AB255" i="83" s="1" a="1"/>
  <c r="AB255" i="83" s="1"/>
  <c r="AB193" i="83" a="1"/>
  <c r="AB193" i="83" s="1"/>
  <c r="AB267" i="83" s="1" a="1"/>
  <c r="AB267" i="83" s="1"/>
  <c r="AF189" i="83" a="1"/>
  <c r="AF189" i="83" s="1"/>
  <c r="AF263" i="83" s="1" a="1"/>
  <c r="AF263" i="83" s="1"/>
  <c r="AF177" i="83" a="1"/>
  <c r="AF177" i="83" s="1"/>
  <c r="AF251" i="83" s="1" a="1"/>
  <c r="AF251" i="83" s="1"/>
  <c r="G182" i="83" a="1"/>
  <c r="G182" i="83" s="1"/>
  <c r="G240" i="83" s="1" a="1"/>
  <c r="G240" i="83" s="1"/>
  <c r="G178" i="83" a="1"/>
  <c r="G178" i="83" s="1"/>
  <c r="G236" i="83" s="1" a="1"/>
  <c r="G236" i="83" s="1"/>
  <c r="N178" i="83" a="1"/>
  <c r="N178" i="83" s="1"/>
  <c r="N236" i="83" s="1" a="1"/>
  <c r="N236" i="83" s="1"/>
  <c r="N182" i="83" a="1"/>
  <c r="N182" i="83" s="1"/>
  <c r="N240" i="83" s="1" a="1"/>
  <c r="N240" i="83" s="1"/>
  <c r="AB189" i="83" a="1"/>
  <c r="AB189" i="83" s="1"/>
  <c r="AB263" i="83" s="1" a="1"/>
  <c r="AB263" i="83" s="1"/>
  <c r="AB177" i="83" a="1"/>
  <c r="AB177" i="83" s="1"/>
  <c r="AB251" i="83" s="1" a="1"/>
  <c r="AB251" i="83" s="1"/>
  <c r="AF195" i="83" a="1"/>
  <c r="AF195" i="83" s="1"/>
  <c r="AF269" i="83" s="1" a="1"/>
  <c r="AF269" i="83" s="1"/>
  <c r="AF183" i="83" a="1"/>
  <c r="AF183" i="83" s="1"/>
  <c r="AF257" i="83" s="1" a="1"/>
  <c r="AF257" i="83" s="1"/>
  <c r="N183" i="83" a="1"/>
  <c r="N183" i="83" s="1"/>
  <c r="N241" i="83" s="1" a="1"/>
  <c r="N241" i="83" s="1"/>
  <c r="N179" i="83" a="1"/>
  <c r="N179" i="83" s="1"/>
  <c r="N237" i="83" s="1" a="1"/>
  <c r="N237" i="83" s="1"/>
  <c r="AC185" i="83" a="1"/>
  <c r="AC185" i="83" s="1"/>
  <c r="AC259" i="83" s="1" a="1"/>
  <c r="AC259" i="83" s="1"/>
  <c r="AC197" i="83" a="1"/>
  <c r="AC197" i="83" s="1"/>
  <c r="AC271" i="83" s="1" a="1"/>
  <c r="AC271" i="83" s="1"/>
  <c r="Z198" i="83" a="1"/>
  <c r="Z198" i="83" s="1"/>
  <c r="Z272" i="83" s="1" a="1"/>
  <c r="Z272" i="83" s="1"/>
  <c r="Z186" i="83" a="1"/>
  <c r="Z186" i="83" s="1"/>
  <c r="Z260" i="83" s="1" a="1"/>
  <c r="Z260" i="83" s="1"/>
  <c r="J178" i="83" a="1"/>
  <c r="J178" i="83" s="1"/>
  <c r="J236" i="83" s="1" a="1"/>
  <c r="J236" i="83" s="1"/>
  <c r="J182" i="83" a="1"/>
  <c r="J182" i="83" s="1"/>
  <c r="J240" i="83" s="1" a="1"/>
  <c r="J240" i="83" s="1"/>
  <c r="F181" i="83" a="1"/>
  <c r="F181" i="83" s="1"/>
  <c r="F239" i="83" s="1" a="1"/>
  <c r="F239" i="83" s="1"/>
  <c r="F177" i="83" a="1"/>
  <c r="F177" i="83" s="1"/>
  <c r="F235" i="83" s="1" a="1"/>
  <c r="F235" i="83" s="1"/>
  <c r="E25" i="72"/>
  <c r="F142" i="94" a="1"/>
  <c r="F142" i="94" s="1"/>
  <c r="F144" i="94" a="1"/>
  <c r="F144" i="94" s="1"/>
  <c r="F138" i="94" a="1"/>
  <c r="F138" i="94" s="1"/>
  <c r="F143" i="94" a="1"/>
  <c r="F143" i="94" s="1"/>
  <c r="F139" i="94" a="1"/>
  <c r="F139" i="94" s="1"/>
  <c r="F141" i="94" a="1"/>
  <c r="F141" i="94" s="1"/>
  <c r="F140" i="94" a="1"/>
  <c r="F140" i="94" s="1"/>
  <c r="F137" i="94" a="1"/>
  <c r="F137" i="94" s="1"/>
  <c r="J54" i="89"/>
  <c r="F20" i="92" a="1"/>
  <c r="F20" i="92" s="1"/>
  <c r="I54" i="89"/>
  <c r="G20" i="92" a="1"/>
  <c r="Y197" i="83" a="1"/>
  <c r="Y197" i="83" s="1"/>
  <c r="Y271" i="83" s="1" a="1"/>
  <c r="Y271" i="83" s="1"/>
  <c r="Y185" i="83" a="1"/>
  <c r="Y185" i="83" s="1"/>
  <c r="Y259" i="83" s="1" a="1"/>
  <c r="Y259" i="83" s="1"/>
  <c r="AE178" i="83" a="1"/>
  <c r="AE178" i="83" s="1"/>
  <c r="AE252" i="83" s="1" a="1"/>
  <c r="AE252" i="83" s="1"/>
  <c r="AE190" i="83" a="1"/>
  <c r="AE190" i="83" s="1"/>
  <c r="AE264" i="83" s="1" a="1"/>
  <c r="AE264" i="83" s="1"/>
  <c r="I182" i="83" a="1"/>
  <c r="I182" i="83" s="1"/>
  <c r="I240" i="83" s="1" a="1"/>
  <c r="I240" i="83" s="1"/>
  <c r="I178" i="83" a="1"/>
  <c r="I178" i="83" s="1"/>
  <c r="I236" i="83" s="1" a="1"/>
  <c r="I236" i="83" s="1"/>
  <c r="F178" i="83" a="1"/>
  <c r="F178" i="83" s="1"/>
  <c r="F236" i="83" s="1" a="1"/>
  <c r="F236" i="83" s="1"/>
  <c r="F182" i="83" a="1"/>
  <c r="F182" i="83" s="1"/>
  <c r="F240" i="83" s="1" a="1"/>
  <c r="F240" i="83" s="1"/>
  <c r="AB194" i="83" a="1"/>
  <c r="AB194" i="83" s="1"/>
  <c r="AB268" i="83" s="1" a="1"/>
  <c r="AB268" i="83" s="1"/>
  <c r="AB182" i="83" a="1"/>
  <c r="AB182" i="83" s="1"/>
  <c r="AB256" i="83" s="1" a="1"/>
  <c r="AB256" i="83" s="1"/>
  <c r="AD186" i="83" a="1"/>
  <c r="AD186" i="83" s="1"/>
  <c r="AD260" i="83" s="1" a="1"/>
  <c r="AD260" i="83" s="1"/>
  <c r="AD198" i="83" a="1"/>
  <c r="AD198" i="83" s="1"/>
  <c r="AD272" i="83" s="1" a="1"/>
  <c r="AD272" i="83" s="1"/>
  <c r="AF191" i="83" a="1"/>
  <c r="AF191" i="83" s="1"/>
  <c r="AF265" i="83" s="1" a="1"/>
  <c r="AF265" i="83" s="1"/>
  <c r="AF179" i="83" a="1"/>
  <c r="AF179" i="83" s="1"/>
  <c r="AF253" i="83" s="1" a="1"/>
  <c r="AF253" i="83" s="1"/>
  <c r="AE188" i="83" a="1"/>
  <c r="AE188" i="83" s="1"/>
  <c r="AE262" i="83" s="1" a="1"/>
  <c r="AE262" i="83" s="1"/>
  <c r="AE200" i="83" a="1"/>
  <c r="AE200" i="83" s="1"/>
  <c r="AE274" i="83" s="1" a="1"/>
  <c r="AE274" i="83" s="1"/>
  <c r="AH182" i="83" a="1"/>
  <c r="AH182" i="83" s="1"/>
  <c r="AH256" i="83" s="1" a="1"/>
  <c r="AH256" i="83" s="1"/>
  <c r="AH194" i="83" a="1"/>
  <c r="AH194" i="83" s="1"/>
  <c r="AH268" i="83" s="1" a="1"/>
  <c r="AH268" i="83" s="1"/>
  <c r="AH199" i="83" a="1"/>
  <c r="AH199" i="83" s="1"/>
  <c r="AH273" i="83" s="1" a="1"/>
  <c r="AH273" i="83" s="1"/>
  <c r="AH187" i="83" a="1"/>
  <c r="AH187" i="83" s="1"/>
  <c r="AH261" i="83" s="1" a="1"/>
  <c r="AH261" i="83" s="1"/>
  <c r="Y179" i="83" a="1"/>
  <c r="Y179" i="83" s="1"/>
  <c r="Y253" i="83" s="1" a="1"/>
  <c r="Y253" i="83" s="1"/>
  <c r="Y191" i="83" a="1"/>
  <c r="Y191" i="83" s="1"/>
  <c r="Y265" i="83" s="1" a="1"/>
  <c r="Y265" i="83" s="1"/>
  <c r="Y180" i="83" a="1"/>
  <c r="Y180" i="83" s="1"/>
  <c r="Y254" i="83" s="1" a="1"/>
  <c r="Y254" i="83" s="1"/>
  <c r="Y192" i="83" a="1"/>
  <c r="Y192" i="83" s="1"/>
  <c r="Y266" i="83" s="1" a="1"/>
  <c r="Y266" i="83" s="1"/>
  <c r="N184" i="83" a="1"/>
  <c r="N184" i="83" s="1"/>
  <c r="N242" i="83" s="1" a="1"/>
  <c r="N242" i="83" s="1"/>
  <c r="N180" i="83" a="1"/>
  <c r="N180" i="83" s="1"/>
  <c r="N238" i="83" s="1" a="1"/>
  <c r="N238" i="83" s="1"/>
  <c r="Z180" i="83" a="1"/>
  <c r="Z180" i="83" s="1"/>
  <c r="Z254" i="83" s="1" a="1"/>
  <c r="Z254" i="83" s="1"/>
  <c r="Z192" i="83" a="1"/>
  <c r="Z192" i="83" s="1"/>
  <c r="Z266" i="83" s="1" a="1"/>
  <c r="Z266" i="83" s="1"/>
  <c r="Y183" i="83" a="1"/>
  <c r="Y183" i="83" s="1"/>
  <c r="Y257" i="83" s="1" a="1"/>
  <c r="Y257" i="83" s="1"/>
  <c r="Y195" i="83" a="1"/>
  <c r="Y195" i="83" s="1"/>
  <c r="Y269" i="83" s="1" a="1"/>
  <c r="Y269" i="83" s="1"/>
  <c r="O181" i="83" a="1"/>
  <c r="O181" i="83" s="1"/>
  <c r="O239" i="83" s="1" a="1"/>
  <c r="O239" i="83" s="1"/>
  <c r="O177" i="83" a="1"/>
  <c r="O177" i="83" s="1"/>
  <c r="O235" i="83" s="1" a="1"/>
  <c r="O235" i="83" s="1"/>
  <c r="I180" i="83" a="1"/>
  <c r="I180" i="83" s="1"/>
  <c r="I238" i="83" s="1" a="1"/>
  <c r="I238" i="83" s="1"/>
  <c r="I184" i="83" a="1"/>
  <c r="I184" i="83" s="1"/>
  <c r="I242" i="83" s="1" a="1"/>
  <c r="I242" i="83" s="1"/>
  <c r="N177" i="83" a="1"/>
  <c r="N177" i="83" s="1"/>
  <c r="N235" i="83" s="1" a="1"/>
  <c r="N235" i="83" s="1"/>
  <c r="N181" i="83" a="1"/>
  <c r="N181" i="83" s="1"/>
  <c r="N239" i="83" s="1" a="1"/>
  <c r="N239" i="83" s="1"/>
  <c r="L182" i="83" a="1"/>
  <c r="L182" i="83" s="1"/>
  <c r="L240" i="83" s="1" a="1"/>
  <c r="L240" i="83" s="1"/>
  <c r="L178" i="83" a="1"/>
  <c r="L178" i="83" s="1"/>
  <c r="L236" i="83" s="1" a="1"/>
  <c r="L236" i="83" s="1"/>
  <c r="E128" i="88"/>
  <c r="G130" i="88" s="1"/>
  <c r="E133" i="88" s="1" a="1"/>
  <c r="E133" i="88" s="1"/>
  <c r="F44" i="81"/>
  <c r="G44" i="81"/>
  <c r="AB192" i="83" a="1"/>
  <c r="AB192" i="83" s="1"/>
  <c r="AB266" i="83" s="1" a="1"/>
  <c r="AB266" i="83" s="1"/>
  <c r="AB180" i="83" a="1"/>
  <c r="AB180" i="83" s="1"/>
  <c r="AB254" i="83" s="1" a="1"/>
  <c r="AB254" i="83" s="1"/>
  <c r="AD185" i="83" a="1"/>
  <c r="AD185" i="83" s="1"/>
  <c r="AD259" i="83" s="1" a="1"/>
  <c r="AD259" i="83" s="1"/>
  <c r="AD197" i="83" a="1"/>
  <c r="AD197" i="83" s="1"/>
  <c r="AD271" i="83" s="1" a="1"/>
  <c r="AD271" i="83" s="1"/>
  <c r="Z197" i="83" a="1"/>
  <c r="Z197" i="83" s="1"/>
  <c r="Z271" i="83" s="1" a="1"/>
  <c r="Z271" i="83" s="1"/>
  <c r="Z185" i="83" a="1"/>
  <c r="Z185" i="83" s="1"/>
  <c r="Z259" i="83" s="1" a="1"/>
  <c r="Z259" i="83" s="1"/>
  <c r="AG180" i="83" a="1"/>
  <c r="AG180" i="83" s="1"/>
  <c r="AG254" i="83" s="1" a="1"/>
  <c r="AG254" i="83" s="1"/>
  <c r="AG192" i="83" a="1"/>
  <c r="AG192" i="83" s="1"/>
  <c r="AG266" i="83" s="1" a="1"/>
  <c r="AG266" i="83" s="1"/>
  <c r="AA188" i="83" a="1"/>
  <c r="AA188" i="83" s="1"/>
  <c r="AA262" i="83" s="1" a="1"/>
  <c r="AA262" i="83" s="1"/>
  <c r="AA200" i="83" a="1"/>
  <c r="AA200" i="83" s="1"/>
  <c r="AA274" i="83" s="1" a="1"/>
  <c r="AA274" i="83" s="1"/>
  <c r="AF187" i="83" a="1"/>
  <c r="AF187" i="83" s="1"/>
  <c r="AF261" i="83" s="1" a="1"/>
  <c r="AF261" i="83" s="1"/>
  <c r="AF199" i="83" a="1"/>
  <c r="AF199" i="83" s="1"/>
  <c r="AF273" i="83" s="1" a="1"/>
  <c r="AF273" i="83" s="1"/>
  <c r="AA191" i="83" a="1"/>
  <c r="AA191" i="83" s="1"/>
  <c r="AA265" i="83" s="1" a="1"/>
  <c r="AA265" i="83" s="1"/>
  <c r="AA179" i="83" a="1"/>
  <c r="AA179" i="83" s="1"/>
  <c r="AA253" i="83" s="1" a="1"/>
  <c r="AA253" i="83" s="1"/>
  <c r="AF200" i="83" a="1"/>
  <c r="AF200" i="83" s="1"/>
  <c r="AF274" i="83" s="1" a="1"/>
  <c r="AF274" i="83" s="1"/>
  <c r="AF188" i="83" a="1"/>
  <c r="AF188" i="83" s="1"/>
  <c r="AF262" i="83" s="1" a="1"/>
  <c r="AF262" i="83" s="1"/>
  <c r="AD190" i="83" a="1"/>
  <c r="AD190" i="83" s="1"/>
  <c r="AD264" i="83" s="1" a="1"/>
  <c r="AD264" i="83" s="1"/>
  <c r="AD178" i="83" a="1"/>
  <c r="AD178" i="83" s="1"/>
  <c r="AD252" i="83" s="1" a="1"/>
  <c r="AD252" i="83" s="1"/>
  <c r="AF181" i="83" a="1"/>
  <c r="AF181" i="83" s="1"/>
  <c r="AF255" i="83" s="1" a="1"/>
  <c r="AF255" i="83" s="1"/>
  <c r="AF193" i="83" a="1"/>
  <c r="AF193" i="83" s="1"/>
  <c r="AF267" i="83" s="1" a="1"/>
  <c r="AF267" i="83" s="1"/>
  <c r="AA177" i="83" a="1"/>
  <c r="AA177" i="83" s="1"/>
  <c r="AA251" i="83" s="1" a="1"/>
  <c r="AA251" i="83" s="1"/>
  <c r="AA189" i="83" a="1"/>
  <c r="AA189" i="83" s="1"/>
  <c r="AA263" i="83" s="1" a="1"/>
  <c r="AA263" i="83" s="1"/>
  <c r="I55" i="89"/>
  <c r="J55" i="89"/>
  <c r="V162" i="88"/>
  <c r="X164" i="88" s="1"/>
  <c r="V167" i="88" s="1" a="1"/>
  <c r="V167" i="88" s="1"/>
  <c r="AB183" i="83" a="1"/>
  <c r="AB183" i="83" s="1"/>
  <c r="AB257" i="83" s="1" a="1"/>
  <c r="AB257" i="83" s="1"/>
  <c r="AB195" i="83" a="1"/>
  <c r="AB195" i="83" s="1"/>
  <c r="AB269" i="83" s="1" a="1"/>
  <c r="AB269" i="83" s="1"/>
  <c r="AD188" i="83" a="1"/>
  <c r="AD188" i="83" s="1"/>
  <c r="AD262" i="83" s="1" a="1"/>
  <c r="AD262" i="83" s="1"/>
  <c r="AD200" i="83" a="1"/>
  <c r="AD200" i="83" s="1"/>
  <c r="AD274" i="83" s="1" a="1"/>
  <c r="AD274" i="83" s="1"/>
  <c r="AE182" i="83" a="1"/>
  <c r="AE182" i="83" s="1"/>
  <c r="AE256" i="83" s="1" a="1"/>
  <c r="AE256" i="83" s="1"/>
  <c r="AE194" i="83" a="1"/>
  <c r="AE194" i="83" s="1"/>
  <c r="AE268" i="83" s="1" a="1"/>
  <c r="AE268" i="83" s="1"/>
  <c r="Z194" i="83" a="1"/>
  <c r="Z194" i="83" s="1"/>
  <c r="Z268" i="83" s="1" a="1"/>
  <c r="Z268" i="83" s="1"/>
  <c r="Z182" i="83" a="1"/>
  <c r="Z182" i="83" s="1"/>
  <c r="Z256" i="83" s="1" a="1"/>
  <c r="Z256" i="83" s="1"/>
  <c r="AF186" i="83" a="1"/>
  <c r="AF186" i="83" s="1"/>
  <c r="AF260" i="83" s="1" a="1"/>
  <c r="AF260" i="83" s="1"/>
  <c r="AF198" i="83" a="1"/>
  <c r="AF198" i="83" s="1"/>
  <c r="AF272" i="83" s="1" a="1"/>
  <c r="AF272" i="83" s="1"/>
  <c r="AG193" i="83" a="1"/>
  <c r="AG193" i="83" s="1"/>
  <c r="AG267" i="83" s="1" a="1"/>
  <c r="AG267" i="83" s="1"/>
  <c r="AG181" i="83" a="1"/>
  <c r="AG181" i="83" s="1"/>
  <c r="AG255" i="83" s="1" a="1"/>
  <c r="AG255" i="83" s="1"/>
  <c r="AG186" i="83" a="1"/>
  <c r="AG186" i="83" s="1"/>
  <c r="AG260" i="83" s="1" a="1"/>
  <c r="AG260" i="83" s="1"/>
  <c r="AG198" i="83" a="1"/>
  <c r="AG198" i="83" s="1"/>
  <c r="AG272" i="83" s="1" a="1"/>
  <c r="AG272" i="83" s="1"/>
  <c r="Y196" i="83" a="1"/>
  <c r="Y196" i="83" s="1"/>
  <c r="Y270" i="83" s="1" a="1"/>
  <c r="Y270" i="83" s="1"/>
  <c r="Y184" i="83" a="1"/>
  <c r="Y184" i="83" s="1"/>
  <c r="Y258" i="83" s="1" a="1"/>
  <c r="Y258" i="83" s="1"/>
  <c r="AC191" i="83" a="1"/>
  <c r="AC191" i="83" s="1"/>
  <c r="AC265" i="83" s="1" a="1"/>
  <c r="AC265" i="83" s="1"/>
  <c r="AC179" i="83" a="1"/>
  <c r="AC179" i="83" s="1"/>
  <c r="AC253" i="83" s="1" a="1"/>
  <c r="AC253" i="83" s="1"/>
  <c r="Y199" i="83" a="1"/>
  <c r="Y199" i="83" s="1"/>
  <c r="Y273" i="83" s="1" a="1"/>
  <c r="Y273" i="83" s="1"/>
  <c r="Y187" i="83" a="1"/>
  <c r="Y187" i="83" s="1"/>
  <c r="Y261" i="83" s="1" a="1"/>
  <c r="Y261" i="83" s="1"/>
  <c r="AA181" i="83" a="1"/>
  <c r="AA181" i="83" s="1"/>
  <c r="AA255" i="83" s="1" a="1"/>
  <c r="AA255" i="83" s="1"/>
  <c r="AA193" i="83" a="1"/>
  <c r="AA193" i="83" s="1"/>
  <c r="AA267" i="83" s="1" a="1"/>
  <c r="AA267" i="83" s="1"/>
  <c r="AD196" i="83" a="1"/>
  <c r="AD196" i="83" s="1"/>
  <c r="AD270" i="83" s="1" a="1"/>
  <c r="AD270" i="83" s="1"/>
  <c r="AD184" i="83" a="1"/>
  <c r="AD184" i="83" s="1"/>
  <c r="AD258" i="83" s="1" a="1"/>
  <c r="AD258" i="83" s="1"/>
  <c r="AG188" i="83" a="1"/>
  <c r="AG188" i="83" s="1"/>
  <c r="AG262" i="83" s="1" a="1"/>
  <c r="AG262" i="83" s="1"/>
  <c r="AG200" i="83" a="1"/>
  <c r="AG200" i="83" s="1"/>
  <c r="AG274" i="83" s="1" a="1"/>
  <c r="AG274" i="83" s="1"/>
  <c r="I181" i="83" a="1"/>
  <c r="I181" i="83" s="1"/>
  <c r="I239" i="83" s="1" a="1"/>
  <c r="I239" i="83" s="1"/>
  <c r="I177" i="83" a="1"/>
  <c r="I177" i="83" s="1"/>
  <c r="I235" i="83" s="1" a="1"/>
  <c r="I235" i="83" s="1"/>
  <c r="F180" i="83" a="1"/>
  <c r="F180" i="83" s="1"/>
  <c r="F238" i="83" s="1" a="1"/>
  <c r="F238" i="83" s="1"/>
  <c r="F184" i="83" a="1"/>
  <c r="F184" i="83" s="1"/>
  <c r="F242" i="83" s="1" a="1"/>
  <c r="F242" i="83" s="1"/>
  <c r="H182" i="83" a="1"/>
  <c r="H182" i="83" s="1"/>
  <c r="H240" i="83" s="1" a="1"/>
  <c r="H240" i="83" s="1"/>
  <c r="H178" i="83" a="1"/>
  <c r="H178" i="83" s="1"/>
  <c r="H236" i="83" s="1" a="1"/>
  <c r="H236" i="83" s="1"/>
  <c r="K182" i="83" a="1"/>
  <c r="K182" i="83" s="1"/>
  <c r="K240" i="83" s="1" a="1"/>
  <c r="K240" i="83" s="1"/>
  <c r="K178" i="83" a="1"/>
  <c r="K178" i="83" s="1"/>
  <c r="K236" i="83" s="1" a="1"/>
  <c r="K236" i="83" s="1"/>
  <c r="M180" i="83" a="1"/>
  <c r="M180" i="83" s="1"/>
  <c r="M238" i="83" s="1" a="1"/>
  <c r="M238" i="83" s="1"/>
  <c r="M184" i="83" a="1"/>
  <c r="M184" i="83" s="1"/>
  <c r="M242" i="83" s="1" a="1"/>
  <c r="M242" i="83" s="1"/>
  <c r="O180" i="83" a="1"/>
  <c r="O180" i="83" s="1"/>
  <c r="O238" i="83" s="1" a="1"/>
  <c r="O238" i="83" s="1"/>
  <c r="O184" i="83" a="1"/>
  <c r="O184" i="83" s="1"/>
  <c r="O242" i="83" s="1" a="1"/>
  <c r="O242" i="83" s="1"/>
  <c r="E25" i="93" a="1"/>
  <c r="AD193" i="83" a="1"/>
  <c r="AD193" i="83" s="1"/>
  <c r="AD267" i="83" s="1" a="1"/>
  <c r="AD267" i="83" s="1"/>
  <c r="AD181" i="83" a="1"/>
  <c r="AD181" i="83" s="1"/>
  <c r="AD255" i="83" s="1" a="1"/>
  <c r="AD255" i="83" s="1"/>
  <c r="AB199" i="83" a="1"/>
  <c r="AB199" i="83" s="1"/>
  <c r="AB273" i="83" s="1" a="1"/>
  <c r="AB273" i="83" s="1"/>
  <c r="AB187" i="83" a="1"/>
  <c r="AB187" i="83" s="1"/>
  <c r="AB261" i="83" s="1" a="1"/>
  <c r="AB261" i="83" s="1"/>
  <c r="AG199" i="83" a="1"/>
  <c r="AG199" i="83" s="1"/>
  <c r="AG273" i="83" s="1" a="1"/>
  <c r="AG273" i="83" s="1"/>
  <c r="AG187" i="83" a="1"/>
  <c r="AG187" i="83" s="1"/>
  <c r="AG261" i="83" s="1" a="1"/>
  <c r="AG261" i="83" s="1"/>
  <c r="Y194" i="83" a="1"/>
  <c r="Y194" i="83" s="1"/>
  <c r="Y268" i="83" s="1" a="1"/>
  <c r="Y268" i="83" s="1"/>
  <c r="Y182" i="83" a="1"/>
  <c r="Y182" i="83" s="1"/>
  <c r="Y256" i="83" s="1" a="1"/>
  <c r="Y256" i="83" s="1"/>
  <c r="AA196" i="83" a="1"/>
  <c r="AA196" i="83" s="1"/>
  <c r="AA270" i="83" s="1" a="1"/>
  <c r="AA270" i="83" s="1"/>
  <c r="AA184" i="83" a="1"/>
  <c r="AA184" i="83" s="1"/>
  <c r="AA258" i="83" s="1" a="1"/>
  <c r="AA258" i="83" s="1"/>
  <c r="AH200" i="83" a="1"/>
  <c r="AH200" i="83" s="1"/>
  <c r="AH274" i="83" s="1" a="1"/>
  <c r="AH274" i="83" s="1"/>
  <c r="AH188" i="83" a="1"/>
  <c r="AH188" i="83" s="1"/>
  <c r="AH262" i="83" s="1" a="1"/>
  <c r="AH262" i="83" s="1"/>
  <c r="AH197" i="83" a="1"/>
  <c r="AH197" i="83" s="1"/>
  <c r="AH271" i="83" s="1" a="1"/>
  <c r="AH271" i="83" s="1"/>
  <c r="AH185" i="83" a="1"/>
  <c r="AH185" i="83" s="1"/>
  <c r="AH259" i="83" s="1" a="1"/>
  <c r="AH259" i="83" s="1"/>
  <c r="AE183" i="83" a="1"/>
  <c r="AE183" i="83" s="1"/>
  <c r="AE257" i="83" s="1" a="1"/>
  <c r="AE257" i="83" s="1"/>
  <c r="AE195" i="83" a="1"/>
  <c r="AE195" i="83" s="1"/>
  <c r="AE269" i="83" s="1" a="1"/>
  <c r="AE269" i="83" s="1"/>
  <c r="AC180" i="83" a="1"/>
  <c r="AC180" i="83" s="1"/>
  <c r="AC254" i="83" s="1" a="1"/>
  <c r="AC254" i="83" s="1"/>
  <c r="AC192" i="83" a="1"/>
  <c r="AC192" i="83" s="1"/>
  <c r="AC266" i="83" s="1" a="1"/>
  <c r="AC266" i="83" s="1"/>
  <c r="AB198" i="83" a="1"/>
  <c r="AB198" i="83" s="1"/>
  <c r="AB272" i="83" s="1" a="1"/>
  <c r="AB272" i="83" s="1"/>
  <c r="AB186" i="83" a="1"/>
  <c r="AB186" i="83" s="1"/>
  <c r="AB260" i="83" s="1" a="1"/>
  <c r="AB260" i="83" s="1"/>
  <c r="AA199" i="83" a="1"/>
  <c r="AA199" i="83" s="1"/>
  <c r="AA273" i="83" s="1" a="1"/>
  <c r="AA273" i="83" s="1"/>
  <c r="AA187" i="83" a="1"/>
  <c r="AA187" i="83" s="1"/>
  <c r="AA261" i="83" s="1" a="1"/>
  <c r="AA261" i="83" s="1"/>
  <c r="Y177" i="83" a="1"/>
  <c r="Y177" i="83" s="1"/>
  <c r="Y251" i="83" s="1" a="1"/>
  <c r="Y251" i="83" s="1"/>
  <c r="Y189" i="83" a="1"/>
  <c r="Y189" i="83" s="1"/>
  <c r="Y263" i="83" s="1" a="1"/>
  <c r="Y263" i="83" s="1"/>
  <c r="E26" i="72"/>
  <c r="Z189" i="83" a="1"/>
  <c r="Z189" i="83" s="1"/>
  <c r="Z263" i="83" s="1" a="1"/>
  <c r="Z263" i="83" s="1"/>
  <c r="Z177" i="83" a="1"/>
  <c r="Z177" i="83" s="1"/>
  <c r="Z251" i="83" s="1" a="1"/>
  <c r="Z251" i="83" s="1"/>
  <c r="AH195" i="83" a="1"/>
  <c r="AH195" i="83" s="1"/>
  <c r="AH269" i="83" s="1" a="1"/>
  <c r="AH269" i="83" s="1"/>
  <c r="AH183" i="83" a="1"/>
  <c r="AH183" i="83" s="1"/>
  <c r="AH257" i="83" s="1" a="1"/>
  <c r="AH257" i="83" s="1"/>
  <c r="AH192" i="83" a="1"/>
  <c r="AH192" i="83" s="1"/>
  <c r="AH266" i="83" s="1" a="1"/>
  <c r="AH266" i="83" s="1"/>
  <c r="AH180" i="83" a="1"/>
  <c r="AH180" i="83" s="1"/>
  <c r="AH254" i="83" s="1" a="1"/>
  <c r="AH254" i="83" s="1"/>
  <c r="AH193" i="83" a="1"/>
  <c r="AH193" i="83" s="1"/>
  <c r="AH267" i="83" s="1" a="1"/>
  <c r="AH267" i="83" s="1"/>
  <c r="AH181" i="83" a="1"/>
  <c r="AH181" i="83" s="1"/>
  <c r="AH255" i="83" s="1" a="1"/>
  <c r="AH255" i="83" s="1"/>
  <c r="G181" i="83" a="1"/>
  <c r="G181" i="83" s="1"/>
  <c r="G239" i="83" s="1" a="1"/>
  <c r="G239" i="83" s="1"/>
  <c r="G177" i="83" a="1"/>
  <c r="G177" i="83" s="1"/>
  <c r="G235" i="83" s="1" a="1"/>
  <c r="G235" i="83" s="1"/>
  <c r="L180" i="83" a="1"/>
  <c r="L180" i="83" s="1"/>
  <c r="L238" i="83" s="1" a="1"/>
  <c r="L238" i="83" s="1"/>
  <c r="L184" i="83" a="1"/>
  <c r="L184" i="83" s="1"/>
  <c r="L242" i="83" s="1" a="1"/>
  <c r="L242" i="83" s="1"/>
  <c r="H183" i="83" a="1"/>
  <c r="H183" i="83" s="1"/>
  <c r="H241" i="83" s="1" a="1"/>
  <c r="H241" i="83" s="1"/>
  <c r="H179" i="83" a="1"/>
  <c r="H179" i="83" s="1"/>
  <c r="H237" i="83" s="1" a="1"/>
  <c r="H237" i="83" s="1"/>
  <c r="AA192" i="83" a="1"/>
  <c r="AA192" i="83" s="1"/>
  <c r="AA266" i="83" s="1" a="1"/>
  <c r="AA266" i="83" s="1"/>
  <c r="AA180" i="83" a="1"/>
  <c r="AA180" i="83" s="1"/>
  <c r="AA254" i="83" s="1" a="1"/>
  <c r="AA254" i="83" s="1"/>
  <c r="Z199" i="83" a="1"/>
  <c r="Z199" i="83" s="1"/>
  <c r="Z273" i="83" s="1" a="1"/>
  <c r="Z273" i="83" s="1"/>
  <c r="Z187" i="83" a="1"/>
  <c r="Z187" i="83" s="1"/>
  <c r="Z261" i="83" s="1" a="1"/>
  <c r="Z261" i="83" s="1"/>
  <c r="AH191" i="83" a="1"/>
  <c r="AH191" i="83" s="1"/>
  <c r="AH265" i="83" s="1" a="1"/>
  <c r="AH265" i="83" s="1"/>
  <c r="AH179" i="83" a="1"/>
  <c r="AH179" i="83" s="1"/>
  <c r="AH253" i="83" s="1" a="1"/>
  <c r="AH253" i="83" s="1"/>
  <c r="AE187" i="83" a="1"/>
  <c r="AE187" i="83" s="1"/>
  <c r="AE261" i="83" s="1" a="1"/>
  <c r="AE261" i="83" s="1"/>
  <c r="AE199" i="83" a="1"/>
  <c r="AE199" i="83" s="1"/>
  <c r="AE273" i="83" s="1" a="1"/>
  <c r="AE273" i="83" s="1"/>
  <c r="J180" i="83" a="1"/>
  <c r="J180" i="83" s="1"/>
  <c r="J238" i="83" s="1" a="1"/>
  <c r="J238" i="83" s="1"/>
  <c r="J184" i="83" a="1"/>
  <c r="J184" i="83" s="1"/>
  <c r="J242" i="83" s="1" a="1"/>
  <c r="J242" i="83" s="1"/>
  <c r="K180" i="83" a="1"/>
  <c r="K180" i="83" s="1"/>
  <c r="K238" i="83" s="1" a="1"/>
  <c r="K238" i="83" s="1"/>
  <c r="K184" i="83" a="1"/>
  <c r="K184" i="83" s="1"/>
  <c r="K242" i="83" s="1" a="1"/>
  <c r="K242" i="83" s="1"/>
  <c r="AB178" i="83" a="1"/>
  <c r="AB178" i="83" s="1"/>
  <c r="AB252" i="83" s="1" a="1"/>
  <c r="AB252" i="83" s="1"/>
  <c r="AB190" i="83" a="1"/>
  <c r="AB190" i="83" s="1"/>
  <c r="AB264" i="83" s="1" a="1"/>
  <c r="AB264" i="83" s="1"/>
  <c r="AC195" i="83" a="1"/>
  <c r="AC195" i="83" s="1"/>
  <c r="AC269" i="83" s="1" a="1"/>
  <c r="AC269" i="83" s="1"/>
  <c r="AC183" i="83" a="1"/>
  <c r="AC183" i="83" s="1"/>
  <c r="AC257" i="83" s="1" a="1"/>
  <c r="AC257" i="83" s="1"/>
  <c r="AB200" i="83" a="1"/>
  <c r="AB200" i="83" s="1"/>
  <c r="AB274" i="83" s="1" a="1"/>
  <c r="AB274" i="83" s="1"/>
  <c r="AB188" i="83" a="1"/>
  <c r="AB188" i="83" s="1"/>
  <c r="AB262" i="83" s="1" a="1"/>
  <c r="AB262" i="83" s="1"/>
  <c r="AF196" i="83" a="1"/>
  <c r="AF196" i="83" s="1"/>
  <c r="AF270" i="83" s="1" a="1"/>
  <c r="AF270" i="83" s="1"/>
  <c r="AF184" i="83" a="1"/>
  <c r="AF184" i="83" s="1"/>
  <c r="AF258" i="83" s="1" a="1"/>
  <c r="AF258" i="83" s="1"/>
  <c r="AG185" i="83" a="1"/>
  <c r="AG185" i="83" s="1"/>
  <c r="AG259" i="83" s="1" a="1"/>
  <c r="AG259" i="83" s="1"/>
  <c r="AG197" i="83" a="1"/>
  <c r="AG197" i="83" s="1"/>
  <c r="AG271" i="83" s="1" a="1"/>
  <c r="AG271" i="83" s="1"/>
  <c r="AG182" i="83" a="1"/>
  <c r="AG182" i="83" s="1"/>
  <c r="AG256" i="83" s="1" a="1"/>
  <c r="AG256" i="83" s="1"/>
  <c r="AG194" i="83" a="1"/>
  <c r="AG194" i="83" s="1"/>
  <c r="AG268" i="83" s="1" a="1"/>
  <c r="AG268" i="83" s="1"/>
  <c r="AG196" i="83" a="1"/>
  <c r="AG196" i="83" s="1"/>
  <c r="AG270" i="83" s="1" a="1"/>
  <c r="AG270" i="83" s="1"/>
  <c r="AG184" i="83" a="1"/>
  <c r="AG184" i="83" s="1"/>
  <c r="AG258" i="83" s="1" a="1"/>
  <c r="AG258" i="83" s="1"/>
  <c r="AG191" i="83" a="1"/>
  <c r="AG191" i="83" s="1"/>
  <c r="AG265" i="83" s="1" a="1"/>
  <c r="AG265" i="83" s="1"/>
  <c r="AG179" i="83" a="1"/>
  <c r="AG179" i="83" s="1"/>
  <c r="AG253" i="83" s="1" a="1"/>
  <c r="AG253" i="83" s="1"/>
  <c r="Z184" i="83" a="1"/>
  <c r="Z184" i="83" s="1"/>
  <c r="Z258" i="83" s="1" a="1"/>
  <c r="Z258" i="83" s="1"/>
  <c r="Z196" i="83" a="1"/>
  <c r="Z196" i="83" s="1"/>
  <c r="Z270" i="83" s="1" a="1"/>
  <c r="Z270" i="83" s="1"/>
  <c r="E27" i="13" a="1"/>
  <c r="E27" i="13" s="1"/>
  <c r="H27" i="13" s="1" a="1"/>
  <c r="H27" i="13" s="1"/>
  <c r="E26" i="13" a="1"/>
  <c r="E26" i="13" s="1"/>
  <c r="E25" i="13" a="1"/>
  <c r="E25" i="13" s="1"/>
  <c r="H25" i="13" s="1"/>
  <c r="E24" i="13" a="1"/>
  <c r="E24" i="13" s="1"/>
  <c r="E23" i="13" a="1"/>
  <c r="E23" i="13" s="1"/>
  <c r="H23" i="13" s="1" a="1"/>
  <c r="H23" i="13" s="1"/>
  <c r="E22" i="13" a="1"/>
  <c r="E22" i="13" s="1"/>
  <c r="H22" i="13" s="1"/>
  <c r="F21" i="13" a="1"/>
  <c r="F21" i="13" s="1"/>
  <c r="I21" i="13" s="1" a="1"/>
  <c r="I21" i="13" s="1"/>
  <c r="E21" i="13" a="1"/>
  <c r="E21" i="13" s="1"/>
  <c r="H21" i="13" s="1" a="1"/>
  <c r="H21" i="13" s="1"/>
  <c r="E13" i="72"/>
  <c r="E18" i="75"/>
  <c r="E20" i="75" s="1"/>
  <c r="E21" i="75" s="1"/>
  <c r="E20" i="72"/>
  <c r="N108" i="90" l="1"/>
  <c r="E9" i="13" a="1"/>
  <c r="E9" i="13" s="1"/>
  <c r="H9" i="13" s="1" a="1"/>
  <c r="H9" i="13" s="1"/>
  <c r="F9" i="13" a="1"/>
  <c r="F9" i="13" s="1"/>
  <c r="I9" i="13" s="1" a="1"/>
  <c r="I9" i="13" s="1"/>
  <c r="P11" i="90"/>
  <c r="Q14" i="90"/>
  <c r="Q12" i="90"/>
  <c r="Q13" i="90"/>
  <c r="Q15" i="90"/>
  <c r="E24" i="91" a="1"/>
  <c r="E24" i="91" s="1"/>
  <c r="G24" i="91" s="1" a="1"/>
  <c r="G24" i="91" s="1"/>
  <c r="E63" i="91" s="1" a="1"/>
  <c r="E63" i="91" s="1"/>
  <c r="E23" i="91" a="1"/>
  <c r="E23" i="91" s="1"/>
  <c r="G23" i="91" s="1" a="1"/>
  <c r="G23" i="91" s="1"/>
  <c r="E62" i="91" s="1" a="1"/>
  <c r="E62" i="91" s="1"/>
  <c r="E22" i="90" a="1"/>
  <c r="E22" i="90" s="1"/>
  <c r="G22" i="90" s="1" a="1"/>
  <c r="G22" i="90" s="1"/>
  <c r="E27" i="90" a="1"/>
  <c r="E27" i="90" s="1"/>
  <c r="G27" i="90" s="1" a="1"/>
  <c r="G27" i="90" s="1"/>
  <c r="E32" i="90" a="1"/>
  <c r="E32" i="90" s="1"/>
  <c r="G32" i="90" s="1" a="1"/>
  <c r="G32" i="90" s="1"/>
  <c r="E33" i="90" a="1"/>
  <c r="E33" i="90" s="1"/>
  <c r="G33" i="90" s="1" a="1"/>
  <c r="G33" i="90" s="1"/>
  <c r="E23" i="90" a="1"/>
  <c r="E23" i="90" s="1"/>
  <c r="G23" i="90" s="1" a="1"/>
  <c r="G23" i="90" s="1"/>
  <c r="E26" i="90" a="1"/>
  <c r="E26" i="90" s="1"/>
  <c r="G26" i="90" s="1" a="1"/>
  <c r="G26" i="90" s="1"/>
  <c r="E19" i="90" a="1"/>
  <c r="E19" i="90" s="1"/>
  <c r="G19" i="90" s="1" a="1"/>
  <c r="G19" i="90" s="1"/>
  <c r="E35" i="90" a="1"/>
  <c r="E35" i="90" s="1"/>
  <c r="G35" i="90" s="1" a="1"/>
  <c r="G35" i="90" s="1"/>
  <c r="E236" i="117" a="1"/>
  <c r="E19" i="91" a="1"/>
  <c r="E19" i="91" s="1"/>
  <c r="G19" i="91" s="1" a="1"/>
  <c r="G19" i="91" s="1"/>
  <c r="E58" i="91" s="1" a="1"/>
  <c r="E58" i="91" s="1"/>
  <c r="E31" i="91" a="1"/>
  <c r="E31" i="91" s="1"/>
  <c r="G31" i="91" s="1" a="1"/>
  <c r="G31" i="91" s="1"/>
  <c r="E70" i="91" s="1" a="1"/>
  <c r="E70" i="91" s="1"/>
  <c r="E28" i="91" a="1"/>
  <c r="E28" i="91" s="1"/>
  <c r="G28" i="91" s="1" a="1"/>
  <c r="G28" i="91" s="1"/>
  <c r="E67" i="91" s="1" a="1"/>
  <c r="E67" i="91" s="1"/>
  <c r="E25" i="91" a="1"/>
  <c r="E25" i="91" s="1"/>
  <c r="G25" i="91" s="1" a="1"/>
  <c r="G25" i="91" s="1"/>
  <c r="E64" i="91" s="1" a="1"/>
  <c r="E64" i="91" s="1"/>
  <c r="E29" i="90" a="1"/>
  <c r="E29" i="90" s="1"/>
  <c r="G29" i="90" s="1" a="1"/>
  <c r="G29" i="90" s="1"/>
  <c r="E24" i="90" a="1"/>
  <c r="E24" i="90" s="1"/>
  <c r="G24" i="90" s="1" a="1"/>
  <c r="G24" i="90" s="1"/>
  <c r="E21" i="91" a="1"/>
  <c r="E21" i="91" s="1"/>
  <c r="G21" i="91" s="1" a="1"/>
  <c r="G21" i="91" s="1"/>
  <c r="E60" i="91" s="1" a="1"/>
  <c r="E60" i="91" s="1"/>
  <c r="E20" i="91" a="1"/>
  <c r="E20" i="91" s="1"/>
  <c r="G20" i="91" s="1" a="1"/>
  <c r="G20" i="91" s="1"/>
  <c r="E59" i="91" s="1" a="1"/>
  <c r="E59" i="91" s="1"/>
  <c r="E20" i="90" a="1"/>
  <c r="E20" i="90" s="1"/>
  <c r="G20" i="90" s="1" a="1"/>
  <c r="G20" i="90" s="1"/>
  <c r="E21" i="90" a="1"/>
  <c r="E21" i="90" s="1"/>
  <c r="G21" i="90" s="1" a="1"/>
  <c r="G21" i="90" s="1"/>
  <c r="E30" i="91" a="1"/>
  <c r="E30" i="91" s="1"/>
  <c r="G30" i="91" s="1" a="1"/>
  <c r="G30" i="91" s="1"/>
  <c r="E69" i="91" s="1" a="1"/>
  <c r="E69" i="91" s="1"/>
  <c r="E36" i="91" a="1"/>
  <c r="E36" i="91" s="1"/>
  <c r="G36" i="91" s="1" a="1"/>
  <c r="G36" i="91" s="1"/>
  <c r="E75" i="91" s="1" a="1"/>
  <c r="E75" i="91" s="1"/>
  <c r="E35" i="91" a="1"/>
  <c r="E35" i="91" s="1"/>
  <c r="G35" i="91" s="1" a="1"/>
  <c r="G35" i="91" s="1"/>
  <c r="E74" i="91" s="1" a="1"/>
  <c r="E74" i="91" s="1"/>
  <c r="E30" i="90" a="1"/>
  <c r="E30" i="90" s="1"/>
  <c r="G30" i="90" s="1" a="1"/>
  <c r="G30" i="90" s="1"/>
  <c r="E34" i="91" a="1"/>
  <c r="E34" i="91" s="1"/>
  <c r="G34" i="91" s="1" a="1"/>
  <c r="G34" i="91" s="1"/>
  <c r="E73" i="91" s="1" a="1"/>
  <c r="E73" i="91" s="1"/>
  <c r="E28" i="90" a="1"/>
  <c r="E28" i="90" s="1"/>
  <c r="G28" i="90" s="1" a="1"/>
  <c r="G28" i="90" s="1"/>
  <c r="E27" i="91" a="1"/>
  <c r="E27" i="91" s="1"/>
  <c r="G27" i="91" s="1" a="1"/>
  <c r="G27" i="91" s="1"/>
  <c r="E66" i="91" s="1" a="1"/>
  <c r="E66" i="91" s="1"/>
  <c r="E37" i="90" a="1"/>
  <c r="E37" i="90" s="1"/>
  <c r="G37" i="90" s="1" a="1"/>
  <c r="G37" i="90" s="1"/>
  <c r="E34" i="90" a="1"/>
  <c r="E34" i="90" s="1"/>
  <c r="G34" i="90" s="1" a="1"/>
  <c r="G34" i="90" s="1"/>
  <c r="E22" i="91" a="1"/>
  <c r="E22" i="91" s="1"/>
  <c r="G22" i="91" s="1" a="1"/>
  <c r="G22" i="91" s="1"/>
  <c r="E61" i="91" s="1" a="1"/>
  <c r="E61" i="91" s="1"/>
  <c r="E25" i="90" a="1"/>
  <c r="E25" i="90" s="1"/>
  <c r="G25" i="90" s="1" a="1"/>
  <c r="G25" i="90" s="1"/>
  <c r="E26" i="91" a="1"/>
  <c r="E26" i="91" s="1"/>
  <c r="G26" i="91" s="1" a="1"/>
  <c r="G26" i="91" s="1"/>
  <c r="E65" i="91" s="1" a="1"/>
  <c r="E65" i="91" s="1"/>
  <c r="E36" i="90" a="1"/>
  <c r="E36" i="90" s="1"/>
  <c r="G36" i="90" s="1" a="1"/>
  <c r="G36" i="90" s="1"/>
  <c r="E37" i="91" a="1"/>
  <c r="E37" i="91" s="1"/>
  <c r="G37" i="91" s="1" a="1"/>
  <c r="G37" i="91" s="1"/>
  <c r="E76" i="91" s="1" a="1"/>
  <c r="E76" i="91" s="1"/>
  <c r="E31" i="90" a="1"/>
  <c r="E31" i="90" s="1"/>
  <c r="G31" i="90" s="1" a="1"/>
  <c r="G31" i="90" s="1"/>
  <c r="E29" i="91" a="1"/>
  <c r="E29" i="91" s="1"/>
  <c r="G29" i="91" s="1" a="1"/>
  <c r="G29" i="91" s="1"/>
  <c r="E68" i="91" s="1" a="1"/>
  <c r="E68" i="91" s="1"/>
  <c r="E32" i="91" a="1"/>
  <c r="E32" i="91" s="1"/>
  <c r="G32" i="91" s="1" a="1"/>
  <c r="G32" i="91" s="1"/>
  <c r="E71" i="91" s="1" a="1"/>
  <c r="E71" i="91" s="1"/>
  <c r="E25" i="93"/>
  <c r="H25" i="93" s="1" a="1"/>
  <c r="H25" i="93" s="1"/>
  <c r="H26" i="93" a="1"/>
  <c r="H26" i="93" s="1"/>
  <c r="H27" i="93" a="1"/>
  <c r="H27" i="93" s="1"/>
  <c r="G48" i="81"/>
  <c r="G56" i="81" s="1"/>
  <c r="G46" i="81"/>
  <c r="I44" i="81" s="1"/>
  <c r="I45" i="81" s="1"/>
  <c r="E33" i="91" a="1"/>
  <c r="E33" i="91" s="1"/>
  <c r="G33" i="91" s="1" a="1"/>
  <c r="G33" i="91" s="1"/>
  <c r="E72" i="91" s="1" a="1"/>
  <c r="E72" i="91" s="1"/>
  <c r="P21" i="90"/>
  <c r="Q21" i="90" s="1"/>
  <c r="Q23" i="90"/>
  <c r="Q24" i="90"/>
  <c r="Q22" i="90"/>
  <c r="Q25" i="90"/>
  <c r="E252" i="117"/>
  <c r="J253" i="117" a="1"/>
  <c r="J253" i="117" s="1"/>
  <c r="J259" i="117" a="1"/>
  <c r="J259" i="117" s="1"/>
  <c r="J258" i="117" a="1"/>
  <c r="J258" i="117" s="1"/>
  <c r="J257" i="117" a="1"/>
  <c r="J257" i="117" s="1"/>
  <c r="J255" i="117" a="1"/>
  <c r="J255" i="117" s="1"/>
  <c r="J260" i="117" a="1"/>
  <c r="J260" i="117" s="1"/>
  <c r="J261" i="117" a="1"/>
  <c r="J261" i="117" s="1"/>
  <c r="J254" i="117" a="1"/>
  <c r="J254" i="117" s="1"/>
  <c r="J256" i="117" a="1"/>
  <c r="J256" i="117" s="1"/>
  <c r="K254" i="117" a="1"/>
  <c r="K254" i="117" s="1"/>
  <c r="H255" i="117" a="1"/>
  <c r="H255" i="117" s="1"/>
  <c r="K257" i="117" a="1"/>
  <c r="K257" i="117" s="1"/>
  <c r="K256" i="117" a="1"/>
  <c r="K256" i="117" s="1"/>
  <c r="H257" i="117" a="1"/>
  <c r="H257" i="117" s="1"/>
  <c r="K255" i="117" a="1"/>
  <c r="K255" i="117" s="1"/>
  <c r="K258" i="117" a="1"/>
  <c r="K258" i="117" s="1"/>
  <c r="K261" i="117" a="1"/>
  <c r="K261" i="117" s="1"/>
  <c r="H258" i="117" a="1"/>
  <c r="H258" i="117" s="1"/>
  <c r="K259" i="117" a="1"/>
  <c r="K259" i="117" s="1"/>
  <c r="K253" i="117" a="1"/>
  <c r="K253" i="117" s="1"/>
  <c r="H261" i="117" a="1"/>
  <c r="H261" i="117" s="1"/>
  <c r="H259" i="117" a="1"/>
  <c r="H259" i="117" s="1"/>
  <c r="H260" i="117" a="1"/>
  <c r="H260" i="117" s="1"/>
  <c r="H256" i="117" a="1"/>
  <c r="H256" i="117" s="1"/>
  <c r="H254" i="117" a="1"/>
  <c r="H254" i="117" s="1"/>
  <c r="K260" i="117" a="1"/>
  <c r="K260" i="117" s="1"/>
  <c r="H253" i="117" a="1"/>
  <c r="H253" i="117" s="1"/>
  <c r="G253" i="117" a="1"/>
  <c r="G253" i="117" s="1"/>
  <c r="G259" i="117" a="1"/>
  <c r="G259" i="117" s="1"/>
  <c r="G254" i="117" a="1"/>
  <c r="G254" i="117" s="1"/>
  <c r="G256" i="117" a="1"/>
  <c r="G256" i="117" s="1"/>
  <c r="G255" i="117" a="1"/>
  <c r="G255" i="117" s="1"/>
  <c r="G261" i="117" a="1"/>
  <c r="G261" i="117" s="1"/>
  <c r="G260" i="117" a="1"/>
  <c r="G260" i="117" s="1"/>
  <c r="G257" i="117" a="1"/>
  <c r="G257" i="117" s="1"/>
  <c r="G258" i="117" a="1"/>
  <c r="G258" i="117" s="1"/>
  <c r="F46" i="81"/>
  <c r="F48" i="81"/>
  <c r="F56" i="81" s="1"/>
  <c r="E244" i="83"/>
  <c r="G20" i="92"/>
  <c r="I20" i="92" s="1" a="1"/>
  <c r="I20" i="92" s="1"/>
  <c r="I22" i="92" a="1"/>
  <c r="I22" i="92" s="1"/>
  <c r="I21" i="92" a="1"/>
  <c r="I21" i="92" s="1"/>
  <c r="K48" i="92"/>
  <c r="K45" i="92" s="1"/>
  <c r="J17" i="118"/>
  <c r="J14" i="118" s="1"/>
  <c r="H227" i="84"/>
  <c r="H225" i="84" s="1"/>
  <c r="J37" i="108"/>
  <c r="J34" i="108" s="1" a="1"/>
  <c r="J34" i="108" s="1"/>
  <c r="E30" i="97"/>
  <c r="D59" i="13"/>
  <c r="D64" i="13"/>
  <c r="D4" i="13"/>
  <c r="G52" i="81"/>
  <c r="G45" i="81"/>
  <c r="G53" i="81" s="1"/>
  <c r="X276" i="83"/>
  <c r="F45" i="81"/>
  <c r="F53" i="81" s="1"/>
  <c r="F52" i="81"/>
  <c r="D40" i="72"/>
  <c r="F23" i="13"/>
  <c r="I23" i="13" s="1" a="1"/>
  <c r="I23" i="13" s="1"/>
  <c r="F24" i="13"/>
  <c r="I24" i="13" s="1" a="1"/>
  <c r="I24" i="13" s="1"/>
  <c r="H24" i="13" a="1"/>
  <c r="H24" i="13" s="1"/>
  <c r="F26" i="13"/>
  <c r="I26" i="13" s="1" a="1"/>
  <c r="I26" i="13" s="1"/>
  <c r="H26" i="13" a="1"/>
  <c r="H26" i="13" s="1"/>
  <c r="F22" i="13"/>
  <c r="I22" i="13" s="1"/>
  <c r="F25" i="13"/>
  <c r="I25" i="13" s="1"/>
  <c r="F27" i="13"/>
  <c r="I27" i="13" s="1" a="1"/>
  <c r="I27" i="13" s="1"/>
  <c r="E19" i="94" l="1"/>
  <c r="H19" i="94" s="1" a="1"/>
  <c r="H19" i="94" s="1"/>
  <c r="E59" i="94" s="1"/>
  <c r="F59" i="94" s="1" a="1"/>
  <c r="F59" i="94" s="1"/>
  <c r="E60" i="90" a="1"/>
  <c r="E60" i="90" s="1"/>
  <c r="E23" i="95"/>
  <c r="F23" i="95" s="1" a="1"/>
  <c r="F23" i="95" s="1"/>
  <c r="E103" i="94"/>
  <c r="F103" i="94" s="1" a="1"/>
  <c r="F103" i="94" s="1"/>
  <c r="E135" i="94" s="1"/>
  <c r="F135" i="94" s="1" a="1"/>
  <c r="F135" i="94" s="1"/>
  <c r="E66" i="95"/>
  <c r="F66" i="95" s="1" a="1"/>
  <c r="F66" i="95" s="1"/>
  <c r="K252" i="117" a="1"/>
  <c r="K252" i="117" s="1"/>
  <c r="J252" i="117" a="1"/>
  <c r="J252" i="117" s="1"/>
  <c r="H252" i="117" a="1"/>
  <c r="H252" i="117" s="1"/>
  <c r="G252" i="117" a="1"/>
  <c r="G252" i="117" s="1"/>
  <c r="E72" i="90" a="1"/>
  <c r="E72" i="90" s="1"/>
  <c r="E31" i="94"/>
  <c r="H31" i="94" s="1" a="1"/>
  <c r="H31" i="94" s="1"/>
  <c r="E71" i="94" s="1"/>
  <c r="F71" i="94" s="1" a="1"/>
  <c r="F71" i="94" s="1"/>
  <c r="E35" i="95"/>
  <c r="F35" i="95" s="1" a="1"/>
  <c r="F35" i="95" s="1"/>
  <c r="E67" i="90" a="1"/>
  <c r="E67" i="90" s="1"/>
  <c r="E30" i="95"/>
  <c r="F30" i="95" s="1" a="1"/>
  <c r="F30" i="95" s="1"/>
  <c r="E26" i="94"/>
  <c r="H26" i="94" s="1" a="1"/>
  <c r="H26" i="94" s="1"/>
  <c r="E66" i="94" s="1"/>
  <c r="F66" i="94" s="1" a="1"/>
  <c r="F66" i="94" s="1"/>
  <c r="E64" i="90" a="1"/>
  <c r="E64" i="90" s="1"/>
  <c r="E23" i="94"/>
  <c r="H23" i="94" s="1" a="1"/>
  <c r="H23" i="94" s="1"/>
  <c r="E63" i="94" s="1"/>
  <c r="F63" i="94" s="1" a="1"/>
  <c r="F63" i="94" s="1"/>
  <c r="E27" i="95"/>
  <c r="F27" i="95" s="1" a="1"/>
  <c r="F27" i="95" s="1"/>
  <c r="E32" i="92"/>
  <c r="K44" i="92" s="1"/>
  <c r="E50" i="92" s="1" a="1"/>
  <c r="E50" i="92" s="1"/>
  <c r="E102" i="94"/>
  <c r="F102" i="94" s="1" a="1"/>
  <c r="F102" i="94" s="1"/>
  <c r="E134" i="94" s="1"/>
  <c r="F134" i="94" s="1" a="1"/>
  <c r="F134" i="94" s="1"/>
  <c r="E65" i="95"/>
  <c r="F65" i="95" s="1" a="1"/>
  <c r="F65" i="95" s="1"/>
  <c r="E77" i="90" a="1"/>
  <c r="E77" i="90" s="1"/>
  <c r="E36" i="94"/>
  <c r="H36" i="94" s="1" a="1"/>
  <c r="H36" i="94" s="1"/>
  <c r="E76" i="94" s="1"/>
  <c r="F76" i="94" s="1" a="1"/>
  <c r="F76" i="94" s="1"/>
  <c r="E40" i="95"/>
  <c r="F40" i="95" s="1" a="1"/>
  <c r="F40" i="95" s="1"/>
  <c r="E61" i="90" a="1"/>
  <c r="E61" i="90" s="1"/>
  <c r="E20" i="94"/>
  <c r="H20" i="94" s="1" a="1"/>
  <c r="H20" i="94" s="1"/>
  <c r="E60" i="94" s="1"/>
  <c r="F60" i="94" s="1" a="1"/>
  <c r="F60" i="94" s="1"/>
  <c r="E24" i="95"/>
  <c r="F24" i="95" s="1" a="1"/>
  <c r="F24" i="95" s="1"/>
  <c r="E74" i="90" a="1"/>
  <c r="E74" i="90" s="1"/>
  <c r="E33" i="94"/>
  <c r="H33" i="94" s="1" a="1"/>
  <c r="H33" i="94" s="1"/>
  <c r="E73" i="94" s="1"/>
  <c r="F73" i="94" s="1" a="1"/>
  <c r="F73" i="94" s="1"/>
  <c r="E37" i="95"/>
  <c r="F37" i="95" s="1" a="1"/>
  <c r="F37" i="95" s="1"/>
  <c r="E21" i="94"/>
  <c r="H21" i="94" s="1" a="1"/>
  <c r="H21" i="94" s="1"/>
  <c r="E61" i="94" s="1"/>
  <c r="F61" i="94" s="1" a="1"/>
  <c r="F61" i="94" s="1"/>
  <c r="E25" i="95"/>
  <c r="F25" i="95" s="1" a="1"/>
  <c r="F25" i="95" s="1"/>
  <c r="E62" i="90" a="1"/>
  <c r="E62" i="90" s="1"/>
  <c r="E36" i="95"/>
  <c r="F36" i="95" s="1" a="1"/>
  <c r="F36" i="95" s="1"/>
  <c r="E32" i="94"/>
  <c r="H32" i="94" s="1" a="1"/>
  <c r="H32" i="94" s="1"/>
  <c r="E72" i="94" s="1"/>
  <c r="F72" i="94" s="1" a="1"/>
  <c r="F72" i="94" s="1"/>
  <c r="E73" i="90" a="1"/>
  <c r="E73" i="90" s="1"/>
  <c r="E68" i="90" a="1"/>
  <c r="E68" i="90" s="1"/>
  <c r="E31" i="95"/>
  <c r="F31" i="95" s="1" a="1"/>
  <c r="F31" i="95" s="1"/>
  <c r="E27" i="94"/>
  <c r="H27" i="94" s="1" a="1"/>
  <c r="H27" i="94" s="1"/>
  <c r="E67" i="94" s="1"/>
  <c r="F67" i="94" s="1" a="1"/>
  <c r="F67" i="94" s="1"/>
  <c r="E65" i="90" a="1"/>
  <c r="E65" i="90" s="1"/>
  <c r="E28" i="95"/>
  <c r="F28" i="95" s="1" a="1"/>
  <c r="F28" i="95" s="1"/>
  <c r="E24" i="94"/>
  <c r="H24" i="94" s="1" a="1"/>
  <c r="H24" i="94" s="1"/>
  <c r="E64" i="94" s="1"/>
  <c r="F64" i="94" s="1" a="1"/>
  <c r="F64" i="94" s="1"/>
  <c r="E63" i="90" a="1"/>
  <c r="E63" i="90" s="1"/>
  <c r="E22" i="94"/>
  <c r="H22" i="94" s="1" a="1"/>
  <c r="H22" i="94" s="1"/>
  <c r="E62" i="94" s="1"/>
  <c r="F62" i="94" s="1" a="1"/>
  <c r="F62" i="94" s="1"/>
  <c r="E26" i="95"/>
  <c r="F26" i="95" s="1" a="1"/>
  <c r="F26" i="95" s="1"/>
  <c r="E67" i="95"/>
  <c r="F67" i="95" s="1" a="1"/>
  <c r="F67" i="95" s="1"/>
  <c r="E104" i="94"/>
  <c r="F104" i="94" s="1" a="1"/>
  <c r="F104" i="94" s="1"/>
  <c r="E136" i="94" s="1"/>
  <c r="F136" i="94" s="1" a="1"/>
  <c r="F136" i="94" s="1"/>
  <c r="E70" i="90" a="1"/>
  <c r="E70" i="90" s="1"/>
  <c r="E33" i="95"/>
  <c r="F33" i="95" s="1" a="1"/>
  <c r="F33" i="95" s="1"/>
  <c r="E29" i="94"/>
  <c r="H29" i="94" s="1" a="1"/>
  <c r="H29" i="94" s="1"/>
  <c r="E69" i="94" s="1"/>
  <c r="F69" i="94" s="1" a="1"/>
  <c r="F69" i="94" s="1"/>
  <c r="E78" i="90" a="1"/>
  <c r="E78" i="90" s="1"/>
  <c r="E41" i="95"/>
  <c r="F41" i="95" s="1" a="1"/>
  <c r="F41" i="95" s="1"/>
  <c r="E37" i="94"/>
  <c r="H37" i="94" s="1" a="1"/>
  <c r="H37" i="94" s="1"/>
  <c r="E77" i="94" s="1"/>
  <c r="F77" i="94" s="1" a="1"/>
  <c r="F77" i="94" s="1"/>
  <c r="E69" i="90" a="1"/>
  <c r="E69" i="90" s="1"/>
  <c r="E32" i="95"/>
  <c r="F32" i="95" s="1" a="1"/>
  <c r="F32" i="95" s="1"/>
  <c r="E28" i="94"/>
  <c r="H28" i="94" s="1" a="1"/>
  <c r="H28" i="94" s="1"/>
  <c r="E68" i="94" s="1"/>
  <c r="F68" i="94" s="1" a="1"/>
  <c r="F68" i="94" s="1"/>
  <c r="E75" i="90" a="1"/>
  <c r="E75" i="90" s="1"/>
  <c r="E34" i="94"/>
  <c r="H34" i="94" s="1" a="1"/>
  <c r="H34" i="94" s="1"/>
  <c r="E74" i="94" s="1"/>
  <c r="F74" i="94" s="1" a="1"/>
  <c r="F74" i="94" s="1"/>
  <c r="E38" i="95"/>
  <c r="F38" i="95" s="1" a="1"/>
  <c r="F38" i="95" s="1"/>
  <c r="G47" i="81"/>
  <c r="G55" i="81" s="1"/>
  <c r="I46" i="81"/>
  <c r="I47" i="81" s="1"/>
  <c r="G54" i="81"/>
  <c r="I37" i="97"/>
  <c r="I48" i="97"/>
  <c r="I38" i="97"/>
  <c r="I39" i="97"/>
  <c r="I46" i="97"/>
  <c r="I47" i="97"/>
  <c r="E78" i="91"/>
  <c r="E15" i="13" s="1" a="1"/>
  <c r="E15" i="13" s="1"/>
  <c r="O40" i="108" a="1"/>
  <c r="O40" i="108" s="1"/>
  <c r="E40" i="108" a="1"/>
  <c r="E40" i="108" s="1"/>
  <c r="E31" i="93"/>
  <c r="E17" i="13" s="1" a="1"/>
  <c r="E17" i="13" s="1"/>
  <c r="E34" i="95"/>
  <c r="F34" i="95" s="1" a="1"/>
  <c r="F34" i="95" s="1"/>
  <c r="E30" i="94"/>
  <c r="H30" i="94" s="1" a="1"/>
  <c r="H30" i="94" s="1"/>
  <c r="E70" i="94" s="1"/>
  <c r="F70" i="94" s="1" a="1"/>
  <c r="F70" i="94" s="1"/>
  <c r="E71" i="90" a="1"/>
  <c r="E71" i="90" s="1"/>
  <c r="H242" i="117" a="1"/>
  <c r="H242" i="117" s="1"/>
  <c r="H241" i="117" a="1"/>
  <c r="H241" i="117" s="1"/>
  <c r="H245" i="117" a="1"/>
  <c r="H245" i="117" s="1"/>
  <c r="H239" i="117" a="1"/>
  <c r="H239" i="117" s="1"/>
  <c r="K244" i="117" a="1"/>
  <c r="K244" i="117" s="1"/>
  <c r="K239" i="117" a="1"/>
  <c r="K239" i="117" s="1"/>
  <c r="K243" i="117" a="1"/>
  <c r="K243" i="117" s="1"/>
  <c r="K240" i="117" a="1"/>
  <c r="K240" i="117" s="1"/>
  <c r="H240" i="117" a="1"/>
  <c r="H240" i="117" s="1"/>
  <c r="H244" i="117" a="1"/>
  <c r="H244" i="117" s="1"/>
  <c r="H243" i="117" a="1"/>
  <c r="H243" i="117" s="1"/>
  <c r="K242" i="117" a="1"/>
  <c r="K242" i="117" s="1"/>
  <c r="H238" i="117" a="1"/>
  <c r="H238" i="117" s="1"/>
  <c r="K237" i="117" a="1"/>
  <c r="K237" i="117" s="1"/>
  <c r="K241" i="117" a="1"/>
  <c r="K241" i="117" s="1"/>
  <c r="H237" i="117" a="1"/>
  <c r="H237" i="117" s="1"/>
  <c r="K245" i="117" a="1"/>
  <c r="K245" i="117" s="1"/>
  <c r="K238" i="117" a="1"/>
  <c r="K238" i="117" s="1"/>
  <c r="J237" i="117" a="1"/>
  <c r="J237" i="117" s="1"/>
  <c r="J243" i="117" a="1"/>
  <c r="J243" i="117" s="1"/>
  <c r="E236" i="117"/>
  <c r="J239" i="117" a="1"/>
  <c r="J239" i="117" s="1"/>
  <c r="J245" i="117" a="1"/>
  <c r="J245" i="117" s="1"/>
  <c r="J242" i="117" a="1"/>
  <c r="J242" i="117" s="1"/>
  <c r="J241" i="117" a="1"/>
  <c r="J241" i="117" s="1"/>
  <c r="J240" i="117" a="1"/>
  <c r="J240" i="117" s="1"/>
  <c r="J244" i="117" a="1"/>
  <c r="J244" i="117" s="1"/>
  <c r="J238" i="117" a="1"/>
  <c r="J238" i="117" s="1"/>
  <c r="G239" i="117" a="1"/>
  <c r="G239" i="117" s="1"/>
  <c r="G244" i="117" a="1"/>
  <c r="G244" i="117" s="1"/>
  <c r="G240" i="117" a="1"/>
  <c r="G240" i="117" s="1"/>
  <c r="G237" i="117" a="1"/>
  <c r="G237" i="117" s="1"/>
  <c r="G245" i="117" a="1"/>
  <c r="G245" i="117" s="1"/>
  <c r="G241" i="117" a="1"/>
  <c r="G241" i="117" s="1"/>
  <c r="G238" i="117" a="1"/>
  <c r="G238" i="117" s="1"/>
  <c r="G242" i="117" a="1"/>
  <c r="G242" i="117" s="1"/>
  <c r="G243" i="117" a="1"/>
  <c r="G243" i="117" s="1"/>
  <c r="E66" i="90" a="1"/>
  <c r="E66" i="90" s="1"/>
  <c r="E29" i="95"/>
  <c r="F29" i="95" s="1" a="1"/>
  <c r="F29" i="95" s="1"/>
  <c r="E25" i="94"/>
  <c r="H25" i="94" s="1" a="1"/>
  <c r="H25" i="94" s="1"/>
  <c r="E65" i="94" s="1"/>
  <c r="F65" i="94" s="1" a="1"/>
  <c r="F65" i="94" s="1"/>
  <c r="H44" i="81"/>
  <c r="H45" i="81" s="1"/>
  <c r="F54" i="81"/>
  <c r="H46" i="81"/>
  <c r="H47" i="81" s="1"/>
  <c r="F47" i="81"/>
  <c r="F55" i="81" s="1"/>
  <c r="O19" i="118" a="1"/>
  <c r="O19" i="118" s="1"/>
  <c r="R584" i="117" s="1"/>
  <c r="M588" i="117" s="1" a="1"/>
  <c r="M588" i="117" s="1"/>
  <c r="O590" i="117" s="1"/>
  <c r="M593" i="117" s="1" a="1"/>
  <c r="M593" i="117" s="1"/>
  <c r="E19" i="118" a="1"/>
  <c r="E19" i="118" s="1"/>
  <c r="J584" i="117" s="1"/>
  <c r="E588" i="117" s="1" a="1"/>
  <c r="E588" i="117" s="1"/>
  <c r="G590" i="117" s="1"/>
  <c r="E593" i="117" s="1" a="1"/>
  <c r="E593" i="117" s="1"/>
  <c r="E76" i="90" a="1"/>
  <c r="E76" i="90" s="1"/>
  <c r="E35" i="94"/>
  <c r="H35" i="94" s="1" a="1"/>
  <c r="H35" i="94" s="1"/>
  <c r="E75" i="94" s="1"/>
  <c r="F75" i="94" s="1" a="1"/>
  <c r="F75" i="94" s="1"/>
  <c r="E39" i="95"/>
  <c r="F39" i="95" s="1" a="1"/>
  <c r="F39" i="95" s="1"/>
  <c r="Q11" i="90"/>
  <c r="N33" i="90" s="1"/>
  <c r="N34" i="90"/>
  <c r="V63" i="84"/>
  <c r="AC59" i="84"/>
  <c r="V57" i="84"/>
  <c r="AC58" i="84"/>
  <c r="Y60" i="84"/>
  <c r="Y58" i="84"/>
  <c r="X67" i="84"/>
  <c r="AC64" i="84"/>
  <c r="Z63" i="84"/>
  <c r="Z58" i="84"/>
  <c r="Z57" i="84"/>
  <c r="AE65" i="84"/>
  <c r="AB58" i="84"/>
  <c r="AA66" i="84"/>
  <c r="AE59" i="84"/>
  <c r="Y56" i="84"/>
  <c r="Z66" i="84"/>
  <c r="AE60" i="84"/>
  <c r="AC67" i="84"/>
  <c r="W58" i="84"/>
  <c r="AB66" i="84"/>
  <c r="AA63" i="84"/>
  <c r="X66" i="84"/>
  <c r="AE63" i="84"/>
  <c r="Z65" i="84"/>
  <c r="AD66" i="84"/>
  <c r="AD64" i="84"/>
  <c r="W56" i="84"/>
  <c r="X63" i="84"/>
  <c r="AB67" i="84"/>
  <c r="AD60" i="84"/>
  <c r="V58" i="84"/>
  <c r="Y61" i="84"/>
  <c r="X62" i="84"/>
  <c r="AA56" i="84"/>
  <c r="Y67" i="84"/>
  <c r="AB64" i="84"/>
  <c r="W61" i="84"/>
  <c r="V66" i="84"/>
  <c r="AE58" i="84"/>
  <c r="X59" i="84"/>
  <c r="AE67" i="84"/>
  <c r="AA61" i="84"/>
  <c r="AC60" i="84"/>
  <c r="AB57" i="84"/>
  <c r="X58" i="84"/>
  <c r="X65" i="84"/>
  <c r="Y66" i="84"/>
  <c r="AE62" i="84"/>
  <c r="AC57" i="84"/>
  <c r="W62" i="84"/>
  <c r="AE64" i="84"/>
  <c r="AB65" i="84"/>
  <c r="V65" i="84"/>
  <c r="X61" i="84"/>
  <c r="X57" i="84"/>
  <c r="V67" i="84"/>
  <c r="AE61" i="84"/>
  <c r="AB63" i="84"/>
  <c r="W60" i="84"/>
  <c r="W64" i="84"/>
  <c r="AD56" i="84"/>
  <c r="AC62" i="84"/>
  <c r="X64" i="84"/>
  <c r="Y65" i="84"/>
  <c r="W65" i="84"/>
  <c r="AA64" i="84"/>
  <c r="AC66" i="84"/>
  <c r="V62" i="84"/>
  <c r="AD61" i="84"/>
  <c r="Z59" i="84"/>
  <c r="Z61" i="84"/>
  <c r="AA62" i="84"/>
  <c r="X56" i="84"/>
  <c r="V60" i="84"/>
  <c r="W63" i="84"/>
  <c r="AC56" i="84"/>
  <c r="H54" i="84"/>
  <c r="G54" i="84"/>
  <c r="J57" i="84"/>
  <c r="N54" i="84"/>
  <c r="I56" i="84"/>
  <c r="I55" i="84"/>
  <c r="L57" i="84"/>
  <c r="E55" i="84"/>
  <c r="E56" i="84"/>
  <c r="E57" i="84"/>
  <c r="M55" i="84"/>
  <c r="F55" i="84"/>
  <c r="H56" i="84"/>
  <c r="M54" i="84"/>
  <c r="N57" i="84"/>
  <c r="N55" i="84"/>
  <c r="L54" i="84"/>
  <c r="I54" i="84"/>
  <c r="M56" i="84"/>
  <c r="H57" i="84"/>
  <c r="F54" i="84"/>
  <c r="L55" i="84"/>
  <c r="J54" i="84"/>
  <c r="J55" i="84"/>
  <c r="G55" i="84"/>
  <c r="L56" i="84"/>
  <c r="N56" i="84"/>
  <c r="I57" i="84"/>
  <c r="F57" i="84"/>
  <c r="H55" i="84"/>
  <c r="M57" i="84"/>
  <c r="K54" i="84"/>
  <c r="K56" i="84"/>
  <c r="F56" i="84"/>
  <c r="E50" i="97" l="1"/>
  <c r="E146" i="94"/>
  <c r="E77" i="95"/>
  <c r="J90" i="95" s="1"/>
  <c r="Q42" i="108"/>
  <c r="O45" i="108" s="1" a="1"/>
  <c r="O45" i="108" s="1"/>
  <c r="F20" i="13" a="1"/>
  <c r="F20" i="13" s="1"/>
  <c r="I20" i="13" s="1" a="1"/>
  <c r="I20" i="13" s="1"/>
  <c r="S92" i="90"/>
  <c r="N35" i="90"/>
  <c r="F15" i="13"/>
  <c r="I15" i="13" s="1"/>
  <c r="H15" i="13"/>
  <c r="E41" i="97"/>
  <c r="J236" i="117" a="1"/>
  <c r="J236" i="117" s="1"/>
  <c r="E264" i="117" s="1"/>
  <c r="K236" i="117" a="1"/>
  <c r="K236" i="117" s="1"/>
  <c r="E267" i="117" s="1"/>
  <c r="F43" i="13" s="1" a="1"/>
  <c r="F43" i="13" s="1"/>
  <c r="I43" i="13" s="1"/>
  <c r="I56" i="13" s="1"/>
  <c r="H236" i="117" a="1"/>
  <c r="H236" i="117" s="1"/>
  <c r="E266" i="117" s="1"/>
  <c r="E43" i="13" s="1" a="1"/>
  <c r="E43" i="13" s="1"/>
  <c r="H43" i="13" s="1"/>
  <c r="H56" i="13" s="1"/>
  <c r="G236" i="117" a="1"/>
  <c r="G236" i="117" s="1"/>
  <c r="E263" i="117" s="1"/>
  <c r="G52" i="92"/>
  <c r="E55" i="92" s="1" a="1"/>
  <c r="E55" i="92" s="1"/>
  <c r="E16" i="13" a="1"/>
  <c r="E16" i="13" s="1"/>
  <c r="E43" i="95"/>
  <c r="J89" i="95" s="1"/>
  <c r="E94" i="95" s="1" a="1"/>
  <c r="E94" i="95" s="1"/>
  <c r="G148" i="94"/>
  <c r="E151" i="94" s="1" a="1"/>
  <c r="E151" i="94" s="1"/>
  <c r="E18" i="13" a="1"/>
  <c r="E18" i="13" s="1"/>
  <c r="F17" i="13"/>
  <c r="I17" i="13" s="1"/>
  <c r="H17" i="13"/>
  <c r="E80" i="90"/>
  <c r="I566" i="117"/>
  <c r="J35" i="98"/>
  <c r="G42" i="108"/>
  <c r="E45" i="108" s="1" a="1"/>
  <c r="E45" i="108" s="1"/>
  <c r="E20" i="13" a="1"/>
  <c r="E20" i="13" s="1"/>
  <c r="H20" i="13" s="1" a="1"/>
  <c r="H20" i="13" s="1"/>
  <c r="E79" i="94"/>
  <c r="G81" i="94" s="1"/>
  <c r="E84" i="94" s="1" a="1"/>
  <c r="E84" i="94" s="1"/>
  <c r="X83" i="84" a="1"/>
  <c r="X83" i="84" s="1"/>
  <c r="X147" i="84" s="1" a="1"/>
  <c r="X147" i="84" s="1"/>
  <c r="X207" i="84" s="1" a="1"/>
  <c r="X207" i="84" s="1"/>
  <c r="X259" i="84" s="1" a="1"/>
  <c r="X259" i="84" s="1"/>
  <c r="AE75" i="84" a="1"/>
  <c r="AE75" i="84" s="1"/>
  <c r="AE139" i="84" s="1" a="1"/>
  <c r="AE139" i="84" s="1"/>
  <c r="AE199" i="84" s="1" a="1"/>
  <c r="AE199" i="84" s="1"/>
  <c r="AE251" i="84" s="1" a="1"/>
  <c r="AE251" i="84" s="1"/>
  <c r="N62" i="84" a="1"/>
  <c r="N62" i="84" s="1"/>
  <c r="N127" i="84" s="1" a="1"/>
  <c r="N127" i="84" s="1"/>
  <c r="N169" i="84" s="1" a="1"/>
  <c r="N169" i="84" s="1"/>
  <c r="N207" i="84" s="1" a="1"/>
  <c r="N207" i="84" s="1"/>
  <c r="AB59" i="84"/>
  <c r="N64" i="84" a="1"/>
  <c r="N64" i="84" s="1"/>
  <c r="N129" i="84" s="1" a="1"/>
  <c r="N129" i="84" s="1"/>
  <c r="N171" i="84" s="1" a="1"/>
  <c r="N171" i="84" s="1"/>
  <c r="N209" i="84" s="1" a="1"/>
  <c r="N209" i="84" s="1"/>
  <c r="N63" i="84" a="1"/>
  <c r="N63" i="84" s="1"/>
  <c r="N128" i="84" s="1" a="1"/>
  <c r="N128" i="84" s="1"/>
  <c r="N170" i="84" s="1" a="1"/>
  <c r="N170" i="84" s="1"/>
  <c r="N208" i="84" s="1" a="1"/>
  <c r="N208" i="84" s="1"/>
  <c r="W57" i="84"/>
  <c r="AA80" i="84" a="1"/>
  <c r="AA80" i="84" s="1"/>
  <c r="AA144" i="84" s="1" a="1"/>
  <c r="AA144" i="84" s="1"/>
  <c r="AA204" i="84" s="1" a="1"/>
  <c r="AA204" i="84" s="1"/>
  <c r="AA256" i="84" s="1" a="1"/>
  <c r="AA256" i="84" s="1"/>
  <c r="V61" i="84"/>
  <c r="AA57" i="84"/>
  <c r="AD63" i="84"/>
  <c r="X78" i="84" a="1"/>
  <c r="X78" i="84" s="1"/>
  <c r="X142" i="84" s="1" a="1"/>
  <c r="X142" i="84" s="1"/>
  <c r="X202" i="84" s="1" a="1"/>
  <c r="X202" i="84" s="1"/>
  <c r="X254" i="84" s="1" a="1"/>
  <c r="X254" i="84" s="1"/>
  <c r="Y62" i="84"/>
  <c r="AA82" i="84" a="1"/>
  <c r="AA82" i="84" s="1"/>
  <c r="AA146" i="84" s="1" a="1"/>
  <c r="AA146" i="84" s="1"/>
  <c r="AA206" i="84" s="1" a="1"/>
  <c r="AA206" i="84" s="1"/>
  <c r="AA258" i="84" s="1" a="1"/>
  <c r="AA258" i="84" s="1"/>
  <c r="L64" i="84" a="1"/>
  <c r="L64" i="84" s="1"/>
  <c r="L129" i="84" s="1" a="1"/>
  <c r="L129" i="84" s="1"/>
  <c r="L171" i="84" s="1" a="1"/>
  <c r="L171" i="84" s="1"/>
  <c r="L209" i="84" s="1" a="1"/>
  <c r="L209" i="84" s="1"/>
  <c r="N65" i="84" a="1"/>
  <c r="N65" i="84" s="1"/>
  <c r="N130" i="84" s="1" a="1"/>
  <c r="N130" i="84" s="1"/>
  <c r="N172" i="84" s="1" a="1"/>
  <c r="N172" i="84" s="1"/>
  <c r="N210" i="84" s="1" a="1"/>
  <c r="N210" i="84" s="1"/>
  <c r="W66" i="84"/>
  <c r="W81" i="84" a="1"/>
  <c r="W81" i="84" s="1"/>
  <c r="W145" i="84" s="1" a="1"/>
  <c r="W145" i="84" s="1"/>
  <c r="W205" i="84" s="1" a="1"/>
  <c r="W205" i="84" s="1"/>
  <c r="W257" i="84" s="1" a="1"/>
  <c r="W257" i="84" s="1"/>
  <c r="W80" i="84" a="1"/>
  <c r="W80" i="84" s="1"/>
  <c r="W144" i="84" s="1" a="1"/>
  <c r="W144" i="84" s="1"/>
  <c r="W204" i="84" s="1" a="1"/>
  <c r="W204" i="84" s="1"/>
  <c r="W256" i="84" s="1" a="1"/>
  <c r="W256" i="84" s="1"/>
  <c r="AE80" i="84" a="1"/>
  <c r="AE80" i="84" s="1"/>
  <c r="AE144" i="84" s="1" a="1"/>
  <c r="AE144" i="84" s="1"/>
  <c r="AE204" i="84" s="1" a="1"/>
  <c r="AE204" i="84" s="1"/>
  <c r="AE256" i="84" s="1" a="1"/>
  <c r="AE256" i="84" s="1"/>
  <c r="AB61" i="84"/>
  <c r="AD57" i="84"/>
  <c r="AE79" i="84" a="1"/>
  <c r="AE79" i="84" s="1"/>
  <c r="AE143" i="84" s="1" a="1"/>
  <c r="AE143" i="84" s="1"/>
  <c r="AE203" i="84" s="1" a="1"/>
  <c r="AE203" i="84" s="1"/>
  <c r="AE255" i="84" s="1" a="1"/>
  <c r="AE255" i="84" s="1"/>
  <c r="AA58" i="84"/>
  <c r="Y74" i="84" a="1"/>
  <c r="Y74" i="84" s="1"/>
  <c r="Y138" i="84" s="1" a="1"/>
  <c r="Y138" i="84" s="1"/>
  <c r="Y198" i="84" s="1" a="1"/>
  <c r="Y198" i="84" s="1"/>
  <c r="Y250" i="84" s="1" a="1"/>
  <c r="Y250" i="84" s="1"/>
  <c r="I64" i="84" a="1"/>
  <c r="I64" i="84" s="1"/>
  <c r="I129" i="84" s="1" a="1"/>
  <c r="I129" i="84" s="1"/>
  <c r="I171" i="84" s="1" a="1"/>
  <c r="I171" i="84" s="1"/>
  <c r="I209" i="84" s="1" a="1"/>
  <c r="I209" i="84" s="1"/>
  <c r="Z67" i="84"/>
  <c r="Z81" i="84" a="1"/>
  <c r="Z81" i="84" s="1"/>
  <c r="Z145" i="84" s="1" a="1"/>
  <c r="Z145" i="84" s="1"/>
  <c r="Z205" i="84" s="1" a="1"/>
  <c r="Z205" i="84" s="1"/>
  <c r="Z257" i="84" s="1" a="1"/>
  <c r="Z257" i="84" s="1"/>
  <c r="AA77" i="84" a="1"/>
  <c r="AA77" i="84" s="1"/>
  <c r="AA141" i="84" s="1" a="1"/>
  <c r="AA141" i="84" s="1"/>
  <c r="AA201" i="84" s="1" a="1"/>
  <c r="AA201" i="84" s="1"/>
  <c r="AA253" i="84" s="1" a="1"/>
  <c r="AA253" i="84" s="1"/>
  <c r="AB74" i="84" a="1"/>
  <c r="AB74" i="84" s="1"/>
  <c r="AB138" i="84" s="1" a="1"/>
  <c r="AB138" i="84" s="1"/>
  <c r="AB198" i="84" s="1" a="1"/>
  <c r="AB198" i="84" s="1"/>
  <c r="AB250" i="84" s="1" a="1"/>
  <c r="AB250" i="84" s="1"/>
  <c r="Y76" i="84" a="1"/>
  <c r="Y76" i="84" s="1"/>
  <c r="Y140" i="84" s="1" a="1"/>
  <c r="Y140" i="84" s="1"/>
  <c r="Y200" i="84" s="1" a="1"/>
  <c r="Y200" i="84" s="1"/>
  <c r="Y252" i="84" s="1" a="1"/>
  <c r="Y252" i="84" s="1"/>
  <c r="AB60" i="84"/>
  <c r="AB79" i="84" a="1"/>
  <c r="AB79" i="84" s="1"/>
  <c r="AB143" i="84" s="1" a="1"/>
  <c r="AB143" i="84" s="1"/>
  <c r="AB203" i="84" s="1" a="1"/>
  <c r="AB203" i="84" s="1"/>
  <c r="AB255" i="84" s="1" a="1"/>
  <c r="AB255" i="84" s="1"/>
  <c r="AC73" i="84" a="1"/>
  <c r="AC73" i="84" s="1"/>
  <c r="AC137" i="84" s="1" a="1"/>
  <c r="AC137" i="84" s="1"/>
  <c r="AC197" i="84" s="1" a="1"/>
  <c r="AC197" i="84" s="1"/>
  <c r="AC249" i="84" s="1" a="1"/>
  <c r="AC249" i="84" s="1"/>
  <c r="AE83" i="84" a="1"/>
  <c r="AE83" i="84" s="1"/>
  <c r="AE147" i="84" s="1" a="1"/>
  <c r="AE147" i="84" s="1"/>
  <c r="AE207" i="84" s="1" a="1"/>
  <c r="AE207" i="84" s="1"/>
  <c r="AE259" i="84" s="1" a="1"/>
  <c r="AE259" i="84" s="1"/>
  <c r="AD76" i="84" a="1"/>
  <c r="AD76" i="84" s="1"/>
  <c r="AD140" i="84" s="1" a="1"/>
  <c r="AD140" i="84" s="1"/>
  <c r="AD200" i="84" s="1" a="1"/>
  <c r="AD200" i="84" s="1"/>
  <c r="AD252" i="84" s="1" a="1"/>
  <c r="AD252" i="84" s="1"/>
  <c r="AA79" i="84" a="1"/>
  <c r="AA79" i="84" s="1"/>
  <c r="AA143" i="84" s="1" a="1"/>
  <c r="AA143" i="84" s="1"/>
  <c r="AA203" i="84" s="1" a="1"/>
  <c r="AA203" i="84" s="1"/>
  <c r="AA255" i="84" s="1" a="1"/>
  <c r="AA255" i="84" s="1"/>
  <c r="G62" i="84" a="1"/>
  <c r="G62" i="84" s="1"/>
  <c r="G127" i="84" s="1" a="1"/>
  <c r="G127" i="84" s="1"/>
  <c r="G169" i="84" s="1" a="1"/>
  <c r="G169" i="84" s="1"/>
  <c r="G207" i="84" s="1" a="1"/>
  <c r="G207" i="84" s="1"/>
  <c r="AA78" i="84" a="1"/>
  <c r="AA78" i="84" s="1"/>
  <c r="AA142" i="84" s="1" a="1"/>
  <c r="AA142" i="84" s="1"/>
  <c r="AA202" i="84" s="1" a="1"/>
  <c r="AA202" i="84" s="1"/>
  <c r="AA254" i="84" s="1" a="1"/>
  <c r="AA254" i="84" s="1"/>
  <c r="X80" i="84" a="1"/>
  <c r="X80" i="84" s="1"/>
  <c r="X144" i="84" s="1" a="1"/>
  <c r="X144" i="84" s="1"/>
  <c r="X204" i="84" s="1" a="1"/>
  <c r="X204" i="84" s="1"/>
  <c r="X256" i="84" s="1" a="1"/>
  <c r="X256" i="84" s="1"/>
  <c r="AE77" i="84" a="1"/>
  <c r="AE77" i="84" s="1"/>
  <c r="AE141" i="84" s="1" a="1"/>
  <c r="AE141" i="84" s="1"/>
  <c r="AE201" i="84" s="1" a="1"/>
  <c r="AE201" i="84" s="1"/>
  <c r="AE253" i="84" s="1" a="1"/>
  <c r="AE253" i="84" s="1"/>
  <c r="AE78" i="84" a="1"/>
  <c r="AE78" i="84" s="1"/>
  <c r="AE142" i="84" s="1" a="1"/>
  <c r="AE142" i="84" s="1"/>
  <c r="AE202" i="84" s="1" a="1"/>
  <c r="AE202" i="84" s="1"/>
  <c r="AE254" i="84" s="1" a="1"/>
  <c r="AE254" i="84" s="1"/>
  <c r="X75" i="84" a="1"/>
  <c r="X75" i="84" s="1"/>
  <c r="X139" i="84" s="1" a="1"/>
  <c r="X139" i="84" s="1"/>
  <c r="X199" i="84" s="1" a="1"/>
  <c r="X199" i="84" s="1"/>
  <c r="X251" i="84" s="1" a="1"/>
  <c r="X251" i="84" s="1"/>
  <c r="AD58" i="84"/>
  <c r="Y57" i="84"/>
  <c r="Z73" i="84" a="1"/>
  <c r="Z73" i="84" s="1"/>
  <c r="Z137" i="84" s="1" a="1"/>
  <c r="Z137" i="84" s="1"/>
  <c r="Z197" i="84" s="1" a="1"/>
  <c r="Z197" i="84" s="1"/>
  <c r="Z249" i="84" s="1" a="1"/>
  <c r="Z249" i="84" s="1"/>
  <c r="AC74" i="84" a="1"/>
  <c r="AC74" i="84" s="1"/>
  <c r="AC138" i="84" s="1" a="1"/>
  <c r="AC138" i="84" s="1"/>
  <c r="AC198" i="84" s="1" a="1"/>
  <c r="AC198" i="84" s="1"/>
  <c r="AC250" i="84" s="1" a="1"/>
  <c r="AC250" i="84" s="1"/>
  <c r="X60" i="84"/>
  <c r="W76" i="84" a="1"/>
  <c r="W76" i="84" s="1"/>
  <c r="W140" i="84" s="1" a="1"/>
  <c r="W140" i="84" s="1"/>
  <c r="W200" i="84" s="1" a="1"/>
  <c r="W200" i="84" s="1"/>
  <c r="W252" i="84" s="1" a="1"/>
  <c r="W252" i="84" s="1"/>
  <c r="H64" i="84" a="1"/>
  <c r="H64" i="84" s="1"/>
  <c r="H129" i="84" s="1" a="1"/>
  <c r="H129" i="84" s="1"/>
  <c r="H171" i="84" s="1" a="1"/>
  <c r="H171" i="84" s="1"/>
  <c r="H209" i="84" s="1" a="1"/>
  <c r="H209" i="84" s="1"/>
  <c r="J62" i="84" a="1"/>
  <c r="J62" i="84" s="1"/>
  <c r="J127" i="84" s="1" a="1"/>
  <c r="J127" i="84" s="1"/>
  <c r="J169" i="84" s="1" a="1"/>
  <c r="J169" i="84" s="1"/>
  <c r="J207" i="84" s="1" a="1"/>
  <c r="J207" i="84" s="1"/>
  <c r="M63" i="84" a="1"/>
  <c r="M63" i="84" s="1"/>
  <c r="M128" i="84" s="1" a="1"/>
  <c r="M128" i="84" s="1"/>
  <c r="M170" i="84" s="1" a="1"/>
  <c r="M170" i="84" s="1"/>
  <c r="M208" i="84" s="1" a="1"/>
  <c r="M208" i="84" s="1"/>
  <c r="G56" i="84"/>
  <c r="L63" i="84" a="1"/>
  <c r="L63" i="84" s="1"/>
  <c r="L128" i="84" s="1" a="1"/>
  <c r="L128" i="84" s="1"/>
  <c r="L170" i="84" s="1" a="1"/>
  <c r="L170" i="84" s="1"/>
  <c r="L208" i="84" s="1" a="1"/>
  <c r="L208" i="84" s="1"/>
  <c r="K57" i="84"/>
  <c r="H62" i="84" a="1"/>
  <c r="H62" i="84" s="1"/>
  <c r="H127" i="84" s="1" a="1"/>
  <c r="H127" i="84" s="1"/>
  <c r="H169" i="84" s="1" a="1"/>
  <c r="H169" i="84" s="1"/>
  <c r="H207" i="84" s="1" a="1"/>
  <c r="H207" i="84" s="1"/>
  <c r="V83" i="84" a="1"/>
  <c r="V83" i="84" s="1"/>
  <c r="V147" i="84" s="1" a="1"/>
  <c r="V147" i="84" s="1"/>
  <c r="V207" i="84" s="1" a="1"/>
  <c r="V207" i="84" s="1"/>
  <c r="V259" i="84" s="1" a="1"/>
  <c r="V259" i="84" s="1"/>
  <c r="Y82" i="84" a="1"/>
  <c r="Y82" i="84" s="1"/>
  <c r="Y146" i="84" s="1" a="1"/>
  <c r="Y146" i="84" s="1"/>
  <c r="Y206" i="84" s="1" a="1"/>
  <c r="Y206" i="84" s="1"/>
  <c r="Y258" i="84" s="1" a="1"/>
  <c r="Y258" i="84" s="1"/>
  <c r="AE74" i="84" a="1"/>
  <c r="AE74" i="84" s="1"/>
  <c r="AE138" i="84" s="1" a="1"/>
  <c r="AE138" i="84" s="1"/>
  <c r="AE198" i="84" s="1" a="1"/>
  <c r="AE198" i="84" s="1"/>
  <c r="AE250" i="84" s="1" a="1"/>
  <c r="AE250" i="84" s="1"/>
  <c r="AB83" i="84" a="1"/>
  <c r="AB83" i="84" s="1"/>
  <c r="AB147" i="84" s="1" a="1"/>
  <c r="AB147" i="84" s="1"/>
  <c r="AB207" i="84" s="1" a="1"/>
  <c r="AB207" i="84" s="1"/>
  <c r="AB259" i="84" s="1" a="1"/>
  <c r="AB259" i="84" s="1"/>
  <c r="AB82" i="84" a="1"/>
  <c r="AB82" i="84" s="1"/>
  <c r="AB146" i="84" s="1" a="1"/>
  <c r="AB146" i="84" s="1"/>
  <c r="AB206" i="84" s="1" a="1"/>
  <c r="AB206" i="84" s="1"/>
  <c r="AB258" i="84" s="1" a="1"/>
  <c r="AB258" i="84" s="1"/>
  <c r="Z77" i="84" a="1"/>
  <c r="Z77" i="84" s="1"/>
  <c r="Z141" i="84" s="1" a="1"/>
  <c r="Z141" i="84" s="1"/>
  <c r="Z201" i="84" s="1" a="1"/>
  <c r="Z201" i="84" s="1"/>
  <c r="Z253" i="84" s="1" a="1"/>
  <c r="Z253" i="84" s="1"/>
  <c r="AB56" i="84"/>
  <c r="F64" i="84" a="1"/>
  <c r="F64" i="84" s="1"/>
  <c r="F129" i="84" s="1" a="1"/>
  <c r="F129" i="84" s="1"/>
  <c r="F171" i="84" s="1" a="1"/>
  <c r="F171" i="84" s="1"/>
  <c r="F209" i="84" s="1" a="1"/>
  <c r="F209" i="84" s="1"/>
  <c r="F62" i="84" a="1"/>
  <c r="F62" i="84" s="1"/>
  <c r="F127" i="84" s="1" a="1"/>
  <c r="F127" i="84" s="1"/>
  <c r="F169" i="84" s="1" a="1"/>
  <c r="F169" i="84" s="1"/>
  <c r="F207" i="84" s="1" a="1"/>
  <c r="F207" i="84" s="1"/>
  <c r="E65" i="84" a="1"/>
  <c r="E65" i="84" s="1"/>
  <c r="E130" i="84" s="1" a="1"/>
  <c r="E130" i="84" s="1"/>
  <c r="E172" i="84" s="1" a="1"/>
  <c r="E172" i="84" s="1"/>
  <c r="E210" i="84" s="1" a="1"/>
  <c r="E210" i="84" s="1"/>
  <c r="AC63" i="84"/>
  <c r="AC65" i="84"/>
  <c r="AD59" i="84"/>
  <c r="X73" i="84" a="1"/>
  <c r="X73" i="84" s="1"/>
  <c r="X137" i="84" s="1" a="1"/>
  <c r="X137" i="84" s="1"/>
  <c r="X197" i="84" s="1" a="1"/>
  <c r="X197" i="84" s="1"/>
  <c r="X249" i="84" s="1" a="1"/>
  <c r="X249" i="84" s="1"/>
  <c r="X81" i="84" a="1"/>
  <c r="X81" i="84" s="1"/>
  <c r="X145" i="84" s="1" a="1"/>
  <c r="X145" i="84" s="1"/>
  <c r="X205" i="84" s="1" a="1"/>
  <c r="X205" i="84" s="1"/>
  <c r="X257" i="84" s="1" a="1"/>
  <c r="X257" i="84" s="1"/>
  <c r="Y64" i="84"/>
  <c r="Y59" i="84"/>
  <c r="W74" i="84" a="1"/>
  <c r="W74" i="84" s="1"/>
  <c r="W138" i="84" s="1" a="1"/>
  <c r="W138" i="84" s="1"/>
  <c r="W198" i="84" s="1" a="1"/>
  <c r="W198" i="84" s="1"/>
  <c r="W250" i="84" s="1" a="1"/>
  <c r="W250" i="84" s="1"/>
  <c r="Z74" i="84" a="1"/>
  <c r="Z74" i="84" s="1"/>
  <c r="Z138" i="84" s="1" a="1"/>
  <c r="Z138" i="84" s="1"/>
  <c r="Z198" i="84" s="1" a="1"/>
  <c r="Z198" i="84" s="1"/>
  <c r="Z250" i="84" s="1" a="1"/>
  <c r="Z250" i="84" s="1"/>
  <c r="V73" i="84" a="1"/>
  <c r="V73" i="84" s="1"/>
  <c r="V137" i="84" s="1" a="1"/>
  <c r="V137" i="84" s="1"/>
  <c r="V197" i="84" s="1" a="1"/>
  <c r="V197" i="84" s="1"/>
  <c r="V249" i="84" s="1" a="1"/>
  <c r="V249" i="84" s="1"/>
  <c r="W59" i="84"/>
  <c r="AC83" i="84" a="1"/>
  <c r="AC83" i="84" s="1"/>
  <c r="AC147" i="84" s="1" a="1"/>
  <c r="AC147" i="84" s="1"/>
  <c r="AC207" i="84" s="1" a="1"/>
  <c r="AC207" i="84" s="1"/>
  <c r="AC259" i="84" s="1" a="1"/>
  <c r="AC259" i="84" s="1"/>
  <c r="Z79" i="84" a="1"/>
  <c r="Z79" i="84" s="1"/>
  <c r="Z143" i="84" s="1" a="1"/>
  <c r="Z143" i="84" s="1"/>
  <c r="Z203" i="84" s="1" a="1"/>
  <c r="Z203" i="84" s="1"/>
  <c r="Z255" i="84" s="1" a="1"/>
  <c r="Z255" i="84" s="1"/>
  <c r="AC75" i="84" a="1"/>
  <c r="AC75" i="84" s="1"/>
  <c r="AC139" i="84" s="1" a="1"/>
  <c r="AC139" i="84" s="1"/>
  <c r="AC199" i="84" s="1" a="1"/>
  <c r="AC199" i="84" s="1"/>
  <c r="AC251" i="84" s="1" a="1"/>
  <c r="AC251" i="84" s="1"/>
  <c r="AC82" i="84" a="1"/>
  <c r="AC82" i="84" s="1"/>
  <c r="AC146" i="84" s="1" a="1"/>
  <c r="AC146" i="84" s="1"/>
  <c r="AC206" i="84" s="1" a="1"/>
  <c r="AC206" i="84" s="1"/>
  <c r="AC258" i="84" s="1" a="1"/>
  <c r="AC258" i="84" s="1"/>
  <c r="J56" i="84"/>
  <c r="J65" i="84" a="1"/>
  <c r="J65" i="84" s="1"/>
  <c r="J130" i="84" s="1" a="1"/>
  <c r="J130" i="84" s="1"/>
  <c r="J172" i="84" s="1" a="1"/>
  <c r="J172" i="84" s="1"/>
  <c r="J210" i="84" s="1" a="1"/>
  <c r="J210" i="84" s="1"/>
  <c r="V64" i="84"/>
  <c r="AB62" i="84"/>
  <c r="AE81" i="84" a="1"/>
  <c r="AE81" i="84" s="1"/>
  <c r="AE145" i="84" s="1" a="1"/>
  <c r="AE145" i="84" s="1"/>
  <c r="AE205" i="84" s="1" a="1"/>
  <c r="AE205" i="84" s="1"/>
  <c r="AE257" i="84" s="1" a="1"/>
  <c r="AE257" i="84" s="1"/>
  <c r="K55" i="84"/>
  <c r="AE57" i="84"/>
  <c r="H65" i="84" a="1"/>
  <c r="H65" i="84" s="1"/>
  <c r="H130" i="84" s="1" a="1"/>
  <c r="H130" i="84" s="1"/>
  <c r="H172" i="84" s="1" a="1"/>
  <c r="H172" i="84" s="1"/>
  <c r="H210" i="84" s="1" a="1"/>
  <c r="H210" i="84" s="1"/>
  <c r="V59" i="84"/>
  <c r="V82" i="84" a="1"/>
  <c r="V82" i="84" s="1"/>
  <c r="V146" i="84" s="1" a="1"/>
  <c r="V146" i="84" s="1"/>
  <c r="V206" i="84" s="1" a="1"/>
  <c r="V206" i="84" s="1"/>
  <c r="V258" i="84" s="1" a="1"/>
  <c r="V258" i="84" s="1"/>
  <c r="M64" i="84" a="1"/>
  <c r="M64" i="84" s="1"/>
  <c r="M129" i="84" s="1" a="1"/>
  <c r="M129" i="84" s="1"/>
  <c r="M171" i="84" s="1" a="1"/>
  <c r="M171" i="84" s="1"/>
  <c r="M209" i="84" s="1" a="1"/>
  <c r="M209" i="84" s="1"/>
  <c r="AD62" i="84"/>
  <c r="AD65" i="84"/>
  <c r="Z64" i="84"/>
  <c r="W72" i="84" a="1"/>
  <c r="W72" i="84" s="1"/>
  <c r="W136" i="84" s="1" a="1"/>
  <c r="W136" i="84" s="1"/>
  <c r="W196" i="84" s="1" a="1"/>
  <c r="W196" i="84" s="1"/>
  <c r="W248" i="84" s="1" a="1"/>
  <c r="W248" i="84" s="1"/>
  <c r="M65" i="84" a="1"/>
  <c r="M65" i="84" s="1"/>
  <c r="M130" i="84" s="1" a="1"/>
  <c r="M130" i="84" s="1"/>
  <c r="M172" i="84" s="1" a="1"/>
  <c r="M172" i="84" s="1"/>
  <c r="M210" i="84" s="1" a="1"/>
  <c r="M210" i="84" s="1"/>
  <c r="E63" i="84" a="1"/>
  <c r="E63" i="84" s="1"/>
  <c r="E128" i="84" s="1" a="1"/>
  <c r="E128" i="84" s="1"/>
  <c r="E170" i="84" s="1" a="1"/>
  <c r="E170" i="84" s="1"/>
  <c r="E208" i="84" s="1" a="1"/>
  <c r="E208" i="84" s="1"/>
  <c r="AE66" i="84"/>
  <c r="Z60" i="84"/>
  <c r="AD72" i="84" a="1"/>
  <c r="AD72" i="84" s="1"/>
  <c r="AD136" i="84" s="1" a="1"/>
  <c r="AD136" i="84" s="1"/>
  <c r="AD196" i="84" s="1" a="1"/>
  <c r="AD196" i="84" s="1"/>
  <c r="AD248" i="84" s="1" a="1"/>
  <c r="AD248" i="84" s="1"/>
  <c r="AD67" i="84"/>
  <c r="AA59" i="84"/>
  <c r="AB80" i="84" a="1"/>
  <c r="AB80" i="84" s="1"/>
  <c r="AB144" i="84" s="1" a="1"/>
  <c r="AB144" i="84" s="1"/>
  <c r="AB204" i="84" s="1" a="1"/>
  <c r="AB204" i="84" s="1"/>
  <c r="AB256" i="84" s="1" a="1"/>
  <c r="AB256" i="84" s="1"/>
  <c r="AD80" i="84" a="1"/>
  <c r="AD80" i="84" s="1"/>
  <c r="AD144" i="84" s="1" a="1"/>
  <c r="AD144" i="84" s="1"/>
  <c r="AD204" i="84" s="1" a="1"/>
  <c r="AD204" i="84" s="1"/>
  <c r="AD256" i="84" s="1" a="1"/>
  <c r="AD256" i="84" s="1"/>
  <c r="AE76" i="84" a="1"/>
  <c r="AE76" i="84" s="1"/>
  <c r="AE140" i="84" s="1" a="1"/>
  <c r="AE140" i="84" s="1"/>
  <c r="AE200" i="84" s="1" a="1"/>
  <c r="AE200" i="84" s="1"/>
  <c r="AE252" i="84" s="1" a="1"/>
  <c r="AE252" i="84" s="1"/>
  <c r="L62" i="84" a="1"/>
  <c r="L62" i="84" s="1"/>
  <c r="L127" i="84" s="1" a="1"/>
  <c r="L127" i="84" s="1"/>
  <c r="L169" i="84" s="1" a="1"/>
  <c r="L169" i="84" s="1"/>
  <c r="L207" i="84" s="1" a="1"/>
  <c r="L207" i="84" s="1"/>
  <c r="AC76" i="84" a="1"/>
  <c r="AC76" i="84" s="1"/>
  <c r="AC140" i="84" s="1" a="1"/>
  <c r="AC140" i="84" s="1"/>
  <c r="AC200" i="84" s="1" a="1"/>
  <c r="AC200" i="84" s="1"/>
  <c r="AC252" i="84" s="1" a="1"/>
  <c r="AC252" i="84" s="1"/>
  <c r="M62" i="84" a="1"/>
  <c r="M62" i="84" s="1"/>
  <c r="M127" i="84" s="1" a="1"/>
  <c r="M127" i="84" s="1"/>
  <c r="M169" i="84" s="1" a="1"/>
  <c r="M169" i="84" s="1"/>
  <c r="M207" i="84" s="1" a="1"/>
  <c r="M207" i="84" s="1"/>
  <c r="V76" i="84" a="1"/>
  <c r="V76" i="84" s="1"/>
  <c r="V140" i="84" s="1" a="1"/>
  <c r="V140" i="84" s="1"/>
  <c r="V200" i="84" s="1" a="1"/>
  <c r="V200" i="84" s="1"/>
  <c r="V252" i="84" s="1" a="1"/>
  <c r="V252" i="84" s="1"/>
  <c r="Y77" i="84" a="1"/>
  <c r="Y77" i="84" s="1"/>
  <c r="Y141" i="84" s="1" a="1"/>
  <c r="Y141" i="84" s="1"/>
  <c r="Y201" i="84" s="1" a="1"/>
  <c r="Y201" i="84" s="1"/>
  <c r="Y253" i="84" s="1" a="1"/>
  <c r="Y253" i="84" s="1"/>
  <c r="J63" i="84" a="1"/>
  <c r="J63" i="84" s="1"/>
  <c r="J128" i="84" s="1" a="1"/>
  <c r="J128" i="84" s="1"/>
  <c r="J170" i="84" s="1" a="1"/>
  <c r="J170" i="84" s="1"/>
  <c r="J208" i="84" s="1" a="1"/>
  <c r="J208" i="84" s="1"/>
  <c r="Y81" i="84" a="1"/>
  <c r="Y81" i="84" s="1"/>
  <c r="Y145" i="84" s="1" a="1"/>
  <c r="Y145" i="84" s="1"/>
  <c r="Y205" i="84" s="1" a="1"/>
  <c r="Y205" i="84" s="1"/>
  <c r="Y257" i="84" s="1" a="1"/>
  <c r="Y257" i="84" s="1"/>
  <c r="X82" i="84" a="1"/>
  <c r="X82" i="84" s="1"/>
  <c r="X146" i="84" s="1" a="1"/>
  <c r="X146" i="84" s="1"/>
  <c r="X206" i="84" s="1" a="1"/>
  <c r="X206" i="84" s="1"/>
  <c r="X258" i="84" s="1" a="1"/>
  <c r="X258" i="84" s="1"/>
  <c r="E64" i="84" a="1"/>
  <c r="E64" i="84" s="1"/>
  <c r="E129" i="84" s="1" a="1"/>
  <c r="E129" i="84" s="1"/>
  <c r="E171" i="84" s="1" a="1"/>
  <c r="E171" i="84" s="1"/>
  <c r="E209" i="84" s="1" a="1"/>
  <c r="E209" i="84" s="1"/>
  <c r="Z75" i="84" a="1"/>
  <c r="Z75" i="84" s="1"/>
  <c r="Z139" i="84" s="1" a="1"/>
  <c r="Z139" i="84" s="1"/>
  <c r="Z199" i="84" s="1" a="1"/>
  <c r="Z199" i="84" s="1"/>
  <c r="Z251" i="84" s="1" a="1"/>
  <c r="Z251" i="84" s="1"/>
  <c r="X74" i="84" a="1"/>
  <c r="X74" i="84" s="1"/>
  <c r="X138" i="84" s="1" a="1"/>
  <c r="X138" i="84" s="1"/>
  <c r="X198" i="84" s="1" a="1"/>
  <c r="X198" i="84" s="1"/>
  <c r="X250" i="84" s="1" a="1"/>
  <c r="X250" i="84" s="1"/>
  <c r="K62" i="84" a="1"/>
  <c r="K62" i="84" s="1"/>
  <c r="K127" i="84" s="1" a="1"/>
  <c r="K127" i="84" s="1"/>
  <c r="K169" i="84" s="1" a="1"/>
  <c r="K169" i="84" s="1"/>
  <c r="K207" i="84" s="1" a="1"/>
  <c r="K207" i="84" s="1"/>
  <c r="Y63" i="84"/>
  <c r="H63" i="84" a="1"/>
  <c r="H63" i="84" s="1"/>
  <c r="H128" i="84" s="1" a="1"/>
  <c r="H128" i="84" s="1"/>
  <c r="H170" i="84" s="1" a="1"/>
  <c r="H170" i="84" s="1"/>
  <c r="H208" i="84" s="1" a="1"/>
  <c r="H208" i="84" s="1"/>
  <c r="L65" i="84" a="1"/>
  <c r="L65" i="84" s="1"/>
  <c r="L130" i="84" s="1" a="1"/>
  <c r="L130" i="84" s="1"/>
  <c r="L172" i="84" s="1" a="1"/>
  <c r="L172" i="84" s="1"/>
  <c r="L210" i="84" s="1" a="1"/>
  <c r="L210" i="84" s="1"/>
  <c r="AC72" i="84" a="1"/>
  <c r="AC72" i="84" s="1"/>
  <c r="AC136" i="84" s="1" a="1"/>
  <c r="AC136" i="84" s="1"/>
  <c r="AC196" i="84" s="1" a="1"/>
  <c r="AC196" i="84" s="1"/>
  <c r="AC248" i="84" s="1" a="1"/>
  <c r="AC248" i="84" s="1"/>
  <c r="AD77" i="84" a="1"/>
  <c r="AD77" i="84" s="1"/>
  <c r="AD141" i="84" s="1" a="1"/>
  <c r="AD141" i="84" s="1"/>
  <c r="AD201" i="84" s="1" a="1"/>
  <c r="AD201" i="84" s="1"/>
  <c r="AD253" i="84" s="1" a="1"/>
  <c r="AD253" i="84" s="1"/>
  <c r="V56" i="84"/>
  <c r="V81" i="84" a="1"/>
  <c r="V81" i="84" s="1"/>
  <c r="V145" i="84" s="1" a="1"/>
  <c r="V145" i="84" s="1"/>
  <c r="V205" i="84" s="1" a="1"/>
  <c r="V205" i="84" s="1"/>
  <c r="V257" i="84" s="1" a="1"/>
  <c r="V257" i="84" s="1"/>
  <c r="AB73" i="84" a="1"/>
  <c r="AB73" i="84" s="1"/>
  <c r="AB137" i="84" s="1" a="1"/>
  <c r="AB137" i="84" s="1"/>
  <c r="AB197" i="84" s="1" a="1"/>
  <c r="AB197" i="84" s="1"/>
  <c r="AB249" i="84" s="1" a="1"/>
  <c r="AB249" i="84" s="1"/>
  <c r="Y83" i="84" a="1"/>
  <c r="Y83" i="84" s="1"/>
  <c r="Y147" i="84" s="1" a="1"/>
  <c r="Y147" i="84" s="1"/>
  <c r="Y207" i="84" s="1" a="1"/>
  <c r="Y207" i="84" s="1"/>
  <c r="Y259" i="84" s="1" a="1"/>
  <c r="Y259" i="84" s="1"/>
  <c r="AD82" i="84" a="1"/>
  <c r="AD82" i="84" s="1"/>
  <c r="AD146" i="84" s="1" a="1"/>
  <c r="AD146" i="84" s="1"/>
  <c r="AD206" i="84" s="1" a="1"/>
  <c r="AD206" i="84" s="1"/>
  <c r="AD258" i="84" s="1" a="1"/>
  <c r="AD258" i="84" s="1"/>
  <c r="Z82" i="84" a="1"/>
  <c r="Z82" i="84" s="1"/>
  <c r="Z146" i="84" s="1" a="1"/>
  <c r="Z146" i="84" s="1"/>
  <c r="Z206" i="84" s="1" a="1"/>
  <c r="Z206" i="84" s="1"/>
  <c r="Z258" i="84" s="1" a="1"/>
  <c r="Z258" i="84" s="1"/>
  <c r="AC80" i="84" a="1"/>
  <c r="AC80" i="84" s="1"/>
  <c r="AC144" i="84" s="1" a="1"/>
  <c r="AC144" i="84" s="1"/>
  <c r="AC204" i="84" s="1" a="1"/>
  <c r="AC204" i="84" s="1"/>
  <c r="AC256" i="84" s="1" a="1"/>
  <c r="AC256" i="84" s="1"/>
  <c r="V79" i="84" a="1"/>
  <c r="V79" i="84" s="1"/>
  <c r="V143" i="84" s="1" a="1"/>
  <c r="V143" i="84" s="1"/>
  <c r="V203" i="84" s="1" a="1"/>
  <c r="V203" i="84" s="1"/>
  <c r="V255" i="84" s="1" a="1"/>
  <c r="V255" i="84" s="1"/>
  <c r="I65" i="84" a="1"/>
  <c r="I65" i="84" s="1"/>
  <c r="I130" i="84" s="1" a="1"/>
  <c r="I130" i="84" s="1"/>
  <c r="I172" i="84" s="1" a="1"/>
  <c r="I172" i="84" s="1"/>
  <c r="I210" i="84" s="1" a="1"/>
  <c r="I210" i="84" s="1"/>
  <c r="AA72" i="84" a="1"/>
  <c r="AA72" i="84" s="1"/>
  <c r="AA136" i="84" s="1" a="1"/>
  <c r="AA136" i="84" s="1"/>
  <c r="AA196" i="84" s="1" a="1"/>
  <c r="AA196" i="84" s="1"/>
  <c r="AA248" i="84" s="1" a="1"/>
  <c r="AA248" i="84" s="1"/>
  <c r="G63" i="84" a="1"/>
  <c r="G63" i="84" s="1"/>
  <c r="G128" i="84" s="1" a="1"/>
  <c r="G128" i="84" s="1"/>
  <c r="G170" i="84" s="1" a="1"/>
  <c r="G170" i="84" s="1"/>
  <c r="G208" i="84" s="1" a="1"/>
  <c r="G208" i="84" s="1"/>
  <c r="AC61" i="84"/>
  <c r="AE56" i="84"/>
  <c r="AA60" i="84"/>
  <c r="X72" i="84" a="1"/>
  <c r="X72" i="84" s="1"/>
  <c r="X136" i="84" s="1" a="1"/>
  <c r="X136" i="84" s="1"/>
  <c r="X196" i="84" s="1" a="1"/>
  <c r="X196" i="84" s="1"/>
  <c r="X248" i="84" s="1" a="1"/>
  <c r="X248" i="84" s="1"/>
  <c r="W78" i="84" a="1"/>
  <c r="W78" i="84" s="1"/>
  <c r="W142" i="84" s="1" a="1"/>
  <c r="W142" i="84" s="1"/>
  <c r="W202" i="84" s="1" a="1"/>
  <c r="W202" i="84" s="1"/>
  <c r="W254" i="84" s="1" a="1"/>
  <c r="W254" i="84" s="1"/>
  <c r="V74" i="84" a="1"/>
  <c r="V74" i="84" s="1"/>
  <c r="V138" i="84" s="1" a="1"/>
  <c r="V138" i="84" s="1"/>
  <c r="V198" i="84" s="1" a="1"/>
  <c r="V198" i="84" s="1"/>
  <c r="V250" i="84" s="1" a="1"/>
  <c r="V250" i="84" s="1"/>
  <c r="E54" i="84"/>
  <c r="F63" i="84" a="1"/>
  <c r="F63" i="84" s="1"/>
  <c r="F128" i="84" s="1" a="1"/>
  <c r="F128" i="84" s="1"/>
  <c r="F170" i="84" s="1" a="1"/>
  <c r="F170" i="84" s="1"/>
  <c r="F208" i="84" s="1" a="1"/>
  <c r="F208" i="84" s="1"/>
  <c r="K64" i="84" a="1"/>
  <c r="K64" i="84" s="1"/>
  <c r="K129" i="84" s="1" a="1"/>
  <c r="K129" i="84" s="1"/>
  <c r="K171" i="84" s="1" a="1"/>
  <c r="K171" i="84" s="1"/>
  <c r="K209" i="84" s="1" a="1"/>
  <c r="K209" i="84" s="1"/>
  <c r="AC78" i="84" a="1"/>
  <c r="AC78" i="84" s="1"/>
  <c r="AC142" i="84" s="1" a="1"/>
  <c r="AC142" i="84" s="1"/>
  <c r="AC202" i="84" s="1" a="1"/>
  <c r="AC202" i="84" s="1"/>
  <c r="AC254" i="84" s="1" a="1"/>
  <c r="AC254" i="84" s="1"/>
  <c r="X77" i="84" a="1"/>
  <c r="X77" i="84" s="1"/>
  <c r="X141" i="84" s="1" a="1"/>
  <c r="X141" i="84" s="1"/>
  <c r="X201" i="84" s="1" a="1"/>
  <c r="X201" i="84" s="1"/>
  <c r="X253" i="84" s="1" a="1"/>
  <c r="X253" i="84" s="1"/>
  <c r="X79" i="84" a="1"/>
  <c r="X79" i="84" s="1"/>
  <c r="X143" i="84" s="1" a="1"/>
  <c r="X143" i="84" s="1"/>
  <c r="X203" i="84" s="1" a="1"/>
  <c r="X203" i="84" s="1"/>
  <c r="X255" i="84" s="1" a="1"/>
  <c r="X255" i="84" s="1"/>
  <c r="G57" i="84"/>
  <c r="AA67" i="84"/>
  <c r="W77" i="84" a="1"/>
  <c r="W77" i="84" s="1"/>
  <c r="W141" i="84" s="1" a="1"/>
  <c r="W141" i="84" s="1"/>
  <c r="W201" i="84" s="1" a="1"/>
  <c r="W201" i="84" s="1"/>
  <c r="W253" i="84" s="1" a="1"/>
  <c r="W253" i="84" s="1"/>
  <c r="F65" i="84" a="1"/>
  <c r="F65" i="84" s="1"/>
  <c r="F130" i="84" s="1" a="1"/>
  <c r="F130" i="84" s="1"/>
  <c r="F172" i="84" s="1" a="1"/>
  <c r="F172" i="84" s="1"/>
  <c r="F210" i="84" s="1" a="1"/>
  <c r="F210" i="84" s="1"/>
  <c r="I62" i="84" a="1"/>
  <c r="I62" i="84" s="1"/>
  <c r="I127" i="84" s="1" a="1"/>
  <c r="I127" i="84" s="1"/>
  <c r="I169" i="84" s="1" a="1"/>
  <c r="I169" i="84" s="1"/>
  <c r="I207" i="84" s="1" a="1"/>
  <c r="I207" i="84" s="1"/>
  <c r="I63" i="84" a="1"/>
  <c r="I63" i="84" s="1"/>
  <c r="I128" i="84" s="1" a="1"/>
  <c r="I128" i="84" s="1"/>
  <c r="I170" i="84" s="1" a="1"/>
  <c r="I170" i="84" s="1"/>
  <c r="I208" i="84" s="1" a="1"/>
  <c r="I208" i="84" s="1"/>
  <c r="W79" i="84" a="1"/>
  <c r="W79" i="84" s="1"/>
  <c r="W143" i="84" s="1" a="1"/>
  <c r="W143" i="84" s="1"/>
  <c r="W203" i="84" s="1" a="1"/>
  <c r="W203" i="84" s="1"/>
  <c r="W255" i="84" s="1" a="1"/>
  <c r="W255" i="84" s="1"/>
  <c r="V78" i="84" a="1"/>
  <c r="V78" i="84" s="1"/>
  <c r="V142" i="84" s="1" a="1"/>
  <c r="V142" i="84" s="1"/>
  <c r="V202" i="84" s="1" a="1"/>
  <c r="V202" i="84" s="1"/>
  <c r="V254" i="84" s="1" a="1"/>
  <c r="V254" i="84" s="1"/>
  <c r="Z56" i="84"/>
  <c r="AB81" i="84" a="1"/>
  <c r="AB81" i="84" s="1"/>
  <c r="AB145" i="84" s="1" a="1"/>
  <c r="AB145" i="84" s="1"/>
  <c r="AB205" i="84" s="1" a="1"/>
  <c r="AB205" i="84" s="1"/>
  <c r="AB257" i="84" s="1" a="1"/>
  <c r="AB257" i="84" s="1"/>
  <c r="AA65" i="84"/>
  <c r="Z62" i="84"/>
  <c r="W67" i="84"/>
  <c r="Y72" i="84" a="1"/>
  <c r="Y72" i="84" s="1"/>
  <c r="Y136" i="84" s="1" a="1"/>
  <c r="Y136" i="84" s="1"/>
  <c r="Y196" i="84" s="1" a="1"/>
  <c r="Y196" i="84" s="1"/>
  <c r="Y248" i="84" s="1" a="1"/>
  <c r="Y248" i="84" s="1"/>
  <c r="G96" i="95" l="1"/>
  <c r="E99" i="95" s="1" a="1"/>
  <c r="E99" i="95" s="1"/>
  <c r="E19" i="13" a="1"/>
  <c r="E19" i="13" s="1"/>
  <c r="H16" i="13" a="1"/>
  <c r="H16" i="13" s="1"/>
  <c r="F16" i="13"/>
  <c r="I16" i="13" s="1" a="1"/>
  <c r="I16" i="13" s="1"/>
  <c r="G82" i="90"/>
  <c r="E85" i="90" s="1" a="1"/>
  <c r="E85" i="90" s="1"/>
  <c r="E14" i="13" a="1"/>
  <c r="E14" i="13" s="1"/>
  <c r="H14" i="13" s="1" a="1"/>
  <c r="H14" i="13" s="1"/>
  <c r="R60" i="90"/>
  <c r="N63" i="90" s="1" a="1"/>
  <c r="N63" i="90" s="1"/>
  <c r="O106" i="90" s="1"/>
  <c r="R46" i="90"/>
  <c r="N49" i="90" s="1" a="1"/>
  <c r="N49" i="90" s="1"/>
  <c r="O105" i="90" s="1"/>
  <c r="S93" i="90" s="1"/>
  <c r="N110" i="90" s="1" a="1"/>
  <c r="N110" i="90" s="1"/>
  <c r="R76" i="90"/>
  <c r="N79" i="90" s="1" a="1"/>
  <c r="N79" i="90" s="1"/>
  <c r="O107" i="90" s="1"/>
  <c r="I565" i="117"/>
  <c r="E570" i="117" s="1" a="1"/>
  <c r="E570" i="117" s="1"/>
  <c r="J34" i="98"/>
  <c r="E39" i="98" s="1" a="1"/>
  <c r="E39" i="98" s="1"/>
  <c r="E34" i="13" s="1" a="1"/>
  <c r="E34" i="13" s="1"/>
  <c r="H18" i="13" a="1"/>
  <c r="H18" i="13" s="1"/>
  <c r="F18" i="13"/>
  <c r="I18" i="13" s="1" a="1"/>
  <c r="I18" i="13" s="1"/>
  <c r="G65" i="84" a="1"/>
  <c r="G65" i="84" s="1"/>
  <c r="G130" i="84" s="1" a="1"/>
  <c r="G130" i="84" s="1"/>
  <c r="G172" i="84" s="1" a="1"/>
  <c r="G172" i="84" s="1"/>
  <c r="G210" i="84" s="1" a="1"/>
  <c r="G210" i="84" s="1"/>
  <c r="Y79" i="84" a="1"/>
  <c r="Y79" i="84" s="1"/>
  <c r="Y143" i="84" s="1" a="1"/>
  <c r="Y143" i="84" s="1"/>
  <c r="Y203" i="84" s="1" a="1"/>
  <c r="Y203" i="84" s="1"/>
  <c r="Y255" i="84" s="1" a="1"/>
  <c r="Y255" i="84" s="1"/>
  <c r="V80" i="84" a="1"/>
  <c r="V80" i="84" s="1"/>
  <c r="V144" i="84" s="1" a="1"/>
  <c r="V144" i="84" s="1"/>
  <c r="V204" i="84" s="1" a="1"/>
  <c r="V204" i="84" s="1"/>
  <c r="V256" i="84" s="1" a="1"/>
  <c r="V256" i="84" s="1"/>
  <c r="W75" i="84" a="1"/>
  <c r="W75" i="84" s="1"/>
  <c r="W139" i="84" s="1" a="1"/>
  <c r="W139" i="84" s="1"/>
  <c r="W199" i="84" s="1" a="1"/>
  <c r="W199" i="84" s="1"/>
  <c r="W251" i="84" s="1" a="1"/>
  <c r="W251" i="84" s="1"/>
  <c r="AB72" i="84" a="1"/>
  <c r="AB72" i="84" s="1"/>
  <c r="AB136" i="84" s="1" a="1"/>
  <c r="AB136" i="84" s="1"/>
  <c r="AB196" i="84" s="1" a="1"/>
  <c r="AB196" i="84" s="1"/>
  <c r="AB248" i="84" s="1" a="1"/>
  <c r="AB248" i="84" s="1"/>
  <c r="AB77" i="84" a="1"/>
  <c r="AB77" i="84" s="1"/>
  <c r="AB141" i="84" s="1" a="1"/>
  <c r="AB141" i="84" s="1"/>
  <c r="AB201" i="84" s="1" a="1"/>
  <c r="AB201" i="84" s="1"/>
  <c r="AB253" i="84" s="1" a="1"/>
  <c r="AB253" i="84" s="1"/>
  <c r="W73" i="84" a="1"/>
  <c r="W73" i="84" s="1"/>
  <c r="W137" i="84" s="1" a="1"/>
  <c r="W137" i="84" s="1"/>
  <c r="W197" i="84" s="1" a="1"/>
  <c r="W197" i="84" s="1"/>
  <c r="W249" i="84" s="1" a="1"/>
  <c r="W249" i="84" s="1"/>
  <c r="AB78" i="84" a="1"/>
  <c r="AB78" i="84" s="1"/>
  <c r="AB142" i="84" s="1" a="1"/>
  <c r="AB142" i="84" s="1"/>
  <c r="AB202" i="84" s="1" a="1"/>
  <c r="AB202" i="84" s="1"/>
  <c r="AB254" i="84" s="1" a="1"/>
  <c r="AB254" i="84" s="1"/>
  <c r="V75" i="84" a="1"/>
  <c r="V75" i="84" s="1"/>
  <c r="V139" i="84" s="1" a="1"/>
  <c r="V139" i="84" s="1"/>
  <c r="V199" i="84" s="1" a="1"/>
  <c r="V199" i="84" s="1"/>
  <c r="V251" i="84" s="1" a="1"/>
  <c r="V251" i="84" s="1"/>
  <c r="AD75" i="84" a="1"/>
  <c r="AD75" i="84" s="1"/>
  <c r="AD139" i="84" s="1" a="1"/>
  <c r="AD139" i="84" s="1"/>
  <c r="AD199" i="84" s="1" a="1"/>
  <c r="AD199" i="84" s="1"/>
  <c r="AD251" i="84" s="1" a="1"/>
  <c r="AD251" i="84" s="1"/>
  <c r="K65" i="84" a="1"/>
  <c r="K65" i="84" s="1"/>
  <c r="K130" i="84" s="1" a="1"/>
  <c r="K130" i="84" s="1"/>
  <c r="K172" i="84" s="1" a="1"/>
  <c r="K172" i="84" s="1"/>
  <c r="K210" i="84" s="1" a="1"/>
  <c r="K210" i="84" s="1"/>
  <c r="X76" i="84" a="1"/>
  <c r="X76" i="84" s="1"/>
  <c r="X140" i="84" s="1" a="1"/>
  <c r="X140" i="84" s="1"/>
  <c r="X200" i="84" s="1" a="1"/>
  <c r="X200" i="84" s="1"/>
  <c r="X252" i="84" s="1" a="1"/>
  <c r="X252" i="84" s="1"/>
  <c r="Z83" i="84" a="1"/>
  <c r="Z83" i="84" s="1"/>
  <c r="Z147" i="84" s="1" a="1"/>
  <c r="Z147" i="84" s="1"/>
  <c r="Z207" i="84" s="1" a="1"/>
  <c r="Z207" i="84" s="1"/>
  <c r="Z259" i="84" s="1" a="1"/>
  <c r="Z259" i="84" s="1"/>
  <c r="Y78" i="84" a="1"/>
  <c r="Y78" i="84" s="1"/>
  <c r="Y142" i="84" s="1" a="1"/>
  <c r="Y142" i="84" s="1"/>
  <c r="Y202" i="84" s="1" a="1"/>
  <c r="Y202" i="84" s="1"/>
  <c r="Y254" i="84" s="1" a="1"/>
  <c r="Y254" i="84" s="1"/>
  <c r="Z72" i="84" a="1"/>
  <c r="Z72" i="84" s="1"/>
  <c r="Z136" i="84" s="1" a="1"/>
  <c r="Z136" i="84" s="1"/>
  <c r="Z196" i="84" s="1" a="1"/>
  <c r="Z196" i="84" s="1"/>
  <c r="Z248" i="84" s="1" a="1"/>
  <c r="Z248" i="84" s="1"/>
  <c r="AA83" i="84" a="1"/>
  <c r="AA83" i="84" s="1"/>
  <c r="AA147" i="84" s="1" a="1"/>
  <c r="AA147" i="84" s="1"/>
  <c r="AA207" i="84" s="1" a="1"/>
  <c r="AA207" i="84" s="1"/>
  <c r="AA259" i="84" s="1" a="1"/>
  <c r="AA259" i="84" s="1"/>
  <c r="E62" i="84" a="1"/>
  <c r="E62" i="84" s="1"/>
  <c r="E127" i="84" s="1" a="1"/>
  <c r="E127" i="84" s="1"/>
  <c r="E169" i="84" s="1" a="1"/>
  <c r="E169" i="84" s="1"/>
  <c r="E207" i="84" s="1" a="1"/>
  <c r="E207" i="84" s="1"/>
  <c r="AE82" i="84" a="1"/>
  <c r="AE82" i="84" s="1"/>
  <c r="AE146" i="84" s="1" a="1"/>
  <c r="AE146" i="84" s="1"/>
  <c r="AE206" i="84" s="1" a="1"/>
  <c r="AE206" i="84" s="1"/>
  <c r="AE258" i="84" s="1" a="1"/>
  <c r="AE258" i="84" s="1"/>
  <c r="W83" i="84" a="1"/>
  <c r="W83" i="84" s="1"/>
  <c r="W147" i="84" s="1" a="1"/>
  <c r="W147" i="84" s="1"/>
  <c r="W207" i="84" s="1" a="1"/>
  <c r="W207" i="84" s="1"/>
  <c r="W259" i="84" s="1" a="1"/>
  <c r="W259" i="84" s="1"/>
  <c r="V72" i="84" a="1"/>
  <c r="V72" i="84" s="1"/>
  <c r="V136" i="84" s="1" a="1"/>
  <c r="V136" i="84" s="1"/>
  <c r="V196" i="84" s="1" a="1"/>
  <c r="V196" i="84" s="1"/>
  <c r="V248" i="84" s="1" a="1"/>
  <c r="V248" i="84" s="1"/>
  <c r="AA75" i="84" a="1"/>
  <c r="AA75" i="84" s="1"/>
  <c r="AA139" i="84" s="1" a="1"/>
  <c r="AA139" i="84" s="1"/>
  <c r="AA199" i="84" s="1" a="1"/>
  <c r="AA199" i="84" s="1"/>
  <c r="AA251" i="84" s="1" a="1"/>
  <c r="AA251" i="84" s="1"/>
  <c r="J64" i="84" a="1"/>
  <c r="J64" i="84" s="1"/>
  <c r="J129" i="84" s="1" a="1"/>
  <c r="J129" i="84" s="1"/>
  <c r="J171" i="84" s="1" a="1"/>
  <c r="J171" i="84" s="1"/>
  <c r="J209" i="84" s="1" a="1"/>
  <c r="J209" i="84" s="1"/>
  <c r="AC81" i="84" a="1"/>
  <c r="AC81" i="84" s="1"/>
  <c r="AC145" i="84" s="1" a="1"/>
  <c r="AC145" i="84" s="1"/>
  <c r="AC205" i="84" s="1" a="1"/>
  <c r="AC205" i="84" s="1"/>
  <c r="AC257" i="84" s="1" a="1"/>
  <c r="AC257" i="84" s="1"/>
  <c r="Z78" i="84" a="1"/>
  <c r="Z78" i="84" s="1"/>
  <c r="Z142" i="84" s="1" a="1"/>
  <c r="Z142" i="84" s="1"/>
  <c r="Z202" i="84" s="1" a="1"/>
  <c r="Z202" i="84" s="1"/>
  <c r="Z254" i="84" s="1" a="1"/>
  <c r="Z254" i="84" s="1"/>
  <c r="AA76" i="84" a="1"/>
  <c r="AA76" i="84" s="1"/>
  <c r="AA140" i="84" s="1" a="1"/>
  <c r="AA140" i="84" s="1"/>
  <c r="AA200" i="84" s="1" a="1"/>
  <c r="AA200" i="84" s="1"/>
  <c r="AA252" i="84" s="1" a="1"/>
  <c r="AA252" i="84" s="1"/>
  <c r="AD83" i="84" a="1"/>
  <c r="AD83" i="84" s="1"/>
  <c r="AD147" i="84" s="1" a="1"/>
  <c r="AD147" i="84" s="1"/>
  <c r="AD207" i="84" s="1" a="1"/>
  <c r="AD207" i="84" s="1"/>
  <c r="AD259" i="84" s="1" a="1"/>
  <c r="AD259" i="84" s="1"/>
  <c r="Z80" i="84" a="1"/>
  <c r="Z80" i="84" s="1"/>
  <c r="Z144" i="84" s="1" a="1"/>
  <c r="Z144" i="84" s="1"/>
  <c r="Z204" i="84" s="1" a="1"/>
  <c r="Z204" i="84" s="1"/>
  <c r="Z256" i="84" s="1" a="1"/>
  <c r="Z256" i="84" s="1"/>
  <c r="AE73" i="84" a="1"/>
  <c r="AE73" i="84" s="1"/>
  <c r="AE137" i="84" s="1" a="1"/>
  <c r="AE137" i="84" s="1"/>
  <c r="AE197" i="84" s="1" a="1"/>
  <c r="AE197" i="84" s="1"/>
  <c r="AE249" i="84" s="1" a="1"/>
  <c r="AE249" i="84" s="1"/>
  <c r="AC79" i="84" a="1"/>
  <c r="AC79" i="84" s="1"/>
  <c r="AC143" i="84" s="1" a="1"/>
  <c r="AC143" i="84" s="1"/>
  <c r="AC203" i="84" s="1" a="1"/>
  <c r="AC203" i="84" s="1"/>
  <c r="AC255" i="84" s="1" a="1"/>
  <c r="AC255" i="84" s="1"/>
  <c r="G64" i="84" a="1"/>
  <c r="G64" i="84" s="1"/>
  <c r="G129" i="84" s="1" a="1"/>
  <c r="G129" i="84" s="1"/>
  <c r="G171" i="84" s="1" a="1"/>
  <c r="G171" i="84" s="1"/>
  <c r="G209" i="84" s="1" a="1"/>
  <c r="G209" i="84" s="1"/>
  <c r="AB76" i="84" a="1"/>
  <c r="AB76" i="84" s="1"/>
  <c r="AB140" i="84" s="1" a="1"/>
  <c r="AB140" i="84" s="1"/>
  <c r="AB200" i="84" s="1" a="1"/>
  <c r="AB200" i="84" s="1"/>
  <c r="AB252" i="84" s="1" a="1"/>
  <c r="AB252" i="84" s="1"/>
  <c r="AD79" i="84" a="1"/>
  <c r="AD79" i="84" s="1"/>
  <c r="AD143" i="84" s="1" a="1"/>
  <c r="AD143" i="84" s="1"/>
  <c r="AD203" i="84" s="1" a="1"/>
  <c r="AD203" i="84" s="1"/>
  <c r="AD255" i="84" s="1" a="1"/>
  <c r="AD255" i="84" s="1"/>
  <c r="AB75" i="84" a="1"/>
  <c r="AB75" i="84" s="1"/>
  <c r="AB139" i="84" s="1" a="1"/>
  <c r="AB139" i="84" s="1"/>
  <c r="AB199" i="84" s="1" a="1"/>
  <c r="AB199" i="84" s="1"/>
  <c r="AB251" i="84" s="1" a="1"/>
  <c r="AB251" i="84" s="1"/>
  <c r="AA81" i="84" a="1"/>
  <c r="AA81" i="84" s="1"/>
  <c r="AA145" i="84" s="1" a="1"/>
  <c r="AA145" i="84" s="1"/>
  <c r="AA205" i="84" s="1" a="1"/>
  <c r="AA205" i="84" s="1"/>
  <c r="AA257" i="84" s="1" a="1"/>
  <c r="AA257" i="84" s="1"/>
  <c r="AE72" i="84" a="1"/>
  <c r="AE72" i="84" s="1"/>
  <c r="AE136" i="84" s="1" a="1"/>
  <c r="AE136" i="84" s="1"/>
  <c r="AE196" i="84" s="1" a="1"/>
  <c r="AE196" i="84" s="1"/>
  <c r="AE248" i="84" s="1" a="1"/>
  <c r="AE248" i="84" s="1"/>
  <c r="AD81" i="84" a="1"/>
  <c r="AD81" i="84" s="1"/>
  <c r="AD145" i="84" s="1" a="1"/>
  <c r="AD145" i="84" s="1"/>
  <c r="AD205" i="84" s="1" a="1"/>
  <c r="AD205" i="84" s="1"/>
  <c r="AD257" i="84" s="1" a="1"/>
  <c r="AD257" i="84" s="1"/>
  <c r="K63" i="84" a="1"/>
  <c r="K63" i="84" s="1"/>
  <c r="K128" i="84" s="1" a="1"/>
  <c r="K128" i="84" s="1"/>
  <c r="K170" i="84" s="1" a="1"/>
  <c r="K170" i="84" s="1"/>
  <c r="K208" i="84" s="1" a="1"/>
  <c r="K208" i="84" s="1"/>
  <c r="Y75" i="84" a="1"/>
  <c r="Y75" i="84" s="1"/>
  <c r="Y139" i="84" s="1" a="1"/>
  <c r="Y139" i="84" s="1"/>
  <c r="Y199" i="84" s="1" a="1"/>
  <c r="Y199" i="84" s="1"/>
  <c r="Y251" i="84" s="1" a="1"/>
  <c r="Y251" i="84" s="1"/>
  <c r="Y73" i="84" a="1"/>
  <c r="Y73" i="84" s="1"/>
  <c r="Y137" i="84" s="1" a="1"/>
  <c r="Y137" i="84" s="1"/>
  <c r="Y197" i="84" s="1" a="1"/>
  <c r="Y197" i="84" s="1"/>
  <c r="Y249" i="84" s="1" a="1"/>
  <c r="Y249" i="84" s="1"/>
  <c r="AA74" i="84" a="1"/>
  <c r="AA74" i="84" s="1"/>
  <c r="AA138" i="84" s="1" a="1"/>
  <c r="AA138" i="84" s="1"/>
  <c r="AA198" i="84" s="1" a="1"/>
  <c r="AA198" i="84" s="1"/>
  <c r="AA250" i="84" s="1" a="1"/>
  <c r="AA250" i="84" s="1"/>
  <c r="W82" i="84" a="1"/>
  <c r="W82" i="84" s="1"/>
  <c r="W146" i="84" s="1" a="1"/>
  <c r="W146" i="84" s="1"/>
  <c r="W206" i="84" s="1" a="1"/>
  <c r="W206" i="84" s="1"/>
  <c r="W258" i="84" s="1" a="1"/>
  <c r="W258" i="84" s="1"/>
  <c r="AA73" i="84" a="1"/>
  <c r="AA73" i="84" s="1"/>
  <c r="AA137" i="84" s="1" a="1"/>
  <c r="AA137" i="84" s="1"/>
  <c r="AA197" i="84" s="1" a="1"/>
  <c r="AA197" i="84" s="1"/>
  <c r="AA249" i="84" s="1" a="1"/>
  <c r="AA249" i="84" s="1"/>
  <c r="AC77" i="84" a="1"/>
  <c r="AC77" i="84" s="1"/>
  <c r="AC141" i="84" s="1" a="1"/>
  <c r="AC141" i="84" s="1"/>
  <c r="AC201" i="84" s="1" a="1"/>
  <c r="AC201" i="84" s="1"/>
  <c r="AC253" i="84" s="1" a="1"/>
  <c r="AC253" i="84" s="1"/>
  <c r="Z76" i="84" a="1"/>
  <c r="Z76" i="84" s="1"/>
  <c r="Z140" i="84" s="1" a="1"/>
  <c r="Z140" i="84" s="1"/>
  <c r="Z200" i="84" s="1" a="1"/>
  <c r="Z200" i="84" s="1"/>
  <c r="Z252" i="84" s="1" a="1"/>
  <c r="Z252" i="84" s="1"/>
  <c r="AD78" i="84" a="1"/>
  <c r="AD78" i="84" s="1"/>
  <c r="AD142" i="84" s="1" a="1"/>
  <c r="AD142" i="84" s="1"/>
  <c r="AD202" i="84" s="1" a="1"/>
  <c r="AD202" i="84" s="1"/>
  <c r="AD254" i="84" s="1" a="1"/>
  <c r="AD254" i="84" s="1"/>
  <c r="Y80" i="84" a="1"/>
  <c r="Y80" i="84" s="1"/>
  <c r="Y144" i="84" s="1" a="1"/>
  <c r="Y144" i="84" s="1"/>
  <c r="Y204" i="84" s="1" a="1"/>
  <c r="Y204" i="84" s="1"/>
  <c r="Y256" i="84" s="1" a="1"/>
  <c r="Y256" i="84" s="1"/>
  <c r="AD74" i="84" a="1"/>
  <c r="AD74" i="84" s="1"/>
  <c r="AD138" i="84" s="1" a="1"/>
  <c r="AD138" i="84" s="1"/>
  <c r="AD198" i="84" s="1" a="1"/>
  <c r="AD198" i="84" s="1"/>
  <c r="AD250" i="84" s="1" a="1"/>
  <c r="AD250" i="84" s="1"/>
  <c r="V77" i="84" a="1"/>
  <c r="V77" i="84" s="1"/>
  <c r="V141" i="84" s="1" a="1"/>
  <c r="V141" i="84" s="1"/>
  <c r="V201" i="84" s="1" a="1"/>
  <c r="V201" i="84" s="1"/>
  <c r="V253" i="84" s="1" a="1"/>
  <c r="V253" i="84" s="1"/>
  <c r="AD73" i="84" a="1"/>
  <c r="AD73" i="84" s="1"/>
  <c r="AD137" i="84" s="1" a="1"/>
  <c r="AD137" i="84" s="1"/>
  <c r="AD197" i="84" s="1" a="1"/>
  <c r="AD197" i="84" s="1"/>
  <c r="AD249" i="84" s="1" a="1"/>
  <c r="AD249" i="84" s="1"/>
  <c r="F34" i="13" l="1"/>
  <c r="I34" i="13" s="1"/>
  <c r="I35" i="13" s="1"/>
  <c r="H34" i="13"/>
  <c r="H35" i="13" s="1"/>
  <c r="P112" i="90"/>
  <c r="N115" i="90" s="1" a="1"/>
  <c r="N115" i="90" s="1"/>
  <c r="F14" i="13" a="1"/>
  <c r="F14" i="13" s="1"/>
  <c r="I14" i="13" s="1" a="1"/>
  <c r="I14" i="13" s="1"/>
  <c r="H19" i="13" a="1"/>
  <c r="H19" i="13" s="1"/>
  <c r="F19" i="13"/>
  <c r="I19" i="13" s="1" a="1"/>
  <c r="I19" i="13" s="1"/>
  <c r="E212" i="84"/>
  <c r="J13" i="85" s="1"/>
  <c r="E16" i="85" s="1" a="1"/>
  <c r="E16" i="85" s="1"/>
  <c r="I28" i="85" s="1"/>
  <c r="E35" i="85" s="1" a="1"/>
  <c r="E35" i="85" s="1"/>
  <c r="V261" i="84"/>
  <c r="G246" i="83"/>
  <c r="E249" i="83" s="1" a="1"/>
  <c r="E249" i="83" s="1"/>
  <c r="E229" i="84" l="1"/>
  <c r="G231" i="84" s="1"/>
  <c r="E234" i="84" s="1" a="1"/>
  <c r="E234" i="84" s="1"/>
  <c r="I13" i="86"/>
  <c r="E20" i="86" s="1" a="1"/>
  <c r="E20" i="86" s="1"/>
  <c r="I32" i="86" s="1"/>
  <c r="E36" i="86" s="1" a="1"/>
  <c r="E36" i="86" s="1"/>
  <c r="E13" i="13" s="1" a="1"/>
  <c r="E13" i="13" s="1"/>
  <c r="H13" i="13" s="1" a="1"/>
  <c r="H13" i="13" s="1"/>
  <c r="E12" i="13" a="1"/>
  <c r="E12" i="13" s="1"/>
  <c r="H12" i="13" s="1" a="1"/>
  <c r="H12" i="13" s="1"/>
  <c r="G37" i="85"/>
  <c r="E40" i="85" s="1" a="1"/>
  <c r="E40" i="85" s="1"/>
  <c r="E10" i="13" a="1"/>
  <c r="E10" i="13" s="1"/>
  <c r="H10" i="13" s="1" a="1"/>
  <c r="H10" i="13" s="1"/>
  <c r="Z278" i="83"/>
  <c r="X281" i="83" s="1" a="1"/>
  <c r="X281" i="83" s="1"/>
  <c r="G38" i="86" l="1"/>
  <c r="E41" i="86" s="1" a="1"/>
  <c r="E41" i="86" s="1"/>
  <c r="E11" i="13" a="1"/>
  <c r="E11" i="13" s="1"/>
  <c r="H11" i="13" s="1" a="1"/>
  <c r="H11" i="13" s="1"/>
  <c r="H28" i="13" s="1"/>
  <c r="T13" i="85"/>
  <c r="O16" i="85" s="1" a="1"/>
  <c r="O16" i="85" s="1"/>
  <c r="S28" i="85" s="1"/>
  <c r="O35" i="85" s="1" a="1"/>
  <c r="O35" i="85" s="1"/>
  <c r="R13" i="86"/>
  <c r="N20" i="86" s="1" a="1"/>
  <c r="N20" i="86" s="1"/>
  <c r="R32" i="86" s="1"/>
  <c r="N36" i="86" s="1" a="1"/>
  <c r="N36" i="86" s="1"/>
  <c r="V267" i="84"/>
  <c r="F10" i="13" a="1"/>
  <c r="F10" i="13" s="1"/>
  <c r="I10" i="13" s="1" a="1"/>
  <c r="I10" i="13" s="1"/>
  <c r="E68" i="13" l="1"/>
  <c r="E67" i="13"/>
  <c r="X269" i="84"/>
  <c r="V272" i="84" s="1" a="1"/>
  <c r="V272" i="84" s="1"/>
  <c r="E56" i="72"/>
  <c r="E60" i="72" s="1"/>
  <c r="J54" i="81" s="1"/>
  <c r="F13" i="13" a="1"/>
  <c r="F13" i="13" s="1"/>
  <c r="I13" i="13" s="1" a="1"/>
  <c r="I13" i="13" s="1"/>
  <c r="P38" i="86"/>
  <c r="N41" i="86" s="1" a="1"/>
  <c r="N41" i="86" s="1"/>
  <c r="F12" i="13" a="1"/>
  <c r="F12" i="13" s="1"/>
  <c r="I12" i="13" s="1" a="1"/>
  <c r="I12" i="13" s="1"/>
  <c r="Q37" i="85"/>
  <c r="O40" i="85" s="1" a="1"/>
  <c r="O40" i="85" s="1"/>
  <c r="F11" i="13" a="1"/>
  <c r="F11" i="13" s="1"/>
  <c r="I11" i="13" s="1" a="1"/>
  <c r="I11" i="13" s="1"/>
  <c r="E37" i="81" l="1"/>
  <c r="K60" i="81" s="1"/>
  <c r="J46" i="81"/>
  <c r="J52" i="81"/>
  <c r="E36" i="81"/>
  <c r="J44" i="81"/>
  <c r="I28" i="13"/>
  <c r="F68" i="13" l="1"/>
  <c r="F67" i="13"/>
  <c r="F56" i="72"/>
  <c r="F60" i="72" s="1"/>
  <c r="K46" i="81" s="1"/>
  <c r="J53" i="81"/>
  <c r="J45" i="81"/>
  <c r="J47" i="81"/>
  <c r="J60" i="81"/>
  <c r="J55" i="81"/>
  <c r="F37" i="81" l="1"/>
  <c r="K47" i="81" s="1"/>
  <c r="K52" i="81"/>
  <c r="K54" i="81"/>
  <c r="K44" i="81"/>
  <c r="F36" i="81"/>
  <c r="K53" i="81" l="1"/>
  <c r="K55" i="81"/>
  <c r="K45" i="8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<sst xmlns="http://schemas.openxmlformats.org/spreadsheetml/2006/main" count="4698" uniqueCount="1209">
  <si>
    <t>INPUTS</t>
  </si>
  <si>
    <t>APPENDICES</t>
  </si>
  <si>
    <t>CALCULATIONS</t>
  </si>
  <si>
    <t>Scope 1 source</t>
  </si>
  <si>
    <t>GHG Unit</t>
  </si>
  <si>
    <t>t CH4</t>
  </si>
  <si>
    <t>t CO2e</t>
  </si>
  <si>
    <t>GHG emissions method 1</t>
  </si>
  <si>
    <t>GHG emissions method 2</t>
  </si>
  <si>
    <t>CO2-e emissions method 1</t>
  </si>
  <si>
    <t>CO2-e emissions method 2</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</si>
  <si>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</si>
  <si>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</si>
  <si>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</si>
  <si>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</si>
  <si>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</si>
  <si>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</si>
  <si>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</si>
  <si>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</si>
  <si>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</si>
  <si>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</si>
  <si>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</si>
  <si>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</si>
  <si>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</si>
  <si>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</si>
  <si>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</si>
  <si>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</si>
  <si>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</si>
  <si>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</si>
  <si>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</si>
  <si>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</si>
  <si>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</si>
  <si>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</si>
  <si>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</si>
  <si>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</si>
  <si>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</si>
  <si>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</si>
  <si>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</si>
  <si>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</si>
  <si>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</si>
  <si>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</si>
  <si>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</si>
  <si>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</si>
  <si>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</si>
  <si>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</si>
  <si>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</si>
  <si>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</si>
  <si>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</si>
  <si>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</si>
  <si>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</si>
  <si>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</si>
  <si>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</si>
  <si>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</si>
  <si>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</si>
  <si>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</si>
  <si>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</si>
  <si>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</si>
  <si>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</si>
  <si>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</si>
  <si>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</si>
  <si>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</si>
  <si>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</si>
  <si>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</si>
  <si>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</si>
  <si>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</si>
  <si>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</si>
  <si>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</si>
  <si>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</si>
  <si>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</si>
  <si>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</si>
  <si>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</si>
  <si>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</si>
  <si>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</si>
  <si>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</si>
  <si>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</si>
  <si>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</si>
  <si>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</si>
  <si>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</si>
  <si>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</si>
  <si>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</si>
  <si>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</si>
  <si>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</si>
  <si>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</si>
  <si>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</si>
  <si>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</si>
  <si>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</si>
  <si>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</si>
  <si>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</si>
  <si>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</si>
  <si>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</si>
  <si>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</si>
  <si>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</si>
  <si>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</si>
  <si>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</si>
  <si>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</si>
  <si>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</si>
  <si>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</si>
  <si>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</si>
  <si>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Reporting entity name</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</si>
  <si>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</si>
  <si>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</si>
  <si>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</si>
  <si>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</si>
  <si>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</si>
  <si>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</si>
  <si>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</si>
  <si>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</si>
  <si>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</si>
  <si>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</si>
  <si>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</si>
  <si>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</si>
  <si>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</si>
  <si>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</si>
  <si>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</si>
  <si>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</si>
  <si>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</si>
  <si>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</si>
  <si>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</si>
  <si>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</si>
  <si>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</si>
  <si>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</si>
  <si>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Unit</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</si>
  <si>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</si>
  <si>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</si>
  <si>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</si>
  <si>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</si>
  <si>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</si>
  <si>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</si>
  <si>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</si>
  <si>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</si>
  <si>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</si>
  <si>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</si>
  <si>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CO2 removed attributed to this enterprise</t>
  </si>
  <si>
    <t>t CO2</t>
  </si>
  <si>
    <t>Total emissions for production cycle</t>
  </si>
  <si>
    <t>Total carbon removals for production cycle</t>
  </si>
  <si>
    <t>Method 1</t>
  </si>
  <si>
    <t>Method 2</t>
  </si>
  <si>
    <t>Liveweight grown - Method 1</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</si>
  <si>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</si>
  <si>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</si>
  <si>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</si>
  <si>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</si>
  <si>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</si>
  <si>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</si>
  <si>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</si>
  <si>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</si>
  <si>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</si>
  <si>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</si>
  <si>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</si>
  <si>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</si>
  <si>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</si>
  <si>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</si>
  <si>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</si>
  <si>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</si>
  <si>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</si>
  <si>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Input - Enterprise</t>
  </si>
  <si>
    <t>percent</t>
  </si>
  <si>
    <t>Manure produced - method 1</t>
  </si>
  <si>
    <t>Manure produced - method 2</t>
  </si>
  <si>
    <t>Percentage of income from liveweight sold</t>
  </si>
  <si>
    <t>Percentage of income from manure sold</t>
  </si>
  <si>
    <t>Product emissions - Mass</t>
  </si>
  <si>
    <t>Product emissions - Economic</t>
  </si>
  <si>
    <t>Economic emissions assignment</t>
  </si>
  <si>
    <t>Emissions per tonne liveweight grown</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</si>
  <si>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</si>
  <si>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</si>
  <si>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</si>
  <si>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</si>
  <si>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</si>
  <si>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</si>
  <si>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</si>
  <si>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</si>
  <si>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</si>
  <si>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</si>
  <si>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</si>
  <si>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</si>
  <si>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</si>
  <si>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</si>
  <si>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</si>
  <si>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</si>
  <si>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</si>
  <si>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</si>
  <si>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Bulls &gt; 1 year</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</si>
  <si>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</si>
  <si>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</si>
  <si>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</si>
  <si>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</si>
  <si>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</si>
  <si>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</si>
  <si>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</si>
  <si>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</si>
  <si>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</si>
  <si>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</si>
  <si>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</si>
  <si>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</si>
  <si>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</si>
  <si>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</si>
  <si>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</si>
  <si>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</si>
  <si>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</si>
  <si>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</si>
  <si>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</si>
  <si>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</si>
  <si>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</si>
  <si>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</si>
  <si>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</si>
  <si>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</si>
  <si>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</si>
  <si>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</si>
  <si>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</si>
  <si>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</si>
  <si>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</si>
  <si>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</si>
  <si>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</si>
  <si>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</si>
  <si>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</si>
  <si>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</si>
  <si>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</si>
  <si>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</si>
  <si>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</si>
  <si>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</si>
  <si>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</si>
  <si>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</si>
  <si>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</si>
  <si>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</si>
  <si>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</si>
  <si>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</si>
  <si>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</si>
  <si>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</si>
  <si>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</si>
  <si>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</si>
  <si>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</si>
  <si>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</si>
  <si>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</si>
  <si>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Enterprise</t>
  </si>
  <si>
    <t>When was the data sourced?</t>
  </si>
  <si>
    <t>Where is the data sourced from?</t>
  </si>
  <si>
    <t>How much of the data was from direct samples?</t>
  </si>
  <si>
    <t>During this emissions calculation period</t>
  </si>
  <si>
    <t>This location without spatial partitioning</t>
  </si>
  <si>
    <t>Over 90%</t>
  </si>
  <si>
    <t>Between 21% and 50%</t>
  </si>
  <si>
    <t>Regional-level data from a government or industry database/survey</t>
  </si>
  <si>
    <t>Between 51% and 90%</t>
  </si>
  <si>
    <t>Site</t>
  </si>
  <si>
    <t>Within 2 years of this emissions calculation period</t>
  </si>
  <si>
    <t>Within 3 years of this emissions calculation period</t>
  </si>
  <si>
    <t>Pasture Beef</t>
  </si>
  <si>
    <t>Livestock production region</t>
  </si>
  <si>
    <t>Cattle breed</t>
  </si>
  <si>
    <t>Liveweight</t>
  </si>
  <si>
    <t>Liveweight gain</t>
  </si>
  <si>
    <t>Less than 20%</t>
  </si>
  <si>
    <t>Unknown</t>
  </si>
  <si>
    <t>Pasture management</t>
  </si>
  <si>
    <t>Pasture type</t>
  </si>
  <si>
    <t>Area under pasture</t>
  </si>
  <si>
    <t>Pasture yield</t>
  </si>
  <si>
    <t>State-level data from a government or industry database/survey</t>
  </si>
  <si>
    <t>Area of pasture renewed or removed</t>
  </si>
  <si>
    <t>Fertiliser applications</t>
  </si>
  <si>
    <t>Lime applications</t>
  </si>
  <si>
    <t>Organic fertiliser applications</t>
  </si>
  <si>
    <t>This location with spatial partitioning</t>
  </si>
  <si>
    <t>National-level data from a government or industry database/survey</t>
  </si>
  <si>
    <t>Within 4 years of this emissions calculation period</t>
  </si>
  <si>
    <t>Unknown, or more than 4 years of this emissions calculation period</t>
  </si>
  <si>
    <t>User friendly description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</si>
  <si>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</si>
  <si>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</si>
  <si>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</si>
  <si>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</si>
  <si>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</si>
  <si>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Data type</t>
  </si>
  <si>
    <t>Fuel and electricity</t>
  </si>
  <si>
    <t>Farm input purchases, freight and waste outputs</t>
  </si>
  <si>
    <t>Total data quality score</t>
  </si>
  <si>
    <t>Results - Product emissions intensity</t>
  </si>
  <si>
    <t>Results - Activity period</t>
  </si>
  <si>
    <t>Net emissions for production cycle</t>
  </si>
  <si>
    <t>Planting name</t>
  </si>
  <si>
    <t>Total removed CO2</t>
  </si>
  <si>
    <t>Percent allocated to this enterprise</t>
  </si>
  <si>
    <t>Enter the method 1 and 2 CO2e emissions (excluding removals) from previous emissions calculation periods if applicable.</t>
  </si>
  <si>
    <t>Removal allocated to this enterprise</t>
  </si>
  <si>
    <t>Carbon removals</t>
  </si>
  <si>
    <t>Production cycle emissions and removals</t>
  </si>
  <si>
    <t>Emissions for production cycle excluding removals</t>
  </si>
  <si>
    <t>Total removals</t>
  </si>
  <si>
    <t>Total net emissions</t>
  </si>
  <si>
    <t>t CO2-e</t>
  </si>
  <si>
    <t>Total scope 1</t>
  </si>
  <si>
    <t>Scope 2</t>
  </si>
  <si>
    <t>Scope 2 source</t>
  </si>
  <si>
    <t>Total scope 2</t>
  </si>
  <si>
    <t>Scope 1</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</si>
  <si>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</si>
  <si>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</si>
  <si>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</si>
  <si>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</si>
  <si>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</si>
  <si>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</si>
  <si>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</si>
  <si>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</si>
  <si>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</si>
  <si>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</si>
  <si>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</si>
  <si>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</si>
  <si>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</si>
  <si>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</si>
  <si>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</si>
  <si>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</si>
  <si>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</si>
  <si>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</si>
  <si>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Amount in tonnes (Method 1)</t>
  </si>
  <si>
    <t>Amount in tonnes (Method 2)</t>
  </si>
  <si>
    <t>Mass emissions assignment (Method 1)</t>
  </si>
  <si>
    <t>Mass emissions assignment (Method 2)</t>
  </si>
  <si>
    <t>Input -Pasture Beef</t>
  </si>
  <si>
    <t>Herd movement</t>
  </si>
  <si>
    <t>South West</t>
  </si>
  <si>
    <r>
      <rPr>
        <b/>
        <sz val="10"/>
        <color rgb="FF0070C0"/>
        <rFont val="Arial"/>
        <family val="1"/>
      </rPr>
      <t>NOTE:</t>
    </r>
    <r>
      <rPr>
        <sz val="10"/>
        <color rgb="FF0070C0"/>
        <rFont val="Arial"/>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</si>
  <si>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</si>
  <si>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</si>
  <si>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</si>
  <si>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</si>
  <si>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</si>
  <si>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</si>
  <si>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</si>
  <si>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</si>
  <si>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</si>
  <si>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</si>
  <si>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</si>
  <si>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</si>
  <si>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</si>
  <si>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</si>
  <si>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</si>
  <si>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</si>
  <si>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</si>
  <si>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</si>
  <si>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</si>
  <si>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kg/head</t>
  </si>
  <si>
    <t>kg/head/day</t>
  </si>
  <si>
    <t>Dry matter digestibility</t>
  </si>
  <si>
    <t>fraction</t>
  </si>
  <si>
    <t>Crude protein</t>
  </si>
  <si>
    <t>Manure management</t>
  </si>
  <si>
    <t>Are all dams and natural water sources fenced off so cattle cannot access them?</t>
  </si>
  <si>
    <t>No</t>
  </si>
  <si>
    <t>Manure management system</t>
  </si>
  <si>
    <t>Percent in MMS</t>
  </si>
  <si>
    <t>Percent</t>
  </si>
  <si>
    <t>Where did the livestock spend most of their time grazing?</t>
  </si>
  <si>
    <t>Sprinkler irrigation</t>
  </si>
  <si>
    <t>Proportion of cows &gt; 1 years in calf in the season of calving</t>
  </si>
  <si>
    <t>Calving season</t>
  </si>
  <si>
    <t>Calves born</t>
  </si>
  <si>
    <t>Calving season (select)</t>
  </si>
  <si>
    <t>Yes</t>
  </si>
  <si>
    <t>Proportion born this season</t>
  </si>
  <si>
    <r>
      <t>MC = (PB</t>
    </r>
    <r>
      <rPr>
        <b/>
        <vertAlign val="subscript"/>
        <sz val="12"/>
        <color theme="1" tint="0.24994659260841701"/>
        <rFont val="Arial"/>
        <family val="1"/>
      </rPr>
      <t>calv</t>
    </r>
    <r>
      <rPr>
        <b/>
        <sz val="12"/>
        <color theme="1" tint="0.24994659260841701"/>
        <rFont val="Arial"/>
        <family val="1"/>
      </rPr>
      <t>*6) + (PB</t>
    </r>
    <r>
      <rPr>
        <b/>
        <vertAlign val="subscript"/>
        <sz val="12"/>
        <color theme="1" tint="0.24994659260841701"/>
        <rFont val="Arial"/>
        <family val="1"/>
      </rPr>
      <t>prev</t>
    </r>
    <r>
      <rPr>
        <b/>
        <sz val="12"/>
        <color theme="1" tint="0.24994659260841701"/>
        <rFont val="Arial"/>
        <family val="1"/>
      </rPr>
      <t>*4) + (PB</t>
    </r>
    <r>
      <rPr>
        <b/>
        <vertAlign val="subscript"/>
        <sz val="12"/>
        <color theme="1" tint="0.24994659260841701"/>
        <rFont val="Arial"/>
        <family val="1"/>
      </rPr>
      <t>earlier</t>
    </r>
    <r>
      <rPr>
        <b/>
        <sz val="12"/>
        <color theme="1" tint="0.24994659260841701"/>
        <rFont val="Arial"/>
        <family val="1"/>
      </rPr>
      <t>*0)</t>
    </r>
  </si>
  <si>
    <t>First calving month</t>
  </si>
  <si>
    <t>August 2024</t>
  </si>
  <si>
    <t>Calving month 2</t>
  </si>
  <si>
    <t>Births</t>
  </si>
  <si>
    <t>Proportion born last season</t>
  </si>
  <si>
    <t>Proportion born earlier than last season</t>
  </si>
  <si>
    <t>MC</t>
  </si>
  <si>
    <t>Calving month 3</t>
  </si>
  <si>
    <t>4.2.1.1-2 Manure Methane</t>
  </si>
  <si>
    <t>Function name</t>
  </si>
  <si>
    <t>EntericMethane_PastureBeef_Equations.VEERG_3_2_1_1__4_AdditionalIntakeForMilkProduction</t>
  </si>
  <si>
    <t>Variable</t>
  </si>
  <si>
    <t>M1_Table_LC_j_k-4-5</t>
  </si>
  <si>
    <t>M2_Table_LC_j_k-4-5</t>
  </si>
  <si>
    <t>Proportion of cows in calf during season (Method 1)</t>
  </si>
  <si>
    <t>Proportion of cows in calf during season (Method 2)</t>
  </si>
  <si>
    <t>Fraction</t>
  </si>
  <si>
    <t>M2_Table_MA_j_k-4-5</t>
  </si>
  <si>
    <t>Additional intake for milk production in calving and post-calving seasons (Method 2)</t>
  </si>
  <si>
    <t>M1_Table_MA_j_k-4-5</t>
  </si>
  <si>
    <r>
      <t>FA</t>
    </r>
    <r>
      <rPr>
        <b/>
        <vertAlign val="subscript"/>
        <sz val="10"/>
        <color rgb="FF183C1B"/>
        <rFont val="Arial"/>
        <family val="1"/>
      </rPr>
      <t>jk=4,5</t>
    </r>
  </si>
  <si>
    <t>Additional intake for milk production in calving and post-calving seasons (Method 1)</t>
  </si>
  <si>
    <t>Season after calving</t>
  </si>
  <si>
    <t>Cows &lt; 3 months</t>
  </si>
  <si>
    <t>Cows 3-6 months</t>
  </si>
  <si>
    <t>Cows 6 months-1 year</t>
  </si>
  <si>
    <t>M2_Table_W_j_k_l</t>
  </si>
  <si>
    <t>Liveweight (Method 2)</t>
  </si>
  <si>
    <t>M1_Table_W_j_k_l</t>
  </si>
  <si>
    <t>Liveweight (Method 1)</t>
  </si>
  <si>
    <t>M2_Table_LWG_j_k_l</t>
  </si>
  <si>
    <t>Liveweight gain (Method 2)</t>
  </si>
  <si>
    <t>M1_Table_LWG_j_k_l</t>
  </si>
  <si>
    <t>Liveweight gain (Method 1)</t>
  </si>
  <si>
    <t>M2_Table_I_j_k_l</t>
  </si>
  <si>
    <t>Feed intake (Method 2)</t>
  </si>
  <si>
    <t>M1_Table_I_j_k_l</t>
  </si>
  <si>
    <t>Feed intake (Method 1)</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</si>
  <si>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</si>
  <si>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</si>
  <si>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</si>
  <si>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</si>
  <si>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</si>
  <si>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</si>
  <si>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</si>
  <si>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</si>
  <si>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</si>
  <si>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</si>
  <si>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</si>
  <si>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</si>
  <si>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</si>
  <si>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</si>
  <si>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</si>
  <si>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</si>
  <si>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0"/>
        <color rgb="FF183C1B"/>
        <rFont val="Arial"/>
        <family val="1"/>
      </rPr>
      <t>im</t>
    </r>
  </si>
  <si>
    <t>M1_Table_M_j_k_l_m</t>
  </si>
  <si>
    <t>M2_Table_M_j_k_l_m</t>
  </si>
  <si>
    <t>Methane production from manure (Method 1)</t>
  </si>
  <si>
    <t>Methane production from manure (Method 2)</t>
  </si>
  <si>
    <t>M1_Table_N_j_k_l</t>
  </si>
  <si>
    <t>M2_Table_N_j_k_l</t>
  </si>
  <si>
    <t>Number of beef cattle (Method 1)</t>
  </si>
  <si>
    <t>Number of beef cattle (Method 2)</t>
  </si>
  <si>
    <t>head</t>
  </si>
  <si>
    <t>M1_Table_D_j</t>
  </si>
  <si>
    <t>Duration of stay in each time period (Method 1)</t>
  </si>
  <si>
    <t>days</t>
  </si>
  <si>
    <t>M1_Table_E_CH4</t>
  </si>
  <si>
    <t>M2_Table_D_j</t>
  </si>
  <si>
    <t>Total methane production (Method 1)</t>
  </si>
  <si>
    <t>Duration of stay in each time period (Method 2)</t>
  </si>
  <si>
    <r>
      <t>E</t>
    </r>
    <r>
      <rPr>
        <b/>
        <vertAlign val="subscript"/>
        <sz val="14"/>
        <color theme="1" tint="0.24994659260841701"/>
        <rFont val="Arial"/>
        <family val="1"/>
      </rPr>
      <t>CH4</t>
    </r>
  </si>
  <si>
    <t>M2_Table_E_CH4</t>
  </si>
  <si>
    <r>
      <t>E</t>
    </r>
    <r>
      <rPr>
        <vertAlign val="subscript"/>
        <sz val="10"/>
        <color theme="1" tint="0.24994659260841701"/>
        <rFont val="Arial"/>
        <family val="1"/>
      </rPr>
      <t>CO2e</t>
    </r>
  </si>
  <si>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</si>
  <si>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</si>
  <si>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</si>
  <si>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</si>
  <si>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</si>
  <si>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</si>
  <si>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</si>
  <si>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</si>
  <si>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</si>
  <si>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</si>
  <si>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</si>
  <si>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</si>
  <si>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</si>
  <si>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</si>
  <si>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</si>
  <si>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</si>
  <si>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0"/>
        <color rgb="FF183C1B"/>
        <rFont val="Arial"/>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</si>
  <si>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</si>
  <si>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</si>
  <si>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</si>
  <si>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</si>
  <si>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</si>
  <si>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</si>
  <si>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</si>
  <si>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</si>
  <si>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</si>
  <si>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</si>
  <si>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</si>
  <si>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</si>
  <si>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</si>
  <si>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</si>
  <si>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</si>
  <si>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</si>
  <si>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</si>
  <si>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</si>
  <si>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</si>
  <si>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</si>
  <si>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4"/>
        <color theme="1" tint="0.24994659260841701"/>
        <rFont val="Arial"/>
        <family val="1"/>
      </rPr>
      <t>N2O,dir</t>
    </r>
  </si>
  <si>
    <t>M2_Table_AE</t>
  </si>
  <si>
    <t>Total nitrogen excreted to pasture, range and paddock (Method 2)</t>
  </si>
  <si>
    <t>4.2.1.5-6 Soil atmospheric deposition N2O</t>
  </si>
  <si>
    <r>
      <t>M</t>
    </r>
    <r>
      <rPr>
        <b/>
        <vertAlign val="subscript"/>
        <sz val="10"/>
        <color theme="1" tint="0.24994659260841701"/>
        <rFont val="Arial"/>
        <family val="1"/>
      </rPr>
      <t>vol</t>
    </r>
  </si>
  <si>
    <r>
      <t>E</t>
    </r>
    <r>
      <rPr>
        <b/>
        <vertAlign val="subscript"/>
        <sz val="10"/>
        <color theme="1" tint="0.24994659260841701"/>
        <rFont val="Arial"/>
        <family val="1"/>
      </rPr>
      <t>N2O,ad</t>
    </r>
  </si>
  <si>
    <t>4.3.1.12-13 Soil leaching and runoff N2O</t>
  </si>
  <si>
    <r>
      <t>M</t>
    </r>
    <r>
      <rPr>
        <b/>
        <vertAlign val="subscript"/>
        <sz val="10"/>
        <color theme="1" tint="0.24994659260841701"/>
        <rFont val="Arial"/>
        <family val="1"/>
      </rPr>
      <t>leach</t>
    </r>
  </si>
  <si>
    <r>
      <t>E</t>
    </r>
    <r>
      <rPr>
        <b/>
        <vertAlign val="subscript"/>
        <sz val="10"/>
        <color theme="1" tint="0.24994659260841701"/>
        <rFont val="Arial"/>
        <family val="1"/>
      </rPr>
      <t>N2O,leach</t>
    </r>
  </si>
  <si>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</si>
  <si>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</si>
  <si>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</si>
  <si>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</si>
  <si>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</si>
  <si>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</si>
  <si>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</si>
  <si>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</si>
  <si>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</si>
  <si>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</si>
  <si>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</si>
  <si>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</si>
  <si>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</si>
  <si>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</si>
  <si>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</si>
  <si>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</si>
  <si>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</si>
  <si>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</si>
  <si>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</si>
  <si>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</si>
  <si>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</si>
  <si>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</si>
  <si>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</si>
  <si>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</si>
  <si>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</si>
  <si>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</si>
  <si>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</si>
  <si>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</si>
  <si>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</si>
  <si>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</si>
  <si>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</si>
  <si>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</si>
  <si>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</si>
  <si>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</si>
  <si>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</si>
  <si>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</si>
  <si>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</si>
  <si>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</si>
  <si>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</si>
  <si>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</si>
  <si>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</si>
  <si>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</si>
  <si>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</si>
  <si>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</si>
  <si>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</si>
  <si>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WA - Kimberley</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</si>
  <si>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</si>
  <si>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</si>
  <si>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</si>
  <si>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</si>
  <si>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</si>
  <si>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</si>
  <si>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</si>
  <si>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</si>
  <si>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</si>
  <si>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</si>
  <si>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</si>
  <si>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</si>
  <si>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</si>
  <si>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</si>
  <si>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</si>
  <si>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</si>
  <si>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</si>
  <si>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</si>
  <si>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</si>
  <si>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</si>
  <si>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</si>
  <si>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</si>
  <si>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</si>
  <si>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</si>
  <si>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</si>
  <si>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</si>
  <si>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</si>
  <si>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</si>
  <si>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</si>
  <si>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</si>
  <si>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</si>
  <si>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</si>
  <si>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</si>
  <si>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</si>
  <si>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</si>
  <si>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</si>
  <si>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</si>
  <si>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</si>
  <si>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</si>
  <si>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</si>
  <si>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</si>
  <si>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3.2.1.1-2 Enteric Beef Grazing</t>
  </si>
  <si>
    <t>M1_Table_M_j_k_l</t>
  </si>
  <si>
    <t>Daily production of enteric methane (Method 1)</t>
  </si>
  <si>
    <t>M2_Table_M_j_k_l</t>
  </si>
  <si>
    <t>Daily production of enteric methane (Method 2)</t>
  </si>
  <si>
    <t>M1_Table_E_enteric</t>
  </si>
  <si>
    <t>Total enteric methane production (Method 1)</t>
  </si>
  <si>
    <t>M2_Table_E_enteric</t>
  </si>
  <si>
    <t>Total enteric methane production (Method 2)</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</si>
  <si>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</si>
  <si>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</si>
  <si>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</si>
  <si>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</si>
  <si>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</si>
  <si>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</si>
  <si>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</si>
  <si>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</si>
  <si>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</si>
  <si>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</si>
  <si>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</si>
  <si>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</si>
  <si>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</si>
  <si>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</si>
  <si>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</si>
  <si>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</si>
  <si>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</si>
  <si>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</si>
  <si>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</si>
  <si>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</si>
  <si>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</si>
  <si>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</si>
  <si>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</si>
  <si>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</si>
  <si>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</si>
  <si>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</si>
  <si>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</si>
  <si>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</si>
  <si>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Custom fertiliser blends</t>
  </si>
  <si>
    <t>Custom blend name</t>
  </si>
  <si>
    <r>
      <t xml:space="preserve">Amount applied </t>
    </r>
    <r>
      <rPr>
        <sz val="10"/>
        <color theme="1"/>
        <rFont val="Arial"/>
        <family val="1"/>
      </rPr>
      <t>(kg / ha)</t>
    </r>
  </si>
  <si>
    <t>Ingredient 1 (select)</t>
  </si>
  <si>
    <t>Urea source (Select)</t>
  </si>
  <si>
    <t>Ammonia source (select)</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</si>
  <si>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</si>
  <si>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</si>
  <si>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</si>
  <si>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</si>
  <si>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</si>
  <si>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</si>
  <si>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</si>
  <si>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Total</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</si>
  <si>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</si>
  <si>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</si>
  <si>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</si>
  <si>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</si>
  <si>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</si>
  <si>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</si>
  <si>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</si>
  <si>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</si>
  <si>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</si>
  <si>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</si>
  <si>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</si>
  <si>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</si>
  <si>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</si>
  <si>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</si>
  <si>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</si>
  <si>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hectares</t>
  </si>
  <si>
    <t>kg</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</si>
  <si>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</si>
  <si>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</si>
  <si>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</si>
  <si>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</si>
  <si>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</si>
  <si>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</si>
  <si>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</si>
  <si>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</si>
  <si>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</si>
  <si>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</si>
  <si>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</si>
  <si>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</si>
  <si>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</si>
  <si>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</si>
  <si>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</si>
  <si>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</si>
  <si>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</si>
  <si>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</si>
  <si>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</si>
  <si>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</si>
  <si>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</si>
  <si>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</si>
  <si>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</si>
  <si>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</si>
  <si>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</si>
  <si>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</si>
  <si>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</si>
  <si>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</si>
  <si>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</si>
  <si>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</si>
  <si>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</si>
  <si>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</si>
  <si>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</si>
  <si>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</si>
  <si>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</si>
  <si>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</si>
  <si>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</si>
  <si>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</si>
  <si>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</si>
  <si>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</si>
  <si>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</si>
  <si>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</si>
  <si>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</si>
  <si>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</si>
  <si>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</si>
  <si>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</si>
  <si>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</si>
  <si>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</si>
  <si>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</si>
  <si>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</si>
  <si>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</si>
  <si>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</si>
  <si>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</si>
  <si>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</si>
  <si>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</si>
  <si>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</si>
  <si>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</si>
  <si>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</si>
  <si>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</si>
  <si>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</si>
  <si>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</si>
  <si>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</si>
  <si>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</si>
  <si>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</si>
  <si>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</si>
  <si>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</si>
  <si>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</si>
  <si>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</si>
  <si>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</si>
  <si>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</si>
  <si>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</si>
  <si>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</si>
  <si>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</si>
  <si>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</si>
  <si>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</si>
  <si>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</si>
  <si>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</si>
  <si>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</si>
  <si>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</si>
  <si>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</si>
  <si>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</si>
  <si>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</si>
  <si>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</si>
  <si>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</si>
  <si>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</si>
  <si>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</si>
  <si>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</si>
  <si>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</si>
  <si>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</si>
  <si>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</si>
  <si>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</si>
  <si>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</si>
  <si>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</si>
  <si>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</si>
  <si>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</si>
  <si>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</si>
  <si>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Crop</t>
  </si>
  <si>
    <t>Grains</t>
  </si>
  <si>
    <t>Maize</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</si>
  <si>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</si>
  <si>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</si>
  <si>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</si>
  <si>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</si>
  <si>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</si>
  <si>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</si>
  <si>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</si>
  <si>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</si>
  <si>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</si>
  <si>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</si>
  <si>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</si>
  <si>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</si>
  <si>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</si>
  <si>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</si>
  <si>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</si>
  <si>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</si>
  <si>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</si>
  <si>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</si>
  <si>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</si>
  <si>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</si>
  <si>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</si>
  <si>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</si>
  <si>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</si>
  <si>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</si>
  <si>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</si>
  <si>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</si>
  <si>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</si>
  <si>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</si>
  <si>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</si>
  <si>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</si>
  <si>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</si>
  <si>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</si>
  <si>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</si>
  <si>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</si>
  <si>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</si>
  <si>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</si>
  <si>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</si>
  <si>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</si>
  <si>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</si>
  <si>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</si>
  <si>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</si>
  <si>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</si>
  <si>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Jan 2022 certs</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</si>
  <si>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</si>
  <si>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</si>
  <si>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</si>
  <si>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</si>
  <si>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</si>
  <si>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</si>
  <si>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</si>
  <si>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</si>
  <si>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</si>
  <si>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</si>
  <si>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</si>
  <si>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</si>
  <si>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</si>
  <si>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</si>
  <si>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</si>
  <si>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</si>
  <si>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</si>
  <si>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</si>
  <si>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</si>
  <si>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</si>
  <si>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</si>
  <si>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</si>
  <si>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</si>
  <si>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</si>
  <si>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</si>
  <si>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</si>
  <si>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</si>
  <si>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</si>
  <si>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</si>
  <si>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</si>
  <si>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</si>
  <si>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</si>
  <si>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</si>
  <si>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</si>
  <si>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</si>
  <si>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</si>
  <si>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</si>
  <si>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</si>
  <si>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</si>
  <si>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</si>
  <si>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</si>
  <si>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</si>
  <si>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</si>
  <si>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</si>
  <si>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</si>
  <si>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</si>
  <si>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</si>
  <si>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</si>
  <si>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</si>
  <si>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</si>
  <si>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</si>
  <si>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</si>
  <si>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</si>
  <si>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</si>
  <si>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</si>
  <si>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</si>
  <si>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</si>
  <si>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</si>
  <si>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</si>
  <si>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</si>
  <si>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</si>
  <si>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</si>
  <si>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</si>
  <si>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</si>
  <si>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</si>
  <si>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</si>
  <si>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</si>
  <si>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</si>
  <si>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</si>
  <si>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</si>
  <si>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</si>
  <si>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</si>
  <si>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</si>
  <si>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</si>
  <si>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</si>
  <si>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</si>
  <si>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</si>
  <si>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</si>
  <si>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</si>
  <si>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</si>
  <si>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</si>
  <si>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</si>
  <si>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</si>
  <si>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</si>
  <si>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</si>
  <si>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</si>
  <si>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</si>
  <si>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</si>
  <si>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</si>
  <si>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</si>
  <si>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</si>
  <si>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</si>
  <si>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</si>
  <si>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</si>
  <si>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</si>
  <si>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</si>
  <si>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</si>
  <si>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</si>
  <si>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</si>
  <si>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</si>
  <si>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</si>
  <si>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</si>
  <si>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</si>
  <si>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</si>
  <si>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</si>
  <si>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</si>
  <si>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</si>
  <si>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</si>
  <si>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</si>
  <si>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</si>
  <si>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</si>
  <si>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</si>
  <si>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</si>
  <si>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</si>
  <si>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</si>
  <si>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</si>
  <si>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</si>
  <si>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</si>
  <si>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</si>
  <si>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</si>
  <si>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</si>
  <si>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10.1.1-2 Solid waste treatment</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</si>
  <si>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</si>
  <si>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</si>
  <si>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</si>
  <si>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</si>
  <si>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</si>
  <si>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</si>
  <si>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</si>
  <si>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</si>
  <si>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</si>
  <si>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</si>
  <si>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</si>
  <si>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</si>
  <si>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</si>
  <si>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</si>
  <si>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</si>
  <si>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</si>
  <si>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</si>
  <si>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</si>
  <si>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</si>
  <si>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</si>
  <si>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</si>
  <si>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</si>
  <si>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</si>
  <si>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</si>
  <si>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</si>
  <si>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</si>
  <si>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</si>
  <si>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</si>
  <si>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</si>
  <si>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Pasture</t>
  </si>
  <si>
    <t>Area</t>
  </si>
  <si>
    <t>If multiple paddocks were managed in the same way at the same time, you can enter information for them all together.</t>
  </si>
  <si>
    <t>← Please select</t>
  </si>
  <si>
    <t>Hectares</t>
  </si>
  <si>
    <t>Yield</t>
  </si>
  <si>
    <t>💡 'Pasture yield' is the average amount of dry matter that is grazed.</t>
  </si>
  <si>
    <t xml:space="preserve">       A default value is provided based on pasture type. You can edit this if known.</t>
  </si>
  <si>
    <t>Tonnes dry matter / hectare</t>
  </si>
  <si>
    <t>Total pasture yield</t>
  </si>
  <si>
    <t>Tonnes</t>
  </si>
  <si>
    <t>Residue management</t>
  </si>
  <si>
    <t>6.2.1.1-2 Return of pasture residue to soils</t>
  </si>
  <si>
    <r>
      <t>M</t>
    </r>
    <r>
      <rPr>
        <b/>
        <vertAlign val="subscript"/>
        <sz val="10"/>
        <color theme="1" tint="0.24994659260841701"/>
        <rFont val="Arial"/>
        <family val="1"/>
      </rPr>
      <t>p</t>
    </r>
  </si>
  <si>
    <r>
      <t>E</t>
    </r>
    <r>
      <rPr>
        <vertAlign val="subscript"/>
        <sz val="10"/>
        <color theme="1" tint="0.24994659260841701"/>
        <rFont val="Arial"/>
        <family val="1"/>
      </rPr>
      <t>N2O</t>
    </r>
    <r>
      <rPr>
        <sz val="10"/>
        <color theme="1" tint="0.24994659260841701"/>
        <rFont val="Arial"/>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</si>
  <si>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</si>
  <si>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</si>
  <si>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</si>
  <si>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</si>
  <si>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</si>
  <si>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</si>
  <si>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</si>
  <si>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</si>
  <si>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</si>
  <si>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</si>
  <si>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</si>
  <si>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</si>
  <si>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4"/>
        <color theme="1"/>
        <rFont val="Arial"/>
        <family val="1"/>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</si>
  <si>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</si>
  <si>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</si>
  <si>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</si>
  <si>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</si>
  <si>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</si>
  <si>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</si>
  <si>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</si>
  <si>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</si>
  <si>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</si>
  <si>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</si>
  <si>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</si>
  <si>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</si>
  <si>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</si>
  <si>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</si>
  <si>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</si>
  <si>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</si>
  <si>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</si>
  <si>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</si>
  <si>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</si>
  <si>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</si>
  <si>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</si>
  <si>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</si>
  <si>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</si>
  <si>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</si>
  <si>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</si>
  <si>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</si>
  <si>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</si>
  <si>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</si>
  <si>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</si>
  <si>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Beef Cattle Purchases</t>
  </si>
  <si>
    <t>⚠️ Livestock sales and purchases are not automatically reflected in the duration and head count tables - you will need to manually adjust head count, duration and average liveweight</t>
  </si>
  <si>
    <t>Purchase date</t>
  </si>
  <si>
    <t>Purchase class (select)</t>
  </si>
  <si>
    <t>Source region (Select)</t>
  </si>
  <si>
    <t>Quantity (head)</t>
  </si>
  <si>
    <t>Liveweight (kg/head) Method 1</t>
  </si>
  <si>
    <t>Liveweight (kg/head) Method 2</t>
  </si>
  <si>
    <t>Input - Common farm inputs</t>
  </si>
  <si>
    <t>Cleaning chemicals</t>
  </si>
  <si>
    <t>Product name</t>
  </si>
  <si>
    <t>Type (select)</t>
  </si>
  <si>
    <t>Quantity purchased (kg)</t>
  </si>
  <si>
    <t>Services and contractors</t>
  </si>
  <si>
    <t>Service provider / contractor</t>
  </si>
  <si>
    <t>Activity</t>
  </si>
  <si>
    <t>Total amount</t>
  </si>
  <si>
    <t>Uncategorised products</t>
  </si>
  <si>
    <t>Product / service name</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</si>
  <si>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</si>
  <si>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</si>
  <si>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</si>
  <si>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</si>
  <si>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</si>
  <si>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</si>
  <si>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</si>
  <si>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</si>
  <si>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</si>
  <si>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</si>
  <si>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</si>
  <si>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</si>
  <si>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</si>
  <si>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</si>
  <si>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</si>
  <si>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</si>
  <si>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</si>
  <si>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Seed</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</si>
  <si>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</si>
  <si>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</si>
  <si>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</si>
  <si>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</si>
  <si>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</si>
  <si>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</si>
  <si>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</si>
  <si>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</si>
  <si>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</si>
  <si>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</si>
  <si>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</si>
  <si>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</si>
  <si>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</si>
  <si>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</si>
  <si>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Livestock pharmacy chemicals</t>
  </si>
  <si>
    <t>Number of head treated</t>
  </si>
  <si>
    <t>Miscellaneous inputs</t>
  </si>
  <si>
    <t>tags</t>
  </si>
  <si>
    <t>Input - Freight</t>
  </si>
  <si>
    <t>Incoming freight</t>
  </si>
  <si>
    <t>Route name</t>
  </si>
  <si>
    <t>Freight type (select)</t>
  </si>
  <si>
    <t>Route distance (km)</t>
  </si>
  <si>
    <t>Average weight of freight per trip (t)</t>
  </si>
  <si>
    <t>Number of trips taken</t>
  </si>
  <si>
    <t>Outgoing freight</t>
  </si>
  <si>
    <t>Input - Manure sent off-site</t>
  </si>
  <si>
    <t>Manure sent off-site</t>
  </si>
  <si>
    <t>For each relevant livestock type:</t>
  </si>
  <si>
    <r>
      <t>Use the 'Mass of nitrogen applied to soil for scope 3 emissions (MNSoil</t>
    </r>
    <r>
      <rPr>
        <vertAlign val="subscript"/>
        <sz val="10"/>
        <color theme="1" tint="0.24994659260841701"/>
        <rFont val="Arial"/>
        <family val="1"/>
      </rPr>
      <t>scope3</t>
    </r>
    <r>
      <rPr>
        <sz val="10"/>
        <color theme="1" tint="0.24994659260841701"/>
        <rFont val="Arial"/>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</si>
  <si>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</si>
  <si>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</si>
  <si>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</si>
  <si>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</si>
  <si>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</si>
  <si>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</si>
  <si>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</si>
  <si>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</si>
  <si>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</si>
  <si>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</si>
  <si>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</si>
  <si>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</si>
  <si>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</si>
  <si>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</si>
  <si>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</si>
  <si>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</si>
  <si>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</si>
  <si>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</si>
  <si>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</si>
  <si>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</si>
  <si>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</si>
  <si>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</si>
  <si>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</si>
  <si>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</si>
  <si>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</si>
  <si>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</si>
  <si>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</si>
  <si>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</si>
  <si>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</si>
  <si>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</si>
  <si>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</si>
  <si>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</si>
  <si>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</si>
  <si>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</si>
  <si>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</si>
  <si>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</si>
  <si>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</si>
  <si>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</si>
  <si>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</si>
  <si>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</si>
  <si>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</si>
  <si>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</si>
  <si>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</si>
  <si>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</si>
  <si>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</si>
  <si>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</si>
  <si>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</si>
  <si>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</si>
  <si>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</si>
  <si>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</si>
  <si>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</si>
  <si>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</si>
  <si>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</si>
  <si>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</si>
  <si>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</si>
  <si>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</si>
  <si>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</si>
  <si>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</si>
  <si>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</si>
  <si>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</si>
  <si>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</si>
  <si>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</si>
  <si>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</si>
  <si>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</si>
  <si>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</si>
  <si>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</si>
  <si>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</si>
  <si>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</si>
  <si>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</si>
  <si>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</si>
  <si>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</si>
  <si>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</si>
  <si>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</si>
  <si>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</si>
  <si>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</si>
  <si>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</si>
  <si>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</si>
  <si>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</si>
  <si>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</si>
  <si>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</si>
  <si>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</si>
  <si>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</si>
  <si>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</si>
  <si>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</si>
  <si>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</si>
  <si>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</si>
  <si>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</si>
  <si>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</si>
  <si>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</si>
  <si>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</si>
  <si>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</si>
  <si>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</si>
  <si>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</si>
  <si>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</si>
  <si>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</si>
  <si>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</si>
  <si>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</si>
  <si>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</si>
  <si>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</si>
  <si>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</si>
  <si>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</si>
  <si>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</si>
  <si>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</si>
  <si>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</si>
  <si>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</si>
  <si>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</si>
  <si>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</si>
  <si>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</si>
  <si>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</si>
  <si>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</si>
  <si>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</si>
  <si>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</si>
  <si>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</si>
  <si>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</si>
  <si>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</si>
  <si>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</si>
  <si>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</si>
  <si>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</si>
  <si>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</si>
  <si>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</si>
  <si>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</si>
  <si>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</si>
  <si>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</si>
  <si>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</si>
  <si>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</si>
  <si>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</si>
  <si>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</si>
  <si>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</si>
  <si>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</si>
  <si>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</si>
  <si>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</si>
  <si>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0"/>
        <color theme="1" tint="0.24994659260841701"/>
        <rFont val="Arial"/>
        <family val="1"/>
      </rPr>
      <t>vol,inorganic,jf</t>
    </r>
  </si>
  <si>
    <r>
      <t>M</t>
    </r>
    <r>
      <rPr>
        <b/>
        <vertAlign val="subscript"/>
        <sz val="10"/>
        <color theme="1" tint="0.24994659260841701"/>
        <rFont val="Arial"/>
        <family val="1"/>
      </rPr>
      <t>leach,inorganic,jf</t>
    </r>
  </si>
  <si>
    <t>Animals</t>
  </si>
  <si>
    <t>Emissions intensity</t>
  </si>
  <si>
    <t>GHGEI-MIAFF</t>
  </si>
  <si>
    <t>Chemicals</t>
  </si>
  <si>
    <t>Inorganic fertilisers</t>
  </si>
  <si>
    <t>Quantity</t>
  </si>
  <si>
    <t>Other agricultural inputs</t>
  </si>
  <si>
    <t>Packaging</t>
  </si>
  <si>
    <t>Soil ameliorants</t>
  </si>
  <si>
    <t>Fish feed and bait</t>
  </si>
  <si>
    <t>VEERG</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</si>
  <si>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</si>
  <si>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</si>
  <si>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</si>
  <si>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</si>
  <si>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</si>
  <si>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</si>
  <si>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</si>
  <si>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</si>
  <si>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</si>
  <si>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Total emissions excluding removals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</si>
</sst>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00%"/>
    <numFmt numFmtId="172" formatCode="0.000000E+00"/>
    <numFmt numFmtId="173" formatCode="[$-C09]d\ mmmm\ yyyy;@"/>
    <numFmt numFmtId="174" formatCode="0.00000"/>
  </numFmts>
  <fonts count="87" x14ac:knownFonts="1">
    <font>
      <sz val="10"/>
      <color theme="1"/>
      <name val="Arial"/>
      <family val="2"/>
    </font>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
      <b/>
      <sz val="10"/>
      <color theme="1"/>
      <name val="Arial"/>
      <family val="2"/>
    </font>
    <font>
      <sz val="10"/>
      <color theme="1"/>
      <name val="Arial"/>
      <family val="2"/>
    </font>
    <font>
      <b/>
      <sz val="12"/>
      <color theme="1" tint="0.24994659260841701"/>
      <name val="Arial"/>
      <family val="1"/>
    </font>
    <font>
      <b/>
      <vertAlign val="subscript"/>
      <sz val="12"/>
      <color theme="1" tint="0.24994659260841701"/>
      <name val="Arial"/>
      <family val="1"/>
    </font>
    <font>
      <b/>
      <vertAlign val="subscript"/>
      <sz val="10"/>
      <color rgb="FF183C1B"/>
      <name val="Arial"/>
      <family val="1"/>
    </font>
    <font>
      <b/>
      <vertAlign val="subscript"/>
      <sz val="14"/>
      <color theme="1" tint="0.24994659260841701"/>
      <name val="Arial"/>
      <family val="1"/>
    </font>
    <font>
      <vertAlign val="subscript"/>
      <sz val="10"/>
      <color theme="1" tint="0.24994659260841701"/>
      <name val="Arial"/>
      <family val="1"/>
    </font>
    <font>
      <b/>
      <vertAlign val="subscript"/>
      <sz val="10"/>
      <color theme="1" tint="0.24994659260841701"/>
      <name val="Arial"/>
      <family val="1"/>
    </font>
    <font>
      <b/>
      <sz val="10"/>
      <color theme="1"/>
      <name val="Arial"/>
      <family val="2"/>
    </font>
    <font>
      <sz val="10"/>
      <name val="Arial"/>
      <family val="1"/>
    </font>
    <font>
      <sz val="10"/>
      <name val="Arial"/>
      <family val="1"/>
    </font>
    <font>
      <b/>
      <sz val="9"/>
      <color theme="1" tint="0.14999847407452621"/>
      <name val="Arial"/>
      <family val="1"/>
    </font>
    <font>
      <b/>
      <vertAlign val="subscript"/>
      <sz val="10"/>
      <color rgb="FF533001"/>
      <name val="Arial"/>
      <family val="1"/>
    </font>
    <font>
      <b/>
      <i/>
      <sz val="10"/>
      <color rgb="FFCC6600"/>
      <name val="Arial"/>
      <family val="1"/>
    </font>
    <font>
      <sz val="9"/>
      <name val="Arial"/>
      <family val="1"/>
    </font>
    <font>
      <sz val="9"/>
      <color theme="1"/>
      <name val="Arial"/>
      <family val="2"/>
    </font>
    <font>
      <b/>
      <sz val="9"/>
      <color theme="1" tint="0.34998626667073579"/>
      <name val="Arial"/>
      <family val="1"/>
    </font>
    <font>
      <sz val="14"/>
      <name val="Arial"/>
      <family val="1"/>
    </font>
    <font>
      <sz val="9"/>
      <color theme="1"/>
      <name val="Arial"/>
      <family val="2"/>
    </font>
    <font>
      <b/>
      <sz val="9"/>
      <name val="Arial"/>
      <family val="1"/>
    </font>
    <font>
      <b/>
      <sz val="10"/>
      <color theme="1"/>
      <name val="Arial"/>
      <family val="2"/>
    </font>
    <font>
      <b/>
      <sz val="10"/>
      <color theme="1"/>
      <name val="Arial"/>
      <family val="1"/>
    </font>
    <font>
      <b/>
      <sz val="14"/>
      <color theme="1"/>
      <name val="Arial"/>
      <family val="1"/>
    </font>
    <font>
      <b/>
      <vertAlign val="subscript"/>
      <sz val="14"/>
      <color theme="1"/>
      <name val="Arial"/>
      <family val="1"/>
    </font>
    <font>
      <sz val="14"/>
      <color theme="1"/>
      <name val="Arial"/>
      <family val="1"/>
    </font>
    <font>
      <sz val="12"/>
      <color theme="5"/>
      <name val="Arial"/>
      <family val="1"/>
    </font>
    <font>
      <b/>
      <vertAlign val="subscript"/>
      <sz val="10"/>
      <color theme="1"/>
      <name val="Arial"/>
      <family val="1"/>
    </font>
    <font>
      <vertAlign val="subscript"/>
      <sz val="9"/>
      <color theme="1" tint="0.34998626667073579"/>
      <name val="Arial"/>
      <family val="1"/>
    </font>
    <font>
      <b/>
      <sz val="10"/>
      <color rgb="FFC44340"/>
      <name val="Arial"/>
      <family val="1"/>
    </font>
    <font>
      <i/>
      <sz val="10"/>
      <color rgb="FFC44340"/>
      <name val="Arial"/>
      <family val="1"/>
    </font>
    <font>
      <b/>
      <vertAlign val="superscript"/>
      <sz val="10"/>
      <color rgb="FF183C1B"/>
      <name val="Arial"/>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6" fillId="2" borderId="0">
      <alignment horizontal="left" vertical="center" indent="1"/>
      <protection locked="0"/>
    </xf>
    <xf numFmtId="0" fontId="5" fillId="0" borderId="0"/>
    <xf numFmtId="0" fontId="2" fillId="0" borderId="0">
      <alignment vertical="center"/>
    </xf>
    <xf numFmtId="0" fontId="17" fillId="3" borderId="0">
      <alignment vertical="center"/>
    </xf>
    <xf numFmtId="0" fontId="26" fillId="4" borderId="0">
      <alignment horizontal="left" vertical="center"/>
    </xf>
    <xf numFmtId="0" fontId="30" fillId="4" borderId="0">
      <alignment vertical="center"/>
    </xf>
    <xf numFmtId="0" fontId="4" fillId="4" borderId="0">
      <alignment horizontal="left" vertical="center"/>
    </xf>
    <xf numFmtId="0" fontId="28"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7" fillId="4" borderId="3">
      <alignment horizontal="left" vertical="center" indent="1"/>
    </xf>
    <xf numFmtId="164" fontId="9" fillId="4" borderId="3">
      <alignment horizontal="center" vertical="center"/>
    </xf>
    <xf numFmtId="0" fontId="4" fillId="4" borderId="3">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3" fillId="0" borderId="0">
      <alignment horizontal="left" vertical="center" indent="1"/>
    </xf>
    <xf numFmtId="0" fontId="18" fillId="9" borderId="4">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2" fillId="0" borderId="0">
      <alignment horizontal="left" vertical="center" indent="2"/>
    </xf>
    <xf numFmtId="0" fontId="31" fillId="13" borderId="5">
      <alignment horizontal="left" vertical="center"/>
    </xf>
    <xf numFmtId="3" fontId="24" fillId="4" borderId="2">
      <alignment horizontal="center" vertical="center"/>
    </xf>
    <xf numFmtId="167" fontId="3" fillId="0" borderId="2">
      <alignment horizontal="center" vertical="center"/>
    </xf>
    <xf numFmtId="0" fontId="25" fillId="0" borderId="0"/>
    <xf numFmtId="0" fontId="10" fillId="0" borderId="0"/>
    <xf numFmtId="0" fontId="25" fillId="0" borderId="0"/>
    <xf numFmtId="166" fontId="24" fillId="4" borderId="2">
      <alignment horizontal="center" vertical="center"/>
    </xf>
    <xf numFmtId="4" fontId="24" fillId="4" borderId="2">
      <alignment horizontal="center" vertical="center"/>
    </xf>
    <xf numFmtId="0" fontId="35" fillId="4" borderId="0">
      <alignment horizontal="left" vertical="center"/>
    </xf>
    <xf numFmtId="0" fontId="27" fillId="4" borderId="0" applyNumberFormat="0">
      <alignment horizontal="center" vertical="center"/>
    </xf>
    <xf numFmtId="165" fontId="24" fillId="4" borderId="2">
      <alignment horizontal="center" vertical="center"/>
    </xf>
    <xf numFmtId="0" fontId="23" fillId="4" borderId="0">
      <alignment horizontal="left" vertical="center"/>
    </xf>
    <xf numFmtId="168" fontId="24" fillId="4" borderId="2">
      <alignment horizontal="center" vertical="center"/>
    </xf>
    <xf numFmtId="0" fontId="24" fillId="4" borderId="2">
      <alignment horizontal="center" vertical="center"/>
    </xf>
    <xf numFmtId="0" fontId="7" fillId="4" borderId="0">
      <alignment horizontal="left" vertical="center"/>
    </xf>
    <xf numFmtId="0" fontId="29" fillId="4" borderId="0">
      <alignment horizontal="left" vertical="center"/>
    </xf>
    <xf numFmtId="0" fontId="10" fillId="0" borderId="0"/>
    <xf numFmtId="0" fontId="3" fillId="0" borderId="2">
      <alignment horizontal="center" vertical="center"/>
    </xf>
    <xf numFmtId="0" fontId="33" fillId="4" borderId="0">
      <alignment horizontal="left" vertical="center"/>
    </xf>
    <xf numFmtId="0" fontId="34" fillId="4" borderId="0">
      <alignment horizontal="left" vertical="center"/>
    </xf>
    <xf numFmtId="0" fontId="36" fillId="4" borderId="0">
      <alignment horizontal="left" vertical="center"/>
    </xf>
    <xf numFmtId="0" fontId="32" fillId="11" borderId="0">
      <alignment horizontal="center" vertical="center"/>
    </xf>
    <xf numFmtId="0" fontId="21" fillId="11" borderId="0">
      <alignment horizontal="left" vertical="center" indent="1"/>
    </xf>
    <xf numFmtId="0" fontId="37" fillId="4" borderId="2">
      <alignment horizontal="left" vertical="center"/>
    </xf>
    <xf numFmtId="0" fontId="24" fillId="4" borderId="2">
      <alignment horizontal="left" vertical="center"/>
    </xf>
    <xf numFmtId="0" fontId="38" fillId="14" borderId="2">
      <alignment horizontal="center" vertical="center"/>
    </xf>
    <xf numFmtId="0" fontId="39" fillId="15" borderId="2">
      <alignment horizontal="center" vertical="center"/>
    </xf>
    <xf numFmtId="0" fontId="40"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 fillId="0" borderId="0"/>
    <xf numFmtId="0" fontId="81" fillId="4" borderId="0">
      <alignment horizontal="left" vertical="center"/>
    </xf>
    <xf numFmtId="0" fontId="39" fillId="17" borderId="2">
      <alignment horizontal="center" vertical="center"/>
    </xf>
  </cellStyleXfs>
  <cellXfs count="263">
    <xf numFmtId="0" fontId="0" fillId="0" borderId="0" xfId="0"/>
    <xf numFmtId="0" fontId="28" fillId="4" borderId="0" xfId="8">
      <alignment horizontal="left" vertical="center"/>
    </xf>
    <xf numFmtId="0" fontId="26" fillId="4" borderId="0" xfId="5">
      <alignment horizontal="left" vertical="center"/>
    </xf>
    <xf numFmtId="0" fontId="2" fillId="0" borderId="0" xfId="3">
      <alignment vertical="center"/>
    </xf>
    <xf numFmtId="0" fontId="3" fillId="9" borderId="0" xfId="7" applyFont="1" applyFill="1" applyAlignment="1">
      <alignment horizontal="left" vertical="center" indent="1"/>
    </xf>
    <xf numFmtId="0" fontId="3" fillId="0" borderId="0" xfId="33">
      <alignment horizontal="left" vertical="center" indent="1"/>
    </xf>
    <xf numFmtId="0" fontId="19" fillId="9" borderId="4" xfId="34" applyFont="1">
      <alignment horizontal="left" vertical="center" indent="1"/>
    </xf>
    <xf numFmtId="0" fontId="20" fillId="9" borderId="4" xfId="34" applyFont="1">
      <alignment horizontal="left" vertical="center" indent="1"/>
    </xf>
    <xf numFmtId="0" fontId="0" fillId="4" borderId="0" xfId="0" applyFill="1"/>
    <xf numFmtId="0" fontId="7" fillId="4" borderId="0" xfId="53">
      <alignment horizontal="left" vertical="center"/>
    </xf>
    <xf numFmtId="0" fontId="11" fillId="0" borderId="0" xfId="32"/>
    <xf numFmtId="0" fontId="32" fillId="11" borderId="0" xfId="60">
      <alignment horizontal="center" vertical="center"/>
    </xf>
    <xf numFmtId="0" fontId="3" fillId="4" borderId="0" xfId="7" applyFont="1">
      <alignment horizontal="left" vertical="center"/>
    </xf>
    <xf numFmtId="0" fontId="4" fillId="12" borderId="2" xfId="15">
      <alignment horizontal="center" vertical="center"/>
    </xf>
    <xf numFmtId="167" fontId="3" fillId="0" borderId="2" xfId="41">
      <alignment horizontal="center" vertical="center"/>
    </xf>
    <xf numFmtId="0" fontId="24" fillId="4" borderId="2" xfId="52">
      <alignment horizontal="center" vertical="center"/>
    </xf>
    <xf numFmtId="0" fontId="7" fillId="4" borderId="0" xfId="12">
      <alignment horizontal="left" vertical="center" indent="1"/>
    </xf>
    <xf numFmtId="0" fontId="30" fillId="4" borderId="0" xfId="6">
      <alignment vertical="center"/>
    </xf>
    <xf numFmtId="9" fontId="3" fillId="0" borderId="2" xfId="16">
      <alignment horizontal="center" vertical="center"/>
    </xf>
    <xf numFmtId="9" fontId="24" fillId="4" borderId="2" xfId="68" applyFont="1" applyFill="1" applyBorder="1" applyAlignment="1">
      <alignment horizontal="center" vertical="center"/>
    </xf>
    <xf numFmtId="0" fontId="0" fillId="0" borderId="0" xfId="8" applyFont="1" applyFill="1">
      <alignment horizontal="left" vertical="center"/>
    </xf>
    <xf numFmtId="0" fontId="5" fillId="0" borderId="0" xfId="2"/>
    <xf numFmtId="0" fontId="4" fillId="0" borderId="0" xfId="7" applyFill="1">
      <alignment horizontal="left" vertical="center"/>
    </xf>
    <xf numFmtId="0" fontId="17" fillId="3" borderId="0" xfId="4">
      <alignment vertical="center"/>
    </xf>
    <xf numFmtId="0" fontId="17" fillId="0" borderId="0" xfId="4" applyFill="1">
      <alignment vertical="center"/>
    </xf>
    <xf numFmtId="0" fontId="4" fillId="4" borderId="0" xfId="7">
      <alignment horizontal="left" vertical="center"/>
    </xf>
    <xf numFmtId="0" fontId="29" fillId="4" borderId="0" xfId="54">
      <alignment horizontal="left" vertical="center"/>
    </xf>
    <xf numFmtId="0" fontId="0" fillId="0" borderId="0" xfId="7" applyFont="1" applyFill="1">
      <alignment horizontal="left" vertical="center"/>
    </xf>
    <xf numFmtId="0" fontId="11" fillId="0" borderId="0" xfId="2" applyFont="1"/>
    <xf numFmtId="0" fontId="17" fillId="7" borderId="0" xfId="31">
      <alignment vertical="center"/>
    </xf>
    <xf numFmtId="0" fontId="4" fillId="4" borderId="6" xfId="7" applyBorder="1">
      <alignment horizontal="left" vertical="center"/>
    </xf>
    <xf numFmtId="0" fontId="26" fillId="0" borderId="0" xfId="5" applyFill="1">
      <alignment horizontal="left" vertical="center"/>
    </xf>
    <xf numFmtId="0" fontId="12" fillId="4" borderId="0" xfId="30">
      <alignment vertical="center"/>
    </xf>
    <xf numFmtId="0" fontId="30" fillId="0" borderId="0" xfId="6" applyFill="1">
      <alignment vertical="center"/>
    </xf>
    <xf numFmtId="0" fontId="3" fillId="0" borderId="2" xfId="14">
      <alignment horizontal="center" vertical="center"/>
    </xf>
    <xf numFmtId="0" fontId="28" fillId="0" borderId="0" xfId="8" applyFill="1">
      <alignment horizontal="left" vertical="center"/>
    </xf>
    <xf numFmtId="0" fontId="31" fillId="13" borderId="7" xfId="39" applyBorder="1">
      <alignment horizontal="left" vertical="center"/>
    </xf>
    <xf numFmtId="0" fontId="31" fillId="13" borderId="8" xfId="39" applyBorder="1">
      <alignment horizontal="left" vertical="center"/>
    </xf>
    <xf numFmtId="0" fontId="31" fillId="13" borderId="9" xfId="39" applyBorder="1">
      <alignment horizontal="left" vertical="center"/>
    </xf>
    <xf numFmtId="0" fontId="31" fillId="13" borderId="10" xfId="39" applyBorder="1">
      <alignment horizontal="left" vertical="center"/>
    </xf>
    <xf numFmtId="0" fontId="42" fillId="0" borderId="0" xfId="12" applyFont="1" applyFill="1" applyAlignment="1">
      <alignment horizontal="left" vertical="center"/>
    </xf>
    <xf numFmtId="166" fontId="24" fillId="4" borderId="2" xfId="40" applyNumberFormat="1">
      <alignment horizontal="center" vertical="center"/>
    </xf>
    <xf numFmtId="0" fontId="3" fillId="0" borderId="0" xfId="7" applyFont="1" applyFill="1">
      <alignment horizontal="left" vertical="center"/>
    </xf>
    <xf numFmtId="0" fontId="43" fillId="13" borderId="11" xfId="39" applyFont="1" applyBorder="1">
      <alignment horizontal="left" vertical="center"/>
    </xf>
    <xf numFmtId="0" fontId="31" fillId="13" borderId="12" xfId="39" applyBorder="1">
      <alignment horizontal="left" vertical="center"/>
    </xf>
    <xf numFmtId="0" fontId="31" fillId="13" borderId="13" xfId="39" applyBorder="1">
      <alignment horizontal="left" vertical="center"/>
    </xf>
    <xf numFmtId="0" fontId="31" fillId="13" borderId="14" xfId="39" applyBorder="1">
      <alignment horizontal="left" vertical="center"/>
    </xf>
    <xf numFmtId="0" fontId="31" fillId="13" borderId="15" xfId="39" applyBorder="1">
      <alignment horizontal="left" vertical="center"/>
    </xf>
    <xf numFmtId="0" fontId="31" fillId="13" borderId="16" xfId="39" applyBorder="1">
      <alignment horizontal="left" vertical="center"/>
    </xf>
    <xf numFmtId="4" fontId="3" fillId="4" borderId="0" xfId="17" applyFill="1" applyBorder="1">
      <alignment horizontal="center" vertical="center"/>
    </xf>
    <xf numFmtId="0" fontId="13" fillId="4" borderId="0" xfId="29" applyFill="1">
      <alignment horizontal="center" vertical="center"/>
      <protection locked="0"/>
    </xf>
    <xf numFmtId="0" fontId="44" fillId="0" borderId="0" xfId="0" applyFont="1" applyAlignment="1" applyProtection="1">
      <alignment horizontal="center" vertical="center"/>
      <protection locked="0"/>
    </xf>
    <xf numFmtId="4" fontId="45" fillId="0" borderId="0" xfId="17" applyFont="1" applyBorder="1">
      <alignment horizontal="center" vertical="center"/>
    </xf>
    <xf numFmtId="164" fontId="9" fillId="4" borderId="0" xfId="26" applyBorder="1">
      <alignment horizontal="center" vertical="center"/>
    </xf>
    <xf numFmtId="4" fontId="45" fillId="4" borderId="0" xfId="17" applyFont="1" applyFill="1" applyBorder="1">
      <alignment horizontal="center" vertical="center"/>
    </xf>
    <xf numFmtId="0" fontId="45" fillId="4" borderId="0" xfId="12" applyFont="1" applyAlignment="1">
      <alignment horizontal="center" vertical="center"/>
    </xf>
    <xf numFmtId="0" fontId="45" fillId="4" borderId="0" xfId="8" applyFont="1" applyAlignment="1">
      <alignment horizontal="center" vertical="center"/>
    </xf>
    <xf numFmtId="166" fontId="45" fillId="4" borderId="0" xfId="8" applyNumberFormat="1" applyFont="1" applyAlignment="1">
      <alignment horizontal="center" vertical="center"/>
    </xf>
    <xf numFmtId="9" fontId="45" fillId="4" borderId="0" xfId="68" applyFont="1" applyFill="1" applyBorder="1" applyAlignment="1">
      <alignment horizontal="center" vertical="center"/>
    </xf>
    <xf numFmtId="0" fontId="46" fillId="4" borderId="0" xfId="0" applyFont="1" applyFill="1" applyAlignment="1">
      <alignment horizontal="center" vertical="center"/>
    </xf>
    <xf numFmtId="0" fontId="46" fillId="4" borderId="0" xfId="0" applyFont="1" applyFill="1"/>
    <xf numFmtId="0" fontId="45" fillId="4" borderId="0" xfId="0" applyFont="1" applyFill="1"/>
    <xf numFmtId="0" fontId="45" fillId="0" borderId="0" xfId="0" applyFont="1"/>
    <xf numFmtId="0" fontId="47" fillId="4" borderId="0" xfId="7" applyFont="1" applyAlignment="1">
      <alignment horizontal="center" vertical="center"/>
    </xf>
    <xf numFmtId="0" fontId="48" fillId="4" borderId="0" xfId="7" applyFont="1" applyAlignment="1">
      <alignment horizontal="center" vertical="center"/>
    </xf>
    <xf numFmtId="166" fontId="48" fillId="4" borderId="0" xfId="7" applyNumberFormat="1" applyFont="1" applyAlignment="1">
      <alignment horizontal="center" vertical="center"/>
    </xf>
    <xf numFmtId="0" fontId="48" fillId="4" borderId="0" xfId="0" applyFont="1" applyFill="1" applyAlignment="1">
      <alignment horizontal="center" vertical="center"/>
    </xf>
    <xf numFmtId="0" fontId="49" fillId="4" borderId="0" xfId="0" applyFont="1" applyFill="1" applyAlignment="1">
      <alignment horizontal="center" vertical="center"/>
    </xf>
    <xf numFmtId="0" fontId="49" fillId="4" borderId="0" xfId="0" applyFont="1" applyFill="1" applyAlignment="1">
      <alignment horizontal="left" vertical="center"/>
    </xf>
    <xf numFmtId="14" fontId="4" fillId="4" borderId="0" xfId="7" applyNumberFormat="1">
      <alignment horizontal="left" vertical="center"/>
    </xf>
    <xf numFmtId="0" fontId="31" fillId="13" borderId="5" xfId="39">
      <alignment horizontal="left" vertical="center"/>
    </xf>
    <xf numFmtId="0" fontId="40" fillId="4" borderId="0" xfId="66" applyFill="1" applyBorder="1"/>
    <xf numFmtId="166" fontId="3" fillId="4" borderId="0" xfId="18" applyNumberFormat="1" applyFill="1" applyBorder="1">
      <alignment horizontal="center" vertical="center"/>
    </xf>
    <xf numFmtId="169" fontId="4" fillId="4" borderId="0" xfId="67" applyNumberFormat="1" applyFont="1" applyFill="1" applyBorder="1" applyAlignment="1">
      <alignment horizontal="center" vertical="center"/>
    </xf>
    <xf numFmtId="0" fontId="0" fillId="4" borderId="0" xfId="7" applyFont="1">
      <alignment horizontal="left" vertical="center"/>
    </xf>
    <xf numFmtId="0" fontId="50" fillId="4" borderId="0" xfId="0" applyFont="1" applyFill="1"/>
    <xf numFmtId="0" fontId="3" fillId="0" borderId="2" xfId="56">
      <alignment horizontal="center" vertical="center"/>
    </xf>
    <xf numFmtId="0" fontId="41" fillId="4" borderId="0" xfId="8" applyFont="1">
      <alignment horizontal="left" vertical="center"/>
    </xf>
    <xf numFmtId="0" fontId="24" fillId="4" borderId="2" xfId="52" quotePrefix="1">
      <alignment horizontal="center" vertical="center"/>
    </xf>
    <xf numFmtId="0" fontId="35" fillId="4" borderId="0" xfId="47">
      <alignment horizontal="left" vertical="center"/>
    </xf>
    <xf numFmtId="0" fontId="36" fillId="4" borderId="0" xfId="59">
      <alignment horizontal="left" vertical="center"/>
    </xf>
    <xf numFmtId="170" fontId="0" fillId="0" borderId="0" xfId="8" applyNumberFormat="1" applyFont="1" applyFill="1">
      <alignment horizontal="left" vertical="center"/>
    </xf>
    <xf numFmtId="0" fontId="13" fillId="6" borderId="0" xfId="29">
      <alignment horizontal="center" vertical="center"/>
      <protection locked="0"/>
    </xf>
    <xf numFmtId="49" fontId="0" fillId="0" borderId="0" xfId="14" applyNumberFormat="1" applyFont="1" applyBorder="1">
      <alignment horizontal="center" vertical="center"/>
    </xf>
    <xf numFmtId="0" fontId="4" fillId="12" borderId="17" xfId="15" applyBorder="1">
      <alignment horizontal="center" vertical="center"/>
    </xf>
    <xf numFmtId="0" fontId="51" fillId="9" borderId="4" xfId="34" applyFont="1">
      <alignment horizontal="left" vertical="center" indent="1"/>
    </xf>
    <xf numFmtId="0" fontId="21" fillId="10" borderId="0" xfId="35">
      <alignment horizontal="left" vertical="center" indent="1"/>
    </xf>
    <xf numFmtId="0" fontId="28" fillId="4" borderId="1" xfId="8" applyBorder="1">
      <alignment horizontal="left" vertical="center"/>
    </xf>
    <xf numFmtId="0" fontId="52" fillId="4" borderId="0" xfId="8" applyFont="1">
      <alignment horizontal="left" vertical="center"/>
    </xf>
    <xf numFmtId="0" fontId="53" fillId="4" borderId="0" xfId="8" applyFont="1">
      <alignment horizontal="left" vertical="center"/>
    </xf>
    <xf numFmtId="0" fontId="52" fillId="4" borderId="1" xfId="8" applyFont="1" applyBorder="1">
      <alignment horizontal="left" vertical="center"/>
    </xf>
    <xf numFmtId="0" fontId="53" fillId="4" borderId="1" xfId="8" applyFont="1" applyBorder="1">
      <alignment horizontal="left" vertical="center"/>
    </xf>
    <xf numFmtId="0" fontId="54" fillId="0" borderId="0" xfId="32" applyFont="1"/>
    <xf numFmtId="0" fontId="41" fillId="4" borderId="1" xfId="8" applyFont="1" applyBorder="1">
      <alignment horizontal="left" vertical="center"/>
    </xf>
    <xf numFmtId="0" fontId="7" fillId="4" borderId="1" xfId="53" applyBorder="1">
      <alignment horizontal="left" vertical="center"/>
    </xf>
    <xf numFmtId="0" fontId="55" fillId="4" borderId="1" xfId="53" applyFont="1" applyBorder="1">
      <alignment horizontal="left" vertical="center"/>
    </xf>
    <xf numFmtId="0" fontId="55" fillId="4" borderId="0" xfId="53" applyFont="1">
      <alignment horizontal="left" vertical="center"/>
    </xf>
    <xf numFmtId="0" fontId="28" fillId="11" borderId="0" xfId="8" applyFill="1">
      <alignment horizontal="left" vertical="center"/>
    </xf>
    <xf numFmtId="0" fontId="10" fillId="0" borderId="0" xfId="55"/>
    <xf numFmtId="0" fontId="21" fillId="5" borderId="0" xfId="36">
      <alignment horizontal="left" vertical="center" indent="1"/>
    </xf>
    <xf numFmtId="0" fontId="13" fillId="6" borderId="0" xfId="28">
      <alignment horizontal="left" vertical="center" indent="1"/>
    </xf>
    <xf numFmtId="171" fontId="24" fillId="4" borderId="2" xfId="68" applyNumberFormat="1" applyFont="1" applyFill="1" applyBorder="1" applyAlignment="1">
      <alignment horizontal="center" vertical="center"/>
    </xf>
    <xf numFmtId="0" fontId="58" fillId="4" borderId="0" xfId="8" applyFont="1">
      <alignment horizontal="left" vertical="center"/>
    </xf>
    <xf numFmtId="0" fontId="16" fillId="4" borderId="0" xfId="24">
      <alignment horizontal="left" vertical="center"/>
    </xf>
    <xf numFmtId="0" fontId="21" fillId="8" borderId="0" xfId="37">
      <alignment horizontal="left" vertical="center" indent="1"/>
    </xf>
    <xf numFmtId="0" fontId="24" fillId="4" borderId="2" xfId="63">
      <alignment horizontal="left" vertical="center"/>
    </xf>
    <xf numFmtId="0" fontId="24" fillId="4" borderId="18" xfId="63" applyBorder="1">
      <alignment horizontal="left" vertical="center"/>
    </xf>
    <xf numFmtId="0" fontId="24" fillId="4" borderId="19" xfId="63" applyBorder="1">
      <alignment horizontal="left" vertical="center"/>
    </xf>
    <xf numFmtId="0" fontId="24" fillId="4" borderId="20" xfId="63" applyBorder="1">
      <alignment horizontal="left" vertical="center"/>
    </xf>
    <xf numFmtId="0" fontId="39" fillId="15" borderId="2" xfId="65">
      <alignment horizontal="center" vertical="center"/>
    </xf>
    <xf numFmtId="0" fontId="38" fillId="14" borderId="2" xfId="64">
      <alignment horizontal="center" vertical="center"/>
    </xf>
    <xf numFmtId="0" fontId="37" fillId="4" borderId="2" xfId="62">
      <alignment horizontal="left" vertical="center"/>
    </xf>
    <xf numFmtId="0" fontId="33" fillId="4" borderId="0" xfId="57">
      <alignment horizontal="left" vertical="center"/>
    </xf>
    <xf numFmtId="0" fontId="34" fillId="4" borderId="0" xfId="58">
      <alignment horizontal="left" vertical="center"/>
    </xf>
    <xf numFmtId="0" fontId="6" fillId="2" borderId="0" xfId="9">
      <alignment horizontal="center" vertical="center"/>
    </xf>
    <xf numFmtId="0" fontId="24" fillId="16" borderId="2" xfId="52" applyFill="1">
      <alignment horizontal="center" vertical="center"/>
    </xf>
    <xf numFmtId="0" fontId="24" fillId="4" borderId="2" xfId="52" applyAlignment="1">
      <alignment horizontal="left" vertical="center"/>
    </xf>
    <xf numFmtId="0" fontId="24" fillId="4" borderId="18" xfId="52" applyBorder="1" applyAlignment="1">
      <alignment horizontal="left" vertical="center"/>
    </xf>
    <xf numFmtId="0" fontId="24" fillId="4" borderId="19" xfId="52" applyBorder="1">
      <alignment horizontal="center" vertical="center"/>
    </xf>
    <xf numFmtId="0" fontId="24" fillId="4" borderId="2" xfId="52" applyAlignment="1">
      <alignment vertical="center"/>
    </xf>
    <xf numFmtId="0" fontId="24" fillId="4" borderId="18" xfId="52" applyBorder="1" applyAlignment="1">
      <alignment vertical="center"/>
    </xf>
    <xf numFmtId="0" fontId="24" fillId="4" borderId="19" xfId="52" applyBorder="1" applyAlignment="1">
      <alignment vertical="center"/>
    </xf>
    <xf numFmtId="0" fontId="24" fillId="4" borderId="20" xfId="52" applyBorder="1" applyAlignment="1">
      <alignment vertical="center"/>
    </xf>
    <xf numFmtId="0" fontId="0" fillId="0" borderId="0" xfId="28" applyFont="1" applyFill="1">
      <alignment horizontal="left" vertical="center" indent="1"/>
    </xf>
    <xf numFmtId="0" fontId="28" fillId="16" borderId="0" xfId="8" applyFill="1">
      <alignment horizontal="left" vertical="center"/>
    </xf>
    <xf numFmtId="9" fontId="24" fillId="4" borderId="2" xfId="52" applyNumberFormat="1">
      <alignment horizontal="center" vertical="center"/>
    </xf>
    <xf numFmtId="0" fontId="31" fillId="13" borderId="11" xfId="39" applyBorder="1">
      <alignment horizontal="left" vertical="center"/>
    </xf>
    <xf numFmtId="0" fontId="65" fillId="4" borderId="0" xfId="0" applyFont="1" applyFill="1" applyAlignment="1">
      <alignment horizontal="center" vertical="center"/>
    </xf>
    <xf numFmtId="0" fontId="65" fillId="4" borderId="0" xfId="0" applyFont="1" applyFill="1"/>
    <xf numFmtId="0" fontId="66"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0" xfId="55" applyAlignment="1">
      <alignment horizontal="center" vertical="center" wrapText="1"/>
    </xf>
    <xf numFmtId="0" fontId="4"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4" fillId="4" borderId="2" xfId="52" applyAlignment="1">
      <alignment horizontal="center" vertical="center" wrapText="1"/>
    </xf>
    <xf numFmtId="0" fontId="28" fillId="4" borderId="0" xfId="8" applyAlignment="1">
      <alignment horizontal="center" vertical="center" wrapText="1"/>
    </xf>
    <xf numFmtId="0" fontId="44" fillId="4" borderId="0" xfId="43" applyFont="1" applyFill="1" applyAlignment="1">
      <alignment horizontal="left" vertical="center" wrapText="1"/>
    </xf>
    <xf numFmtId="2" fontId="65" fillId="4" borderId="0" xfId="67" applyNumberFormat="1" applyFont="1" applyFill="1" applyBorder="1" applyAlignment="1" applyProtection="1">
      <alignment horizontal="center" wrapText="1"/>
      <protection locked="0"/>
    </xf>
    <xf numFmtId="1" fontId="65" fillId="4" borderId="0" xfId="67" applyNumberFormat="1" applyFont="1" applyFill="1" applyBorder="1" applyAlignment="1" applyProtection="1">
      <alignment horizontal="center" wrapText="1"/>
      <protection locked="0"/>
    </xf>
    <xf numFmtId="0" fontId="65" fillId="4" borderId="0" xfId="0" applyFont="1" applyFill="1" applyAlignment="1">
      <alignment horizontal="left" wrapText="1"/>
    </xf>
    <xf numFmtId="0" fontId="66" fillId="4" borderId="0" xfId="0" applyFont="1" applyFill="1" applyAlignment="1">
      <alignment wrapText="1"/>
    </xf>
    <xf numFmtId="0" fontId="28" fillId="4" borderId="0" xfId="8" applyAlignment="1">
      <alignment horizontal="left" vertical="center" wrapText="1"/>
    </xf>
    <xf numFmtId="0" fontId="35" fillId="4" borderId="0" xfId="47" applyAlignment="1">
      <alignment horizontal="left" vertical="center" wrapText="1"/>
    </xf>
    <xf numFmtId="0" fontId="0" fillId="4" borderId="0" xfId="0" applyFill="1" applyAlignment="1">
      <alignment wrapText="1"/>
    </xf>
    <xf numFmtId="0" fontId="10" fillId="0" borderId="0" xfId="55" applyAlignment="1" applyProtection="1">
      <alignment horizontal="center" vertical="center" wrapText="1"/>
      <protection locked="0"/>
    </xf>
    <xf numFmtId="0" fontId="67"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7" fillId="12" borderId="2" xfId="15" applyFont="1">
      <alignment horizontal="center" vertical="center"/>
    </xf>
    <xf numFmtId="9" fontId="0" fillId="0" borderId="21" xfId="68" applyFont="1" applyFill="1" applyBorder="1" applyAlignment="1">
      <alignment horizontal="center" vertical="center" wrapText="1"/>
    </xf>
    <xf numFmtId="4" fontId="57" fillId="0" borderId="2" xfId="17" applyFont="1" applyAlignment="1">
      <alignment horizontal="center" vertical="center" wrapText="1"/>
    </xf>
    <xf numFmtId="0" fontId="31" fillId="13" borderId="22" xfId="39" applyBorder="1">
      <alignment horizontal="left" vertical="center"/>
    </xf>
    <xf numFmtId="0" fontId="31" fillId="13" borderId="0" xfId="39" applyBorder="1">
      <alignment horizontal="left" vertical="center"/>
    </xf>
    <xf numFmtId="0" fontId="31" fillId="13" borderId="23" xfId="39" applyBorder="1">
      <alignment horizontal="left" vertical="center"/>
    </xf>
    <xf numFmtId="0" fontId="0" fillId="0" borderId="0" xfId="0" applyAlignment="1">
      <alignment wrapText="1"/>
    </xf>
    <xf numFmtId="0" fontId="13"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4" fillId="4" borderId="0" xfId="68" applyFont="1" applyFill="1" applyAlignment="1">
      <alignment horizontal="center" vertical="center" wrapText="1"/>
    </xf>
    <xf numFmtId="9" fontId="0" fillId="4" borderId="0" xfId="0" applyNumberFormat="1" applyFill="1"/>
    <xf numFmtId="0" fontId="7" fillId="4" borderId="0" xfId="12" applyAlignment="1">
      <alignment horizontal="center" vertical="center"/>
    </xf>
    <xf numFmtId="0" fontId="24" fillId="4" borderId="20" xfId="52" applyBorder="1" applyAlignment="1">
      <alignment horizontal="left" vertical="center"/>
    </xf>
    <xf numFmtId="0" fontId="24" fillId="4" borderId="19" xfId="52" applyBorder="1" applyAlignment="1">
      <alignment horizontal="left" vertical="center"/>
    </xf>
    <xf numFmtId="0" fontId="24" fillId="4" borderId="20" xfId="52" applyBorder="1">
      <alignment horizontal="center" vertical="center"/>
    </xf>
    <xf numFmtId="172" fontId="24" fillId="4" borderId="2" xfId="52" applyNumberFormat="1">
      <alignment horizontal="center" vertical="center"/>
    </xf>
    <xf numFmtId="0" fontId="6" fillId="2" borderId="0" xfId="1">
      <alignment horizontal="left" vertical="center" indent="1"/>
      <protection locked="0"/>
    </xf>
    <xf numFmtId="4" fontId="24" fillId="4" borderId="2" xfId="52" applyNumberFormat="1">
      <alignment horizontal="center" vertical="center"/>
    </xf>
    <xf numFmtId="0" fontId="70" fillId="4" borderId="0" xfId="0" applyFont="1" applyFill="1"/>
    <xf numFmtId="0" fontId="7" fillId="4" borderId="1" xfId="12" applyBorder="1">
      <alignment horizontal="left" vertical="center" indent="1"/>
    </xf>
    <xf numFmtId="0" fontId="28" fillId="4" borderId="24" xfId="8" applyBorder="1">
      <alignment horizontal="left" vertical="center"/>
    </xf>
    <xf numFmtId="3" fontId="24" fillId="4" borderId="2" xfId="52" applyNumberFormat="1">
      <alignment horizontal="center" vertical="center"/>
    </xf>
    <xf numFmtId="4" fontId="24" fillId="4" borderId="2" xfId="46">
      <alignment horizontal="center" vertical="center"/>
    </xf>
    <xf numFmtId="0" fontId="55" fillId="4" borderId="1" xfId="12" applyFont="1" applyBorder="1">
      <alignment horizontal="left" vertical="center" indent="1"/>
    </xf>
    <xf numFmtId="0" fontId="6" fillId="2" borderId="0" xfId="9" applyAlignment="1">
      <alignment horizontal="center" vertical="center" wrapText="1"/>
    </xf>
    <xf numFmtId="0" fontId="28" fillId="4" borderId="25" xfId="8" applyBorder="1">
      <alignment horizontal="left" vertical="center"/>
    </xf>
    <xf numFmtId="0" fontId="6"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3" fillId="0" borderId="2" xfId="17">
      <alignment horizontal="center" vertical="center"/>
    </xf>
    <xf numFmtId="166" fontId="24" fillId="4" borderId="2" xfId="45">
      <alignment horizontal="center" vertical="center"/>
    </xf>
    <xf numFmtId="173" fontId="0" fillId="0" borderId="0" xfId="8" applyNumberFormat="1" applyFont="1" applyFill="1">
      <alignment horizontal="left" vertical="center"/>
    </xf>
    <xf numFmtId="0" fontId="27" fillId="4" borderId="0" xfId="48">
      <alignment horizontal="center" vertical="center"/>
    </xf>
    <xf numFmtId="17" fontId="0" fillId="0" borderId="0" xfId="8" applyNumberFormat="1" applyFont="1" applyFill="1">
      <alignment horizontal="left" vertical="center"/>
    </xf>
    <xf numFmtId="43" fontId="28" fillId="4" borderId="0" xfId="8" applyNumberFormat="1">
      <alignment horizontal="left" vertical="center"/>
    </xf>
    <xf numFmtId="9" fontId="24" fillId="4" borderId="2" xfId="63" applyNumberFormat="1">
      <alignment horizontal="left" vertical="center"/>
    </xf>
    <xf numFmtId="0" fontId="71"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4" fillId="4" borderId="17" xfId="52" applyBorder="1">
      <alignment horizontal="center" vertical="center"/>
    </xf>
    <xf numFmtId="9" fontId="0" fillId="0" borderId="17" xfId="16" applyFont="1" applyBorder="1">
      <alignment horizontal="center" vertical="center"/>
    </xf>
    <xf numFmtId="0" fontId="27" fillId="4" borderId="0" xfId="48" applyAlignment="1">
      <alignment horizontal="left" vertical="center"/>
    </xf>
    <xf numFmtId="174" fontId="72" fillId="4" borderId="2" xfId="52" applyNumberFormat="1" applyFont="1">
      <alignment horizontal="center" vertical="center"/>
    </xf>
    <xf numFmtId="0" fontId="23" fillId="4" borderId="0" xfId="50">
      <alignment horizontal="left" vertical="center"/>
    </xf>
    <xf numFmtId="4" fontId="24" fillId="4" borderId="17" xfId="46" applyBorder="1">
      <alignment horizontal="center" vertical="center"/>
    </xf>
    <xf numFmtId="174" fontId="72" fillId="4" borderId="17" xfId="52" applyNumberFormat="1" applyFont="1" applyBorder="1">
      <alignment horizontal="center" vertical="center"/>
    </xf>
    <xf numFmtId="0" fontId="4" fillId="4" borderId="1" xfId="7" applyBorder="1">
      <alignment horizontal="left" vertical="center"/>
    </xf>
    <xf numFmtId="0" fontId="27" fillId="4" borderId="1" xfId="48" applyBorder="1" applyAlignment="1">
      <alignment horizontal="left" vertical="center"/>
    </xf>
    <xf numFmtId="0" fontId="24" fillId="4" borderId="26" xfId="52" applyBorder="1">
      <alignment horizontal="center" vertical="center"/>
    </xf>
    <xf numFmtId="0" fontId="24" fillId="4" borderId="27" xfId="52" applyBorder="1">
      <alignment horizontal="center" vertical="center"/>
    </xf>
    <xf numFmtId="4" fontId="24" fillId="4" borderId="26" xfId="46" applyBorder="1">
      <alignment horizontal="center" vertical="center"/>
    </xf>
    <xf numFmtId="4" fontId="24" fillId="4" borderId="28" xfId="46" applyBorder="1">
      <alignment horizontal="center" vertical="center"/>
    </xf>
    <xf numFmtId="174" fontId="72" fillId="4" borderId="28" xfId="52" applyNumberFormat="1" applyFont="1" applyBorder="1">
      <alignment horizontal="center" vertical="center"/>
    </xf>
    <xf numFmtId="174" fontId="72" fillId="4" borderId="26" xfId="52" applyNumberFormat="1" applyFont="1" applyBorder="1">
      <alignment horizontal="center" vertical="center"/>
    </xf>
    <xf numFmtId="0" fontId="24" fillId="4" borderId="28" xfId="52" applyBorder="1">
      <alignment horizontal="center" vertical="center"/>
    </xf>
    <xf numFmtId="0" fontId="72" fillId="4" borderId="28" xfId="52" applyFont="1" applyBorder="1">
      <alignment horizontal="center" vertical="center"/>
    </xf>
    <xf numFmtId="0" fontId="4" fillId="4" borderId="25" xfId="7" applyBorder="1">
      <alignment horizontal="left" vertical="center"/>
    </xf>
    <xf numFmtId="165" fontId="70" fillId="4" borderId="25" xfId="0" applyNumberFormat="1" applyFont="1" applyFill="1" applyBorder="1"/>
    <xf numFmtId="0" fontId="7" fillId="4" borderId="25" xfId="12" applyBorder="1">
      <alignment horizontal="left" vertical="center" indent="1"/>
    </xf>
    <xf numFmtId="168" fontId="70" fillId="4" borderId="0" xfId="0" applyNumberFormat="1" applyFont="1" applyFill="1" applyAlignment="1">
      <alignment vertical="center"/>
    </xf>
    <xf numFmtId="165" fontId="70" fillId="4" borderId="25" xfId="0" applyNumberFormat="1" applyFont="1" applyFill="1" applyBorder="1" applyAlignment="1">
      <alignment vertical="center"/>
    </xf>
    <xf numFmtId="0" fontId="70" fillId="4" borderId="0" xfId="0" applyFont="1" applyFill="1" applyAlignment="1">
      <alignment vertical="center"/>
    </xf>
    <xf numFmtId="165" fontId="73" fillId="4" borderId="25" xfId="0" applyNumberFormat="1" applyFont="1" applyFill="1" applyBorder="1" applyAlignment="1">
      <alignment vertical="center"/>
    </xf>
    <xf numFmtId="168" fontId="72" fillId="4" borderId="2" xfId="46" applyNumberFormat="1" applyFont="1">
      <alignment horizontal="center" vertical="center"/>
    </xf>
    <xf numFmtId="168" fontId="72" fillId="4" borderId="17" xfId="46" applyNumberFormat="1" applyFont="1" applyBorder="1">
      <alignment horizontal="center" vertical="center"/>
    </xf>
    <xf numFmtId="168" fontId="72" fillId="4" borderId="28" xfId="46" applyNumberFormat="1" applyFont="1" applyBorder="1">
      <alignment horizontal="center" vertical="center"/>
    </xf>
    <xf numFmtId="0" fontId="71" fillId="0" borderId="0" xfId="0" applyFont="1" applyAlignment="1">
      <alignment vertical="center" wrapText="1"/>
    </xf>
    <xf numFmtId="0" fontId="74" fillId="0" borderId="0" xfId="0" applyFont="1" applyAlignment="1">
      <alignment horizontal="left" vertical="center"/>
    </xf>
    <xf numFmtId="0" fontId="74" fillId="0" borderId="0" xfId="8" applyFont="1" applyFill="1">
      <alignment horizontal="left" vertical="center"/>
    </xf>
    <xf numFmtId="0" fontId="71" fillId="0" borderId="0" xfId="0" applyFont="1" applyAlignment="1">
      <alignment horizontal="left" vertical="center"/>
    </xf>
    <xf numFmtId="0" fontId="0" fillId="0" borderId="0" xfId="0" applyAlignment="1">
      <alignment horizontal="left" vertical="center"/>
    </xf>
    <xf numFmtId="0" fontId="28" fillId="4" borderId="0" xfId="8" applyAlignment="1">
      <alignment horizontal="right" vertical="center"/>
    </xf>
    <xf numFmtId="0" fontId="71" fillId="4" borderId="0" xfId="0" applyFont="1" applyFill="1" applyAlignment="1">
      <alignment horizontal="left" vertical="center"/>
    </xf>
    <xf numFmtId="0" fontId="41" fillId="4" borderId="0" xfId="8" applyFont="1" applyAlignment="1">
      <alignment horizontal="right" vertical="center"/>
    </xf>
    <xf numFmtId="0" fontId="75" fillId="4" borderId="0" xfId="0" applyFont="1" applyFill="1"/>
    <xf numFmtId="0" fontId="71" fillId="0" borderId="0" xfId="0" applyFont="1"/>
    <xf numFmtId="0" fontId="71" fillId="0" borderId="0" xfId="7" applyFont="1" applyFill="1">
      <alignment horizontal="left" vertical="center"/>
    </xf>
    <xf numFmtId="0" fontId="71" fillId="4" borderId="0" xfId="0" applyFont="1" applyFill="1"/>
    <xf numFmtId="0" fontId="71" fillId="4" borderId="0" xfId="7" applyFont="1">
      <alignment horizontal="left" vertical="center"/>
    </xf>
    <xf numFmtId="0" fontId="64" fillId="2" borderId="0" xfId="8" applyFont="1" applyFill="1">
      <alignment horizontal="left" vertical="center"/>
    </xf>
    <xf numFmtId="0" fontId="76" fillId="0" borderId="0" xfId="8" applyFont="1" applyFill="1">
      <alignment horizontal="left" vertical="center"/>
    </xf>
    <xf numFmtId="0" fontId="31" fillId="13" borderId="11" xfId="39" quotePrefix="1" applyBorder="1">
      <alignment horizontal="left" vertical="center"/>
    </xf>
    <xf numFmtId="0" fontId="77" fillId="4" borderId="0" xfId="0" applyFont="1" applyFill="1"/>
    <xf numFmtId="0" fontId="0" fillId="4" borderId="1" xfId="0" applyFill="1" applyBorder="1"/>
    <xf numFmtId="0" fontId="0" fillId="4" borderId="0" xfId="0" quotePrefix="1" applyFill="1"/>
    <xf numFmtId="0" fontId="78" fillId="4" borderId="1" xfId="0" applyFont="1" applyFill="1" applyBorder="1"/>
    <xf numFmtId="0" fontId="80" fillId="4" borderId="1" xfId="0" applyFont="1" applyFill="1" applyBorder="1"/>
    <xf numFmtId="0" fontId="77" fillId="0" borderId="0" xfId="0" applyFont="1"/>
    <xf numFmtId="0" fontId="1" fillId="0" borderId="0" xfId="69"/>
    <xf numFmtId="0" fontId="10" fillId="4" borderId="0" xfId="55" applyFill="1"/>
    <xf numFmtId="0" fontId="0" fillId="0" borderId="0" xfId="8" applyFont="1" applyFill="1" applyAlignment="1">
      <alignment horizontal="left" vertical="center" wrapText="1"/>
    </xf>
    <xf numFmtId="15" fontId="3" fillId="0" borderId="2" xfId="14" applyNumberFormat="1">
      <alignment horizontal="center" vertical="center"/>
    </xf>
    <xf numFmtId="0" fontId="81" fillId="4" borderId="0" xfId="70">
      <alignment horizontal="left" vertical="center"/>
    </xf>
    <xf numFmtId="0" fontId="3" fillId="0" borderId="17" xfId="56" applyBorder="1">
      <alignment horizontal="center" vertical="center"/>
    </xf>
    <xf numFmtId="0" fontId="0" fillId="0" borderId="0" xfId="29" applyFont="1" applyFill="1" applyProtection="1">
      <alignment horizontal="center" vertical="center"/>
    </xf>
    <xf numFmtId="0" fontId="1" fillId="4" borderId="0" xfId="69" applyFill="1"/>
    <xf numFmtId="0" fontId="31" fillId="13" borderId="29" xfId="39" applyBorder="1">
      <alignment horizontal="left" vertical="center"/>
    </xf>
    <xf numFmtId="0" fontId="1" fillId="0" borderId="0" xfId="69" applyAlignment="1">
      <alignment horizontal="center" vertical="center" wrapText="1"/>
    </xf>
    <xf numFmtId="0" fontId="0" fillId="0" borderId="0" xfId="14" applyFont="1" applyBorder="1">
      <alignment horizontal="center" vertical="center"/>
    </xf>
    <xf numFmtId="4" fontId="0" fillId="0" borderId="0" xfId="17" applyFont="1" applyBorder="1">
      <alignment horizontal="center" vertical="center"/>
    </xf>
    <xf numFmtId="0" fontId="65" fillId="4" borderId="0" xfId="55" applyFont="1" applyFill="1" applyAlignment="1" applyProtection="1">
      <alignment horizontal="center"/>
      <protection locked="0"/>
    </xf>
    <xf numFmtId="0" fontId="65" fillId="4" borderId="0" xfId="55" applyFont="1" applyFill="1" applyAlignment="1">
      <alignment horizontal="center" vertical="center"/>
    </xf>
    <xf numFmtId="0" fontId="0" fillId="0" borderId="0" xfId="17" applyNumberFormat="1" applyFont="1" applyBorder="1">
      <alignment horizontal="center" vertical="center"/>
    </xf>
    <xf numFmtId="0" fontId="4" fillId="12" borderId="17" xfId="15" applyBorder="1" applyAlignment="1">
      <alignment horizontal="center" vertical="center" wrapText="1"/>
    </xf>
    <xf numFmtId="0" fontId="39" fillId="17" borderId="2" xfId="71">
      <alignment horizontal="center" vertical="center"/>
    </xf>
    <xf numFmtId="0" fontId="56" fillId="6" borderId="0" xfId="8" applyFont="1" applyFill="1">
      <alignment horizontal="left" vertical="center"/>
    </xf>
    <xf numFmtId="0" fontId="72" fillId="4" borderId="2" xfId="52" applyFont="1">
      <alignment horizontal="center" vertical="center"/>
    </xf>
    <xf numFmtId="49" fontId="24" fillId="4" borderId="2" xfId="52" applyNumberFormat="1">
      <alignment horizontal="center" vertical="center"/>
    </xf>
    <xf numFmtId="0" fontId="58" fillId="4" borderId="1" xfId="8" applyFont="1" applyBorder="1">
      <alignment horizontal="left" vertical="center"/>
    </xf>
    <xf numFmtId="4" fontId="24" fillId="4" borderId="2" xfId="63" applyNumberFormat="1">
      <alignment horizontal="left" vertical="center"/>
    </xf>
    <xf numFmtId="0" fontId="56" fillId="2" borderId="0" xfId="8" applyFont="1" applyFill="1">
      <alignment horizontal="left" vertical="center"/>
    </xf>
    <xf numFmtId="0" fontId="21" fillId="11" borderId="0" xfId="61">
      <alignment horizontal="left" vertical="center" indent="1"/>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8B8F8827-E851-4376-B233-BEAB5A39338D}"/>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3" xfId="69" xr:uid="{83813FF2-B8A3-4193-99A2-6C76D64E9405}"/>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64A4CAC6-D1D0-421D-A5AD-1736B654311A}"/>
    <cellStyle name="Variable type other" xfId="64" xr:uid="{105BD9DE-B567-4DA0-87E6-C60A0ECC1C65}"/>
  </cellStyles>
  <dxfs count="54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1"/>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numFmt numFmtId="173" formatCode="[$-C09]d\ mmmm\ yyyy;@"/>
    </dxf>
    <dxf>
      <numFmt numFmtId="173"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0"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39"/>
      <tableStyleElement type="headerRow" dxfId="538"/>
      <tableStyleElement type="totalRow" dxfId="537"/>
      <tableStyleElement type="firstColumn" dxfId="536"/>
      <tableStyleElement type="firstRowStripe" dxfId="535"/>
      <tableStyleElement type="secondRowStripe" dxfId="534"/>
    </tableStyle>
    <tableStyle name="Equation table" pivot="0" count="6" xr9:uid="{B247698E-E41D-4CCD-AA0A-C14817E9DE65}">
      <tableStyleElement type="wholeTable" dxfId="533"/>
      <tableStyleElement type="headerRow" dxfId="532"/>
      <tableStyleElement type="totalRow" dxfId="531"/>
      <tableStyleElement type="firstColumn" dxfId="530"/>
      <tableStyleElement type="firstRowStripe" dxfId="529"/>
      <tableStyleElement type="secondRowStripe" dxfId="528"/>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microsoft.com/office/2017/06/relationships/rdRichValue" Target="richData/rdrichvalu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eetMetadata" Target="metadata.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17/06/relationships/rdRichValueStructure" Target="richData/rdrichvaluestructure.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22/10/relationships/richValueRel" Target="richData/richValueRel.xml"/><Relationship Id="rId6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06/relationships/rdRichValueTypes" Target="richData/rdRichValueTyp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extLst>
              <c:ext xmlns:c16="http://schemas.microsoft.com/office/drawing/2014/chart" uri="{C3380CC4-5D6E-409C-BE32-E72D297353CC}">
                <c16:uniqueId val="{00000073-1931-495F-914F-43EC2EA99D04}"/>
              </c:ext>
            </c:extLst>
          </c:dPt>
          <c:dPt>
            <c:idx val="1"/>
            <c:bubble3D val="0"/>
            <c:extLst>
              <c:ext xmlns:c16="http://schemas.microsoft.com/office/drawing/2014/chart" uri="{C3380CC4-5D6E-409C-BE32-E72D297353CC}">
                <c16:uniqueId val="{00000074-1931-495F-914F-43EC2EA99D04}"/>
              </c:ext>
            </c:extLst>
          </c:dPt>
          <c:dPt>
            <c:idx val="2"/>
            <c:bubble3D val="0"/>
            <c:extLst>
              <c:ext xmlns:c16="http://schemas.microsoft.com/office/drawing/2014/chart" uri="{C3380CC4-5D6E-409C-BE32-E72D297353CC}">
                <c16:uniqueId val="{00000075-1931-495F-914F-43EC2EA99D04}"/>
              </c:ext>
            </c:extLst>
          </c:dPt>
          <c:dPt>
            <c:idx val="3"/>
            <c:bubble3D val="0"/>
            <c:extLst>
              <c:ext xmlns:c16="http://schemas.microsoft.com/office/drawing/2014/chart" uri="{C3380CC4-5D6E-409C-BE32-E72D297353CC}">
                <c16:uniqueId val="{00000076-1931-495F-914F-43EC2EA99D04}"/>
              </c:ext>
            </c:extLst>
          </c:dPt>
          <c:dPt>
            <c:idx val="4"/>
            <c:bubble3D val="0"/>
            <c:extLst>
              <c:ext xmlns:c16="http://schemas.microsoft.com/office/drawing/2014/chart" uri="{C3380CC4-5D6E-409C-BE32-E72D297353CC}">
                <c16:uniqueId val="{00000077-1931-495F-914F-43EC2EA99D04}"/>
              </c:ext>
            </c:extLst>
          </c:dPt>
          <c:dPt>
            <c:idx val="5"/>
            <c:bubble3D val="0"/>
            <c:extLst>
              <c:ext xmlns:c16="http://schemas.microsoft.com/office/drawing/2014/chart" uri="{C3380CC4-5D6E-409C-BE32-E72D297353CC}">
                <c16:uniqueId val="{00000078-1931-495F-914F-43EC2EA99D04}"/>
              </c:ext>
            </c:extLst>
          </c:dPt>
          <c:dPt>
            <c:idx val="6"/>
            <c:bubble3D val="0"/>
            <c:extLst>
              <c:ext xmlns:c16="http://schemas.microsoft.com/office/drawing/2014/chart" uri="{C3380CC4-5D6E-409C-BE32-E72D297353CC}">
                <c16:uniqueId val="{00000079-1931-495F-914F-43EC2EA99D04}"/>
              </c:ext>
            </c:extLst>
          </c:dPt>
          <c:dPt>
            <c:idx val="7"/>
            <c:bubble3D val="0"/>
            <c:extLst>
              <c:ext xmlns:c16="http://schemas.microsoft.com/office/drawing/2014/chart" uri="{C3380CC4-5D6E-409C-BE32-E72D297353CC}">
                <c16:uniqueId val="{0000007A-1931-495F-914F-43EC2EA99D04}"/>
              </c:ext>
            </c:extLst>
          </c:dPt>
          <c:dPt>
            <c:idx val="8"/>
            <c:bubble3D val="0"/>
            <c:extLst>
              <c:ext xmlns:c16="http://schemas.microsoft.com/office/drawing/2014/chart" uri="{C3380CC4-5D6E-409C-BE32-E72D297353CC}">
                <c16:uniqueId val="{0000007B-1931-495F-914F-43EC2EA99D04}"/>
              </c:ext>
            </c:extLst>
          </c:dPt>
          <c:dPt>
            <c:idx val="9"/>
            <c:bubble3D val="0"/>
            <c:extLst>
              <c:ext xmlns:c16="http://schemas.microsoft.com/office/drawing/2014/chart" uri="{C3380CC4-5D6E-409C-BE32-E72D297353CC}">
                <c16:uniqueId val="{0000007C-1931-495F-914F-43EC2EA99D04}"/>
              </c:ext>
            </c:extLst>
          </c:dPt>
          <c:dPt>
            <c:idx val="10"/>
            <c:bubble3D val="0"/>
            <c:extLst>
              <c:ext xmlns:c16="http://schemas.microsoft.com/office/drawing/2014/chart" uri="{C3380CC4-5D6E-409C-BE32-E72D297353CC}">
                <c16:uniqueId val="{0000007D-1931-495F-914F-43EC2EA99D04}"/>
              </c:ext>
            </c:extLst>
          </c:dPt>
          <c:dPt>
            <c:idx val="11"/>
            <c:bubble3D val="0"/>
            <c:extLst>
              <c:ext xmlns:c16="http://schemas.microsoft.com/office/drawing/2014/chart" uri="{C3380CC4-5D6E-409C-BE32-E72D297353CC}">
                <c16:uniqueId val="{0000007E-1931-495F-914F-43EC2EA99D04}"/>
              </c:ext>
            </c:extLst>
          </c:dPt>
          <c:dPt>
            <c:idx val="12"/>
            <c:bubble3D val="0"/>
            <c:extLst>
              <c:ext xmlns:c16="http://schemas.microsoft.com/office/drawing/2014/chart" uri="{C3380CC4-5D6E-409C-BE32-E72D297353CC}">
                <c16:uniqueId val="{0000007F-1931-495F-914F-43EC2EA99D04}"/>
              </c:ext>
            </c:extLst>
          </c:dPt>
          <c:dPt>
            <c:idx val="13"/>
            <c:bubble3D val="0"/>
            <c:extLst>
              <c:ext xmlns:c16="http://schemas.microsoft.com/office/drawing/2014/chart" uri="{C3380CC4-5D6E-409C-BE32-E72D297353CC}">
                <c16:uniqueId val="{00000080-1931-495F-914F-43EC2EA99D04}"/>
              </c:ext>
            </c:extLst>
          </c:dPt>
          <c:dPt>
            <c:idx val="14"/>
            <c:bubble3D val="0"/>
            <c:extLst>
              <c:ext xmlns:c16="http://schemas.microsoft.com/office/drawing/2014/chart" uri="{C3380CC4-5D6E-409C-BE32-E72D297353CC}">
                <c16:uniqueId val="{00000081-1931-495F-914F-43EC2EA99D04}"/>
              </c:ext>
            </c:extLst>
          </c:dPt>
          <c:dPt>
            <c:idx val="15"/>
            <c:bubble3D val="0"/>
            <c:extLst>
              <c:ext xmlns:c16="http://schemas.microsoft.com/office/drawing/2014/chart" uri="{C3380CC4-5D6E-409C-BE32-E72D297353CC}">
                <c16:uniqueId val="{00000082-1931-495F-914F-43EC2EA99D04}"/>
              </c:ext>
            </c:extLst>
          </c:dPt>
          <c:dPt>
            <c:idx val="16"/>
            <c:bubble3D val="0"/>
            <c:extLst>
              <c:ext xmlns:c16="http://schemas.microsoft.com/office/drawing/2014/chart" uri="{C3380CC4-5D6E-409C-BE32-E72D297353CC}">
                <c16:uniqueId val="{00000083-1931-495F-914F-43EC2EA99D04}"/>
              </c:ext>
            </c:extLst>
          </c:dPt>
          <c:dPt>
            <c:idx val="17"/>
            <c:bubble3D val="0"/>
            <c:extLst>
              <c:ext xmlns:c16="http://schemas.microsoft.com/office/drawing/2014/chart" uri="{C3380CC4-5D6E-409C-BE32-E72D297353CC}">
                <c16:uniqueId val="{00000084-1931-495F-914F-43EC2EA99D04}"/>
              </c:ext>
            </c:extLst>
          </c:dPt>
          <c:dPt>
            <c:idx val="18"/>
            <c:bubble3D val="0"/>
            <c:extLst>
              <c:ext xmlns:c16="http://schemas.microsoft.com/office/drawing/2014/chart" uri="{C3380CC4-5D6E-409C-BE32-E72D297353CC}">
                <c16:uniqueId val="{00000085-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#N/A</c:v>
                </c:pt>
                <c:pt idx="1">
                  <c:v>#N/A</c:v>
                </c:pt>
                <c:pt idx="2">
                  <c:v>#N/A</c:v>
                </c:pt>
                <c:pt idx="3">
                  <c:v>#N/A</c:v>
                </c:pt>
                <c:pt idx="4">
                  <c:v>#N/A</c:v>
                </c:pt>
                <c:pt idx="5">
                  <c:v>#N/A</c:v>
                </c:pt>
                <c:pt idx="6">
                  <c:v>0</c:v>
                </c:pt>
                <c:pt idx="7">
                  <c:v>0</c:v>
                </c:pt>
                <c:pt idx="8">
                  <c:v>0</c:v>
                </c:pt>
                <c:pt idx="9">
                  <c:v>#N/A</c:v>
                </c:pt>
                <c:pt idx="10">
                  <c:v>0</c:v>
                </c:pt>
                <c:pt idx="11">
                  <c:v>#N/A</c:v>
                </c:pt>
                <c:pt idx="12">
                  <c:v>#N/A</c:v>
                </c:pt>
                <c:pt idx="13">
                  <c:v>0</c:v>
                </c:pt>
                <c:pt idx="14">
                  <c:v>0</c:v>
                </c:pt>
                <c:pt idx="15">
                  <c:v>0</c:v>
                </c:pt>
                <c:pt idx="16">
                  <c:v>0</c:v>
                </c:pt>
                <c:pt idx="17">
                  <c:v>0</c:v>
                </c:pt>
                <c:pt idx="18">
                  <c:v>0</c:v>
                </c:pt>
              </c:numCache>
            </c:numRef>
          </c:val>
          <c:extLst>
            <c:ext xmlns:c16="http://schemas.microsoft.com/office/drawing/2014/chart" uri="{C3380CC4-5D6E-409C-BE32-E72D297353CC}">
              <c16:uniqueId val="{00000072-1931-495F-914F-43EC2EA99D04}"/>
            </c:ext>
          </c:extLst>
        </c:ser>
        <c:ser>
          <c:idx val="0"/>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3A-1931-495F-914F-43EC2EA99D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C-1931-495F-914F-43EC2EA99D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E-1931-495F-914F-43EC2EA99D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0-1931-495F-914F-43EC2EA99D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2-1931-495F-914F-43EC2EA99D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4-1931-495F-914F-43EC2EA99D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6-1931-495F-914F-43EC2EA99D0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8-1931-495F-914F-43EC2EA99D0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A-1931-495F-914F-43EC2EA99D0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C-1931-495F-914F-43EC2EA99D0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E-1931-495F-914F-43EC2EA99D0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0-1931-495F-914F-43EC2EA99D0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2-1931-495F-914F-43EC2EA99D0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4-1931-495F-914F-43EC2EA99D0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6-1931-495F-914F-43EC2EA99D0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8-1931-495F-914F-43EC2EA99D0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A-1931-495F-914F-43EC2EA99D0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C-1931-495F-914F-43EC2EA99D0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E-1931-495F-914F-43EC2EA99D0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60-1931-495F-914F-43EC2EA99D0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62-1931-495F-914F-43EC2EA99D0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64-1931-495F-914F-43EC2EA99D0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6-1931-495F-914F-43EC2EA99D0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8-1931-495F-914F-43EC2EA99D0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A-1931-495F-914F-43EC2EA99D04}"/>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6C-1931-495F-914F-43EC2EA99D04}"/>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6E-1931-495F-914F-43EC2EA99D04}"/>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0-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#N/A</c:v>
                </c:pt>
                <c:pt idx="1">
                  <c:v>#N/A</c:v>
                </c:pt>
                <c:pt idx="2">
                  <c:v>#N/A</c:v>
                </c:pt>
                <c:pt idx="3">
                  <c:v>#N/A</c:v>
                </c:pt>
                <c:pt idx="4">
                  <c:v>#N/A</c:v>
                </c:pt>
                <c:pt idx="5">
                  <c:v>#N/A</c:v>
                </c:pt>
                <c:pt idx="6">
                  <c:v>0</c:v>
                </c:pt>
                <c:pt idx="7">
                  <c:v>0</c:v>
                </c:pt>
                <c:pt idx="8">
                  <c:v>0</c:v>
                </c:pt>
                <c:pt idx="9">
                  <c:v>#N/A</c:v>
                </c:pt>
                <c:pt idx="10">
                  <c:v>0</c:v>
                </c:pt>
                <c:pt idx="11">
                  <c:v>#N/A</c:v>
                </c:pt>
                <c:pt idx="12">
                  <c:v>#N/A</c:v>
                </c:pt>
                <c:pt idx="13">
                  <c:v>0</c:v>
                </c:pt>
                <c:pt idx="14">
                  <c:v>0</c:v>
                </c:pt>
                <c:pt idx="15">
                  <c:v>0</c:v>
                </c:pt>
                <c:pt idx="16">
                  <c:v>0</c:v>
                </c:pt>
                <c:pt idx="17">
                  <c:v>0</c:v>
                </c:pt>
                <c:pt idx="18">
                  <c:v>0</c:v>
                </c:pt>
              </c:numCache>
            </c:numRef>
          </c:val>
          <c:extLst>
            <c:ext xmlns:c16="http://schemas.microsoft.com/office/drawing/2014/chart" uri="{C3380CC4-5D6E-409C-BE32-E72D297353CC}">
              <c16:uniqueId val="{00000071-1931-495F-914F-43EC2EA99D04}"/>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period'!$D$40:$D$55</c:f>
              <c:strCache>
                <c:ptCount val="16"/>
                <c:pt idx="0">
                  <c:v>15.1.1.1 Purchased livestock</c:v>
                </c:pt>
                <c:pt idx="1">
                  <c:v>15.2.1.1 Purchased feed</c:v>
                </c:pt>
                <c:pt idx="2">
                  <c:v>15.3.1.1 Mineral supplements</c:v>
                </c:pt>
                <c:pt idx="3">
                  <c:v>15.4.1.1 Fertiliser</c:v>
                </c:pt>
                <c:pt idx="4">
                  <c:v>15.5.1.1 Agrichemicals</c:v>
                </c:pt>
                <c:pt idx="5">
                  <c:v>15.6.1.1 Lime</c:v>
                </c:pt>
                <c:pt idx="6">
                  <c:v>15.7.1.1 Services and contractor operations</c:v>
                </c:pt>
                <c:pt idx="7">
                  <c:v>15.10.1.1 Other: Cleaning chemicals</c:v>
                </c:pt>
                <c:pt idx="8">
                  <c:v>15.10.1.1 Other: Pharmacy chemicals</c:v>
                </c:pt>
                <c:pt idx="9">
                  <c:v>15.10.1.1 Other: Miscellaneous</c:v>
                </c:pt>
                <c:pt idx="10">
                  <c:v>15.10.1.1 Other: Uncategorised</c:v>
                </c:pt>
                <c:pt idx="11">
                  <c:v>15.11.1.1 Fuel</c:v>
                </c:pt>
                <c:pt idx="12">
                  <c:v>15.12.1.1 Purchased electricity (Market-based)</c:v>
                </c:pt>
                <c:pt idx="13">
                  <c:v>15.14.1.1 Incoming freight</c:v>
                </c:pt>
                <c:pt idx="14">
                  <c:v>15.13.1.1 Waste sent to treatment facility</c:v>
                </c:pt>
                <c:pt idx="15">
                  <c:v>15.14.1.1 Outgoing freight</c:v>
                </c:pt>
              </c:strCache>
            </c:strRef>
          </c:cat>
          <c:val>
            <c:numRef>
              <c:f>'Results - Activity period'!$I$40:$I$55</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13-76F7-427B-BDC4-2570E48F9B6C}"/>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523875</xdr:colOff>
      <xdr:row>4</xdr:row>
      <xdr:rowOff>238125</xdr:rowOff>
    </xdr:from>
    <xdr:to>
      <xdr:col>15</xdr:col>
      <xdr:colOff>1552576</xdr:colOff>
      <xdr:row>26</xdr:row>
      <xdr:rowOff>228600</xdr:rowOff>
    </xdr:to>
    <xdr:graphicFrame macro="">
      <xdr:nvGraphicFramePr>
        <xdr:cNvPr id="2" name="Chart 1">
          <a:extLst>
            <a:ext uri="{FF2B5EF4-FFF2-40B4-BE49-F238E27FC236}">
              <a16:creationId xmlns:a16="http://schemas.microsoft.com/office/drawing/2014/main" id="{A7409717-2EFC-463A-A70D-B9AC90D88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352425</xdr:colOff>
      <xdr:row>36</xdr:row>
      <xdr:rowOff>38100</xdr:rowOff>
    </xdr:from>
    <xdr:to>
      <xdr:col>15</xdr:col>
      <xdr:colOff>1381126</xdr:colOff>
      <xdr:row>58</xdr:row>
      <xdr:rowOff>28575</xdr:rowOff>
    </xdr:to>
    <xdr:graphicFrame macro="">
      <xdr:nvGraphicFramePr>
        <xdr:cNvPr id="3" name="Chart 2">
          <a:extLst>
            <a:ext uri="{FF2B5EF4-FFF2-40B4-BE49-F238E27FC236}">
              <a16:creationId xmlns:a16="http://schemas.microsoft.com/office/drawing/2014/main" id="{2CF9A32C-68FD-4795-A841-7E9D5A362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143998</xdr:rowOff>
    </xdr:from>
    <xdr:to>
      <xdr:col>3</xdr:col>
      <xdr:colOff>1866340</xdr:colOff>
      <xdr:row>17</xdr:row>
      <xdr:rowOff>12328</xdr:rowOff>
    </xdr:to>
    <xdr:sp macro="" textlink="$J$44">
      <xdr:nvSpPr>
        <xdr:cNvPr id="78" name="TextBox 77">
          <a:extLst>
            <a:ext uri="{FF2B5EF4-FFF2-40B4-BE49-F238E27FC236}">
              <a16:creationId xmlns:a16="http://schemas.microsoft.com/office/drawing/2014/main" id="{6324C0BC-FC67-4402-A63D-0965B4F33211}"/>
            </a:ext>
          </a:extLst>
        </xdr:cNvPr>
        <xdr:cNvSpPr txBox="1"/>
      </xdr:nvSpPr>
      <xdr:spPr>
        <a:xfrm>
          <a:off x="2678206" y="3091145"/>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BE25C2B2-0BD3-425F-A499-8DEB98E49F87}" type="TxLink">
            <a:rPr lang="en-US" sz="2600" b="1" i="0" u="none" strike="noStrike">
              <a:solidFill>
                <a:srgbClr val="0C769E"/>
              </a:solidFill>
              <a:latin typeface="Arial"/>
              <a:cs typeface="Arial"/>
            </a:rPr>
            <a:pPr/>
            <a:t>#DIV/0!</a:t>
          </a:fld>
          <a:endParaRPr lang="en-AU" sz="2600" b="1">
            <a:solidFill>
              <a:srgbClr val="0C769E"/>
            </a:solidFill>
          </a:endParaRPr>
        </a:p>
      </xdr:txBody>
    </xdr:sp>
    <xdr:clientData/>
  </xdr:twoCellAnchor>
  <xdr:twoCellAnchor>
    <xdr:from>
      <xdr:col>4</xdr:col>
      <xdr:colOff>1666314</xdr:colOff>
      <xdr:row>14</xdr:row>
      <xdr:rowOff>115423</xdr:rowOff>
    </xdr:from>
    <xdr:to>
      <xdr:col>5</xdr:col>
      <xdr:colOff>1526240</xdr:colOff>
      <xdr:row>17</xdr:row>
      <xdr:rowOff>12328</xdr:rowOff>
    </xdr:to>
    <xdr:sp macro="" textlink="$K$44">
      <xdr:nvSpPr>
        <xdr:cNvPr id="79" name="TextBox 78">
          <a:extLst>
            <a:ext uri="{FF2B5EF4-FFF2-40B4-BE49-F238E27FC236}">
              <a16:creationId xmlns:a16="http://schemas.microsoft.com/office/drawing/2014/main" id="{0D26667F-1D20-477C-90C8-27211090339F}"/>
            </a:ext>
          </a:extLst>
        </xdr:cNvPr>
        <xdr:cNvSpPr txBox="1"/>
      </xdr:nvSpPr>
      <xdr:spPr>
        <a:xfrm>
          <a:off x="8345020"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1CF640B-5306-48D2-B952-88A44FBEE044}"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3</xdr:col>
      <xdr:colOff>0</xdr:colOff>
      <xdr:row>26</xdr:row>
      <xdr:rowOff>8407</xdr:rowOff>
    </xdr:from>
    <xdr:to>
      <xdr:col>3</xdr:col>
      <xdr:colOff>1952065</xdr:colOff>
      <xdr:row>28</xdr:row>
      <xdr:rowOff>158005</xdr:rowOff>
    </xdr:to>
    <xdr:sp macro="" textlink="$J$52">
      <xdr:nvSpPr>
        <xdr:cNvPr id="80" name="TextBox 79">
          <a:extLst>
            <a:ext uri="{FF2B5EF4-FFF2-40B4-BE49-F238E27FC236}">
              <a16:creationId xmlns:a16="http://schemas.microsoft.com/office/drawing/2014/main" id="{CB177A42-2220-44BE-81E6-CC98FE5B4538}"/>
            </a:ext>
          </a:extLst>
        </xdr:cNvPr>
        <xdr:cNvSpPr txBox="1"/>
      </xdr:nvSpPr>
      <xdr:spPr>
        <a:xfrm>
          <a:off x="2678206" y="5376025"/>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2C616B-A256-4412-8E07-9A9AFDDE19C8}"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4</xdr:col>
      <xdr:colOff>1666314</xdr:colOff>
      <xdr:row>26</xdr:row>
      <xdr:rowOff>36982</xdr:rowOff>
    </xdr:from>
    <xdr:to>
      <xdr:col>5</xdr:col>
      <xdr:colOff>1592915</xdr:colOff>
      <xdr:row>28</xdr:row>
      <xdr:rowOff>138955</xdr:rowOff>
    </xdr:to>
    <xdr:sp macro="" textlink="$K$52">
      <xdr:nvSpPr>
        <xdr:cNvPr id="81" name="TextBox 80">
          <a:extLst>
            <a:ext uri="{FF2B5EF4-FFF2-40B4-BE49-F238E27FC236}">
              <a16:creationId xmlns:a16="http://schemas.microsoft.com/office/drawing/2014/main" id="{DBAD4E3A-70B6-4842-B5A7-07CF5430DBDF}"/>
            </a:ext>
          </a:extLst>
        </xdr:cNvPr>
        <xdr:cNvSpPr txBox="1"/>
      </xdr:nvSpPr>
      <xdr:spPr>
        <a:xfrm>
          <a:off x="8345020"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85D4D86-42B2-4B88-81D8-F406E4392F0C}"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3</xdr:col>
      <xdr:colOff>2323540</xdr:colOff>
      <xdr:row>14</xdr:row>
      <xdr:rowOff>105898</xdr:rowOff>
    </xdr:from>
    <xdr:to>
      <xdr:col>4</xdr:col>
      <xdr:colOff>675715</xdr:colOff>
      <xdr:row>17</xdr:row>
      <xdr:rowOff>12328</xdr:rowOff>
    </xdr:to>
    <xdr:sp macro="" textlink="$J$45">
      <xdr:nvSpPr>
        <xdr:cNvPr id="82" name="TextBox 81">
          <a:extLst>
            <a:ext uri="{FF2B5EF4-FFF2-40B4-BE49-F238E27FC236}">
              <a16:creationId xmlns:a16="http://schemas.microsoft.com/office/drawing/2014/main" id="{4DFA1D84-8CB2-4FF6-B396-5EB6038F7F8C}"/>
            </a:ext>
          </a:extLst>
        </xdr:cNvPr>
        <xdr:cNvSpPr txBox="1"/>
      </xdr:nvSpPr>
      <xdr:spPr>
        <a:xfrm>
          <a:off x="5001746" y="3053045"/>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2CB6A43-519A-4BE9-9BAA-F4B8A2722440}"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6</xdr:col>
      <xdr:colOff>49866</xdr:colOff>
      <xdr:row>14</xdr:row>
      <xdr:rowOff>134473</xdr:rowOff>
    </xdr:from>
    <xdr:to>
      <xdr:col>6</xdr:col>
      <xdr:colOff>1957668</xdr:colOff>
      <xdr:row>17</xdr:row>
      <xdr:rowOff>12328</xdr:rowOff>
    </xdr:to>
    <xdr:sp macro="" textlink="$K$45">
      <xdr:nvSpPr>
        <xdr:cNvPr id="83" name="TextBox 82">
          <a:extLst>
            <a:ext uri="{FF2B5EF4-FFF2-40B4-BE49-F238E27FC236}">
              <a16:creationId xmlns:a16="http://schemas.microsoft.com/office/drawing/2014/main" id="{10441D10-2492-43F9-94EF-AD0503103E39}"/>
            </a:ext>
          </a:extLst>
        </xdr:cNvPr>
        <xdr:cNvSpPr txBox="1"/>
      </xdr:nvSpPr>
      <xdr:spPr>
        <a:xfrm>
          <a:off x="10829925" y="3081620"/>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FB47873-57C9-4A6B-8346-5DDEF9E8D242}"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3</xdr:col>
      <xdr:colOff>0</xdr:colOff>
      <xdr:row>13</xdr:row>
      <xdr:rowOff>24655</xdr:rowOff>
    </xdr:from>
    <xdr:to>
      <xdr:col>3</xdr:col>
      <xdr:colOff>1532965</xdr:colOff>
      <xdr:row>14</xdr:row>
      <xdr:rowOff>105897</xdr:rowOff>
    </xdr:to>
    <xdr:sp macro="" textlink="$J$44">
      <xdr:nvSpPr>
        <xdr:cNvPr id="84" name="TextBox 83">
          <a:extLst>
            <a:ext uri="{FF2B5EF4-FFF2-40B4-BE49-F238E27FC236}">
              <a16:creationId xmlns:a16="http://schemas.microsoft.com/office/drawing/2014/main" id="{D65B372C-9529-42C4-AFC1-F40E336721BE}"/>
            </a:ext>
          </a:extLst>
        </xdr:cNvPr>
        <xdr:cNvSpPr txBox="1"/>
      </xdr:nvSpPr>
      <xdr:spPr>
        <a:xfrm>
          <a:off x="2678206" y="2770096"/>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2323540</xdr:colOff>
      <xdr:row>13</xdr:row>
      <xdr:rowOff>24655</xdr:rowOff>
    </xdr:from>
    <xdr:to>
      <xdr:col>4</xdr:col>
      <xdr:colOff>895268</xdr:colOff>
      <xdr:row>14</xdr:row>
      <xdr:rowOff>105897</xdr:rowOff>
    </xdr:to>
    <xdr:sp macro="" textlink="$J$44">
      <xdr:nvSpPr>
        <xdr:cNvPr id="85" name="TextBox 84">
          <a:extLst>
            <a:ext uri="{FF2B5EF4-FFF2-40B4-BE49-F238E27FC236}">
              <a16:creationId xmlns:a16="http://schemas.microsoft.com/office/drawing/2014/main" id="{205AAFFD-D024-43E7-B739-5E50A03C4C17}"/>
            </a:ext>
          </a:extLst>
        </xdr:cNvPr>
        <xdr:cNvSpPr txBox="1"/>
      </xdr:nvSpPr>
      <xdr:spPr>
        <a:xfrm>
          <a:off x="5001746" y="2770096"/>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0</xdr:colOff>
      <xdr:row>11</xdr:row>
      <xdr:rowOff>49869</xdr:rowOff>
    </xdr:from>
    <xdr:to>
      <xdr:col>3</xdr:col>
      <xdr:colOff>1532965</xdr:colOff>
      <xdr:row>12</xdr:row>
      <xdr:rowOff>131110</xdr:rowOff>
    </xdr:to>
    <xdr:sp macro="" textlink="$J$44">
      <xdr:nvSpPr>
        <xdr:cNvPr id="86" name="TextBox 85">
          <a:extLst>
            <a:ext uri="{FF2B5EF4-FFF2-40B4-BE49-F238E27FC236}">
              <a16:creationId xmlns:a16="http://schemas.microsoft.com/office/drawing/2014/main" id="{2972A808-84E3-4357-B78C-5B8D3D579AE1}"/>
            </a:ext>
          </a:extLst>
        </xdr:cNvPr>
        <xdr:cNvSpPr txBox="1"/>
      </xdr:nvSpPr>
      <xdr:spPr>
        <a:xfrm>
          <a:off x="2678206" y="2391898"/>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38100</xdr:colOff>
      <xdr:row>9</xdr:row>
      <xdr:rowOff>56032</xdr:rowOff>
    </xdr:from>
    <xdr:to>
      <xdr:col>3</xdr:col>
      <xdr:colOff>2218765</xdr:colOff>
      <xdr:row>11</xdr:row>
      <xdr:rowOff>21294</xdr:rowOff>
    </xdr:to>
    <xdr:sp macro="" textlink="">
      <xdr:nvSpPr>
        <xdr:cNvPr id="87" name="TextBox 86">
          <a:extLst>
            <a:ext uri="{FF2B5EF4-FFF2-40B4-BE49-F238E27FC236}">
              <a16:creationId xmlns:a16="http://schemas.microsoft.com/office/drawing/2014/main" id="{47E34C48-5D90-4E62-A2F6-40E64C953A02}"/>
            </a:ext>
          </a:extLst>
        </xdr:cNvPr>
        <xdr:cNvSpPr txBox="1"/>
      </xdr:nvSpPr>
      <xdr:spPr>
        <a:xfrm>
          <a:off x="2716306" y="1994650"/>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47625</xdr:colOff>
      <xdr:row>11</xdr:row>
      <xdr:rowOff>25411</xdr:rowOff>
    </xdr:from>
    <xdr:to>
      <xdr:col>7</xdr:col>
      <xdr:colOff>379319</xdr:colOff>
      <xdr:row>11</xdr:row>
      <xdr:rowOff>40344</xdr:rowOff>
    </xdr:to>
    <xdr:cxnSp macro="">
      <xdr:nvCxnSpPr>
        <xdr:cNvPr id="88" name="Straight Connector 87">
          <a:extLst>
            <a:ext uri="{FF2B5EF4-FFF2-40B4-BE49-F238E27FC236}">
              <a16:creationId xmlns:a16="http://schemas.microsoft.com/office/drawing/2014/main" id="{0CEE1C48-3375-4BA3-961D-85051EDC2980}"/>
            </a:ext>
          </a:extLst>
        </xdr:cNvPr>
        <xdr:cNvCxnSpPr/>
      </xdr:nvCxnSpPr>
      <xdr:spPr>
        <a:xfrm flipV="1">
          <a:off x="2725831" y="2367440"/>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13</xdr:row>
      <xdr:rowOff>24655</xdr:rowOff>
    </xdr:from>
    <xdr:to>
      <xdr:col>5</xdr:col>
      <xdr:colOff>1154765</xdr:colOff>
      <xdr:row>14</xdr:row>
      <xdr:rowOff>105897</xdr:rowOff>
    </xdr:to>
    <xdr:sp macro="" textlink="$J$44">
      <xdr:nvSpPr>
        <xdr:cNvPr id="89" name="TextBox 88">
          <a:extLst>
            <a:ext uri="{FF2B5EF4-FFF2-40B4-BE49-F238E27FC236}">
              <a16:creationId xmlns:a16="http://schemas.microsoft.com/office/drawing/2014/main" id="{DFC460AF-9379-4449-9C0A-7B2F11C0397D}"/>
            </a:ext>
          </a:extLst>
        </xdr:cNvPr>
        <xdr:cNvSpPr txBox="1"/>
      </xdr:nvSpPr>
      <xdr:spPr>
        <a:xfrm>
          <a:off x="8345020"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49866</xdr:colOff>
      <xdr:row>13</xdr:row>
      <xdr:rowOff>24655</xdr:rowOff>
    </xdr:from>
    <xdr:to>
      <xdr:col>7</xdr:col>
      <xdr:colOff>579822</xdr:colOff>
      <xdr:row>14</xdr:row>
      <xdr:rowOff>105897</xdr:rowOff>
    </xdr:to>
    <xdr:sp macro="" textlink="$J$44">
      <xdr:nvSpPr>
        <xdr:cNvPr id="90" name="TextBox 89">
          <a:extLst>
            <a:ext uri="{FF2B5EF4-FFF2-40B4-BE49-F238E27FC236}">
              <a16:creationId xmlns:a16="http://schemas.microsoft.com/office/drawing/2014/main" id="{A7555654-AC40-4A20-8C7C-5472B92143A7}"/>
            </a:ext>
          </a:extLst>
        </xdr:cNvPr>
        <xdr:cNvSpPr txBox="1"/>
      </xdr:nvSpPr>
      <xdr:spPr>
        <a:xfrm>
          <a:off x="10829925" y="2770096"/>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4</xdr:col>
      <xdr:colOff>1666314</xdr:colOff>
      <xdr:row>11</xdr:row>
      <xdr:rowOff>49869</xdr:rowOff>
    </xdr:from>
    <xdr:to>
      <xdr:col>5</xdr:col>
      <xdr:colOff>1154765</xdr:colOff>
      <xdr:row>12</xdr:row>
      <xdr:rowOff>131110</xdr:rowOff>
    </xdr:to>
    <xdr:sp macro="" textlink="$J$44">
      <xdr:nvSpPr>
        <xdr:cNvPr id="91" name="TextBox 90">
          <a:extLst>
            <a:ext uri="{FF2B5EF4-FFF2-40B4-BE49-F238E27FC236}">
              <a16:creationId xmlns:a16="http://schemas.microsoft.com/office/drawing/2014/main" id="{1B097AE8-6BFD-4333-B0EB-FC56C2962059}"/>
            </a:ext>
          </a:extLst>
        </xdr:cNvPr>
        <xdr:cNvSpPr txBox="1"/>
      </xdr:nvSpPr>
      <xdr:spPr>
        <a:xfrm>
          <a:off x="8345020"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0</xdr:colOff>
      <xdr:row>12</xdr:row>
      <xdr:rowOff>150161</xdr:rowOff>
    </xdr:from>
    <xdr:to>
      <xdr:col>4</xdr:col>
      <xdr:colOff>866215</xdr:colOff>
      <xdr:row>12</xdr:row>
      <xdr:rowOff>150161</xdr:rowOff>
    </xdr:to>
    <xdr:cxnSp macro="">
      <xdr:nvCxnSpPr>
        <xdr:cNvPr id="92" name="Straight Connector 91">
          <a:extLst>
            <a:ext uri="{FF2B5EF4-FFF2-40B4-BE49-F238E27FC236}">
              <a16:creationId xmlns:a16="http://schemas.microsoft.com/office/drawing/2014/main" id="{515B2240-CF6B-434A-8E39-66B030531D7A}"/>
            </a:ext>
          </a:extLst>
        </xdr:cNvPr>
        <xdr:cNvCxnSpPr/>
      </xdr:nvCxnSpPr>
      <xdr:spPr>
        <a:xfrm>
          <a:off x="2678206" y="2693896"/>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12</xdr:row>
      <xdr:rowOff>150161</xdr:rowOff>
    </xdr:from>
    <xdr:to>
      <xdr:col>7</xdr:col>
      <xdr:colOff>398368</xdr:colOff>
      <xdr:row>12</xdr:row>
      <xdr:rowOff>150161</xdr:rowOff>
    </xdr:to>
    <xdr:cxnSp macro="">
      <xdr:nvCxnSpPr>
        <xdr:cNvPr id="93" name="Straight Connector 92">
          <a:extLst>
            <a:ext uri="{FF2B5EF4-FFF2-40B4-BE49-F238E27FC236}">
              <a16:creationId xmlns:a16="http://schemas.microsoft.com/office/drawing/2014/main" id="{5BE13F51-936B-49C8-A80F-AF6384A70483}"/>
            </a:ext>
          </a:extLst>
        </xdr:cNvPr>
        <xdr:cNvCxnSpPr/>
      </xdr:nvCxnSpPr>
      <xdr:spPr>
        <a:xfrm>
          <a:off x="8345020" y="2693896"/>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24</xdr:row>
      <xdr:rowOff>101976</xdr:rowOff>
    </xdr:from>
    <xdr:to>
      <xdr:col>3</xdr:col>
      <xdr:colOff>1532965</xdr:colOff>
      <xdr:row>25</xdr:row>
      <xdr:rowOff>181537</xdr:rowOff>
    </xdr:to>
    <xdr:sp macro="" textlink="$J$44">
      <xdr:nvSpPr>
        <xdr:cNvPr id="94" name="TextBox 93">
          <a:extLst>
            <a:ext uri="{FF2B5EF4-FFF2-40B4-BE49-F238E27FC236}">
              <a16:creationId xmlns:a16="http://schemas.microsoft.com/office/drawing/2014/main" id="{8ADB1D82-4B8C-48B4-A263-128CFD77FBCA}"/>
            </a:ext>
          </a:extLst>
        </xdr:cNvPr>
        <xdr:cNvSpPr txBox="1"/>
      </xdr:nvSpPr>
      <xdr:spPr>
        <a:xfrm>
          <a:off x="2678206" y="5066182"/>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2408787</xdr:colOff>
      <xdr:row>24</xdr:row>
      <xdr:rowOff>101976</xdr:rowOff>
    </xdr:from>
    <xdr:to>
      <xdr:col>4</xdr:col>
      <xdr:colOff>980515</xdr:colOff>
      <xdr:row>25</xdr:row>
      <xdr:rowOff>181537</xdr:rowOff>
    </xdr:to>
    <xdr:sp macro="" textlink="$J$44">
      <xdr:nvSpPr>
        <xdr:cNvPr id="95" name="TextBox 94">
          <a:extLst>
            <a:ext uri="{FF2B5EF4-FFF2-40B4-BE49-F238E27FC236}">
              <a16:creationId xmlns:a16="http://schemas.microsoft.com/office/drawing/2014/main" id="{051442B9-C9B2-4861-B5C5-BF3F6DDB8602}"/>
            </a:ext>
          </a:extLst>
        </xdr:cNvPr>
        <xdr:cNvSpPr txBox="1"/>
      </xdr:nvSpPr>
      <xdr:spPr>
        <a:xfrm>
          <a:off x="5086993" y="5066182"/>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0</xdr:colOff>
      <xdr:row>22</xdr:row>
      <xdr:rowOff>128870</xdr:rowOff>
    </xdr:from>
    <xdr:to>
      <xdr:col>3</xdr:col>
      <xdr:colOff>1532965</xdr:colOff>
      <xdr:row>24</xdr:row>
      <xdr:rowOff>5044</xdr:rowOff>
    </xdr:to>
    <xdr:sp macro="" textlink="$J$44">
      <xdr:nvSpPr>
        <xdr:cNvPr id="96" name="TextBox 95">
          <a:extLst>
            <a:ext uri="{FF2B5EF4-FFF2-40B4-BE49-F238E27FC236}">
              <a16:creationId xmlns:a16="http://schemas.microsoft.com/office/drawing/2014/main" id="{07E5EDC8-C6D4-49ED-9FD8-4E72EA16C5E9}"/>
            </a:ext>
          </a:extLst>
        </xdr:cNvPr>
        <xdr:cNvSpPr txBox="1"/>
      </xdr:nvSpPr>
      <xdr:spPr>
        <a:xfrm>
          <a:off x="2678206" y="4689664"/>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0</xdr:colOff>
      <xdr:row>16</xdr:row>
      <xdr:rowOff>118785</xdr:rowOff>
    </xdr:from>
    <xdr:ext cx="1978747" cy="254493"/>
    <xdr:sp macro="" textlink="">
      <xdr:nvSpPr>
        <xdr:cNvPr id="97" name="TextBox 96">
          <a:extLst>
            <a:ext uri="{FF2B5EF4-FFF2-40B4-BE49-F238E27FC236}">
              <a16:creationId xmlns:a16="http://schemas.microsoft.com/office/drawing/2014/main" id="{74F57209-8D04-4DB7-987B-A078967A1A1B}"/>
            </a:ext>
          </a:extLst>
        </xdr:cNvPr>
        <xdr:cNvSpPr txBox="1"/>
      </xdr:nvSpPr>
      <xdr:spPr>
        <a:xfrm>
          <a:off x="267820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38100</xdr:colOff>
      <xdr:row>20</xdr:row>
      <xdr:rowOff>135033</xdr:rowOff>
    </xdr:from>
    <xdr:to>
      <xdr:col>3</xdr:col>
      <xdr:colOff>2218765</xdr:colOff>
      <xdr:row>22</xdr:row>
      <xdr:rowOff>98614</xdr:rowOff>
    </xdr:to>
    <xdr:sp macro="" textlink="">
      <xdr:nvSpPr>
        <xdr:cNvPr id="98" name="TextBox 97">
          <a:extLst>
            <a:ext uri="{FF2B5EF4-FFF2-40B4-BE49-F238E27FC236}">
              <a16:creationId xmlns:a16="http://schemas.microsoft.com/office/drawing/2014/main" id="{F9F6E8D7-844A-41CC-92D5-F1D50209A017}"/>
            </a:ext>
          </a:extLst>
        </xdr:cNvPr>
        <xdr:cNvSpPr txBox="1"/>
      </xdr:nvSpPr>
      <xdr:spPr>
        <a:xfrm>
          <a:off x="2716306" y="4292415"/>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47625</xdr:colOff>
      <xdr:row>22</xdr:row>
      <xdr:rowOff>102663</xdr:rowOff>
    </xdr:from>
    <xdr:to>
      <xdr:col>7</xdr:col>
      <xdr:colOff>426944</xdr:colOff>
      <xdr:row>22</xdr:row>
      <xdr:rowOff>119345</xdr:rowOff>
    </xdr:to>
    <xdr:cxnSp macro="">
      <xdr:nvCxnSpPr>
        <xdr:cNvPr id="99" name="Straight Connector 98">
          <a:extLst>
            <a:ext uri="{FF2B5EF4-FFF2-40B4-BE49-F238E27FC236}">
              <a16:creationId xmlns:a16="http://schemas.microsoft.com/office/drawing/2014/main" id="{E4550A14-CA77-4AAA-8A4A-741BD64263DA}"/>
            </a:ext>
          </a:extLst>
        </xdr:cNvPr>
        <xdr:cNvCxnSpPr/>
      </xdr:nvCxnSpPr>
      <xdr:spPr>
        <a:xfrm flipV="1">
          <a:off x="2725831" y="4663457"/>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101976</xdr:rowOff>
    </xdr:from>
    <xdr:to>
      <xdr:col>5</xdr:col>
      <xdr:colOff>1154765</xdr:colOff>
      <xdr:row>25</xdr:row>
      <xdr:rowOff>181537</xdr:rowOff>
    </xdr:to>
    <xdr:sp macro="" textlink="$J$44">
      <xdr:nvSpPr>
        <xdr:cNvPr id="100" name="TextBox 99">
          <a:extLst>
            <a:ext uri="{FF2B5EF4-FFF2-40B4-BE49-F238E27FC236}">
              <a16:creationId xmlns:a16="http://schemas.microsoft.com/office/drawing/2014/main" id="{8BF43C3A-8C1D-4E7F-940B-F95819B22421}"/>
            </a:ext>
          </a:extLst>
        </xdr:cNvPr>
        <xdr:cNvSpPr txBox="1"/>
      </xdr:nvSpPr>
      <xdr:spPr>
        <a:xfrm>
          <a:off x="8345020"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49866</xdr:colOff>
      <xdr:row>24</xdr:row>
      <xdr:rowOff>101976</xdr:rowOff>
    </xdr:from>
    <xdr:to>
      <xdr:col>7</xdr:col>
      <xdr:colOff>579822</xdr:colOff>
      <xdr:row>25</xdr:row>
      <xdr:rowOff>181537</xdr:rowOff>
    </xdr:to>
    <xdr:sp macro="" textlink="$J$44">
      <xdr:nvSpPr>
        <xdr:cNvPr id="101" name="TextBox 100">
          <a:extLst>
            <a:ext uri="{FF2B5EF4-FFF2-40B4-BE49-F238E27FC236}">
              <a16:creationId xmlns:a16="http://schemas.microsoft.com/office/drawing/2014/main" id="{2C10772E-DD3A-4BAF-B36F-28A4B97AF469}"/>
            </a:ext>
          </a:extLst>
        </xdr:cNvPr>
        <xdr:cNvSpPr txBox="1"/>
      </xdr:nvSpPr>
      <xdr:spPr>
        <a:xfrm>
          <a:off x="10829925" y="5066182"/>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4</xdr:col>
      <xdr:colOff>1666314</xdr:colOff>
      <xdr:row>22</xdr:row>
      <xdr:rowOff>128870</xdr:rowOff>
    </xdr:from>
    <xdr:to>
      <xdr:col>5</xdr:col>
      <xdr:colOff>1154765</xdr:colOff>
      <xdr:row>24</xdr:row>
      <xdr:rowOff>5044</xdr:rowOff>
    </xdr:to>
    <xdr:sp macro="" textlink="$J$44">
      <xdr:nvSpPr>
        <xdr:cNvPr id="102" name="TextBox 101">
          <a:extLst>
            <a:ext uri="{FF2B5EF4-FFF2-40B4-BE49-F238E27FC236}">
              <a16:creationId xmlns:a16="http://schemas.microsoft.com/office/drawing/2014/main" id="{21F1BAC9-A1BF-493E-8C57-D819BB045F9D}"/>
            </a:ext>
          </a:extLst>
        </xdr:cNvPr>
        <xdr:cNvSpPr txBox="1"/>
      </xdr:nvSpPr>
      <xdr:spPr>
        <a:xfrm>
          <a:off x="8345020"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0</xdr:colOff>
      <xdr:row>24</xdr:row>
      <xdr:rowOff>24095</xdr:rowOff>
    </xdr:from>
    <xdr:to>
      <xdr:col>4</xdr:col>
      <xdr:colOff>894790</xdr:colOff>
      <xdr:row>24</xdr:row>
      <xdr:rowOff>24095</xdr:rowOff>
    </xdr:to>
    <xdr:cxnSp macro="">
      <xdr:nvCxnSpPr>
        <xdr:cNvPr id="103" name="Straight Connector 102">
          <a:extLst>
            <a:ext uri="{FF2B5EF4-FFF2-40B4-BE49-F238E27FC236}">
              <a16:creationId xmlns:a16="http://schemas.microsoft.com/office/drawing/2014/main" id="{116B0BCA-4E23-46CE-9AF1-B13CBB354EB7}"/>
            </a:ext>
          </a:extLst>
        </xdr:cNvPr>
        <xdr:cNvCxnSpPr/>
      </xdr:nvCxnSpPr>
      <xdr:spPr>
        <a:xfrm>
          <a:off x="2678206" y="4988301"/>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24095</xdr:rowOff>
    </xdr:from>
    <xdr:to>
      <xdr:col>7</xdr:col>
      <xdr:colOff>436468</xdr:colOff>
      <xdr:row>24</xdr:row>
      <xdr:rowOff>24095</xdr:rowOff>
    </xdr:to>
    <xdr:cxnSp macro="">
      <xdr:nvCxnSpPr>
        <xdr:cNvPr id="104" name="Straight Connector 103">
          <a:extLst>
            <a:ext uri="{FF2B5EF4-FFF2-40B4-BE49-F238E27FC236}">
              <a16:creationId xmlns:a16="http://schemas.microsoft.com/office/drawing/2014/main" id="{71B71B52-D44C-4926-B949-90F4D2325CB5}"/>
            </a:ext>
          </a:extLst>
        </xdr:cNvPr>
        <xdr:cNvCxnSpPr/>
      </xdr:nvCxnSpPr>
      <xdr:spPr>
        <a:xfrm>
          <a:off x="8345020" y="4988301"/>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2323540</xdr:colOff>
      <xdr:row>16</xdr:row>
      <xdr:rowOff>118785</xdr:rowOff>
    </xdr:from>
    <xdr:ext cx="1978747" cy="254493"/>
    <xdr:sp macro="" textlink="">
      <xdr:nvSpPr>
        <xdr:cNvPr id="105" name="TextBox 104">
          <a:extLst>
            <a:ext uri="{FF2B5EF4-FFF2-40B4-BE49-F238E27FC236}">
              <a16:creationId xmlns:a16="http://schemas.microsoft.com/office/drawing/2014/main" id="{E1A05E49-6C68-4EFE-89B7-3040A7A1ED8F}"/>
            </a:ext>
          </a:extLst>
        </xdr:cNvPr>
        <xdr:cNvSpPr txBox="1"/>
      </xdr:nvSpPr>
      <xdr:spPr>
        <a:xfrm>
          <a:off x="500174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4</xdr:col>
      <xdr:colOff>1666314</xdr:colOff>
      <xdr:row>16</xdr:row>
      <xdr:rowOff>118785</xdr:rowOff>
    </xdr:from>
    <xdr:ext cx="1978747" cy="254493"/>
    <xdr:sp macro="" textlink="">
      <xdr:nvSpPr>
        <xdr:cNvPr id="106" name="TextBox 105">
          <a:extLst>
            <a:ext uri="{FF2B5EF4-FFF2-40B4-BE49-F238E27FC236}">
              <a16:creationId xmlns:a16="http://schemas.microsoft.com/office/drawing/2014/main" id="{58932CEC-AA0D-4863-ADBE-EB6D854221D5}"/>
            </a:ext>
          </a:extLst>
        </xdr:cNvPr>
        <xdr:cNvSpPr txBox="1"/>
      </xdr:nvSpPr>
      <xdr:spPr>
        <a:xfrm>
          <a:off x="834502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49866</xdr:colOff>
      <xdr:row>16</xdr:row>
      <xdr:rowOff>118785</xdr:rowOff>
    </xdr:from>
    <xdr:ext cx="1978747" cy="254493"/>
    <xdr:sp macro="" textlink="">
      <xdr:nvSpPr>
        <xdr:cNvPr id="107" name="TextBox 106">
          <a:extLst>
            <a:ext uri="{FF2B5EF4-FFF2-40B4-BE49-F238E27FC236}">
              <a16:creationId xmlns:a16="http://schemas.microsoft.com/office/drawing/2014/main" id="{EBBAE93E-8D8D-401B-BB50-3157E39D783D}"/>
            </a:ext>
          </a:extLst>
        </xdr:cNvPr>
        <xdr:cNvSpPr txBox="1"/>
      </xdr:nvSpPr>
      <xdr:spPr>
        <a:xfrm>
          <a:off x="10829925"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0</xdr:colOff>
      <xdr:row>28</xdr:row>
      <xdr:rowOff>87969</xdr:rowOff>
    </xdr:from>
    <xdr:ext cx="1978747" cy="254493"/>
    <xdr:sp macro="" textlink="">
      <xdr:nvSpPr>
        <xdr:cNvPr id="108" name="TextBox 107">
          <a:extLst>
            <a:ext uri="{FF2B5EF4-FFF2-40B4-BE49-F238E27FC236}">
              <a16:creationId xmlns:a16="http://schemas.microsoft.com/office/drawing/2014/main" id="{4A38E562-A13E-4C8B-80AD-B39CF1FEECE2}"/>
            </a:ext>
          </a:extLst>
        </xdr:cNvPr>
        <xdr:cNvSpPr txBox="1"/>
      </xdr:nvSpPr>
      <xdr:spPr>
        <a:xfrm>
          <a:off x="267820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2333065</xdr:colOff>
      <xdr:row>28</xdr:row>
      <xdr:rowOff>87969</xdr:rowOff>
    </xdr:from>
    <xdr:ext cx="1978747" cy="254493"/>
    <xdr:sp macro="" textlink="">
      <xdr:nvSpPr>
        <xdr:cNvPr id="109" name="TextBox 108">
          <a:extLst>
            <a:ext uri="{FF2B5EF4-FFF2-40B4-BE49-F238E27FC236}">
              <a16:creationId xmlns:a16="http://schemas.microsoft.com/office/drawing/2014/main" id="{57055F1F-1A5E-4F33-9836-0605F0CF493B}"/>
            </a:ext>
          </a:extLst>
        </xdr:cNvPr>
        <xdr:cNvSpPr txBox="1"/>
      </xdr:nvSpPr>
      <xdr:spPr>
        <a:xfrm>
          <a:off x="5011271"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4</xdr:col>
      <xdr:colOff>1666314</xdr:colOff>
      <xdr:row>28</xdr:row>
      <xdr:rowOff>87969</xdr:rowOff>
    </xdr:from>
    <xdr:ext cx="1978747" cy="254493"/>
    <xdr:sp macro="" textlink="">
      <xdr:nvSpPr>
        <xdr:cNvPr id="110" name="TextBox 109">
          <a:extLst>
            <a:ext uri="{FF2B5EF4-FFF2-40B4-BE49-F238E27FC236}">
              <a16:creationId xmlns:a16="http://schemas.microsoft.com/office/drawing/2014/main" id="{0255C1BA-EF45-4B88-B5FA-A52375BACDC8}"/>
            </a:ext>
          </a:extLst>
        </xdr:cNvPr>
        <xdr:cNvSpPr txBox="1"/>
      </xdr:nvSpPr>
      <xdr:spPr>
        <a:xfrm>
          <a:off x="8345020"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49866</xdr:colOff>
      <xdr:row>28</xdr:row>
      <xdr:rowOff>87969</xdr:rowOff>
    </xdr:from>
    <xdr:ext cx="1978747" cy="254493"/>
    <xdr:sp macro="" textlink="">
      <xdr:nvSpPr>
        <xdr:cNvPr id="111" name="TextBox 110">
          <a:extLst>
            <a:ext uri="{FF2B5EF4-FFF2-40B4-BE49-F238E27FC236}">
              <a16:creationId xmlns:a16="http://schemas.microsoft.com/office/drawing/2014/main" id="{1FE74972-27B6-4F77-BF8B-FD910771357E}"/>
            </a:ext>
          </a:extLst>
        </xdr:cNvPr>
        <xdr:cNvSpPr txBox="1"/>
      </xdr:nvSpPr>
      <xdr:spPr>
        <a:xfrm>
          <a:off x="1082992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2361640</xdr:colOff>
      <xdr:row>26</xdr:row>
      <xdr:rowOff>8407</xdr:rowOff>
    </xdr:from>
    <xdr:to>
      <xdr:col>4</xdr:col>
      <xdr:colOff>313765</xdr:colOff>
      <xdr:row>28</xdr:row>
      <xdr:rowOff>158005</xdr:rowOff>
    </xdr:to>
    <xdr:sp macro="" textlink="$J$53">
      <xdr:nvSpPr>
        <xdr:cNvPr id="112" name="TextBox 111">
          <a:extLst>
            <a:ext uri="{FF2B5EF4-FFF2-40B4-BE49-F238E27FC236}">
              <a16:creationId xmlns:a16="http://schemas.microsoft.com/office/drawing/2014/main" id="{DFE9DD5D-C807-4E3C-B113-9A9665AA0ED7}"/>
            </a:ext>
          </a:extLst>
        </xdr:cNvPr>
        <xdr:cNvSpPr txBox="1"/>
      </xdr:nvSpPr>
      <xdr:spPr>
        <a:xfrm>
          <a:off x="5039846" y="5376025"/>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8B8ADE77-8739-4C42-8C9D-E087028DA258}"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5</xdr:col>
      <xdr:colOff>1983440</xdr:colOff>
      <xdr:row>26</xdr:row>
      <xdr:rowOff>36982</xdr:rowOff>
    </xdr:from>
    <xdr:to>
      <xdr:col>6</xdr:col>
      <xdr:colOff>1910042</xdr:colOff>
      <xdr:row>28</xdr:row>
      <xdr:rowOff>138955</xdr:rowOff>
    </xdr:to>
    <xdr:sp macro="" textlink="$K$53">
      <xdr:nvSpPr>
        <xdr:cNvPr id="113" name="TextBox 112">
          <a:extLst>
            <a:ext uri="{FF2B5EF4-FFF2-40B4-BE49-F238E27FC236}">
              <a16:creationId xmlns:a16="http://schemas.microsoft.com/office/drawing/2014/main" id="{419A6354-03AF-4EBF-8FCB-0A0986B37ED9}"/>
            </a:ext>
          </a:extLst>
        </xdr:cNvPr>
        <xdr:cNvSpPr txBox="1"/>
      </xdr:nvSpPr>
      <xdr:spPr>
        <a:xfrm>
          <a:off x="10712822" y="5404600"/>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9A87D5F-A637-4BA0-BFE4-996CA0B467D5}"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8</xdr:col>
      <xdr:colOff>45944</xdr:colOff>
      <xdr:row>14</xdr:row>
      <xdr:rowOff>143998</xdr:rowOff>
    </xdr:from>
    <xdr:to>
      <xdr:col>8</xdr:col>
      <xdr:colOff>1915646</xdr:colOff>
      <xdr:row>17</xdr:row>
      <xdr:rowOff>12328</xdr:rowOff>
    </xdr:to>
    <xdr:sp macro="" textlink="$J$46">
      <xdr:nvSpPr>
        <xdr:cNvPr id="114" name="TextBox 113">
          <a:extLst>
            <a:ext uri="{FF2B5EF4-FFF2-40B4-BE49-F238E27FC236}">
              <a16:creationId xmlns:a16="http://schemas.microsoft.com/office/drawing/2014/main" id="{8D23E85A-1551-466C-89C3-E43491BE5CAF}"/>
            </a:ext>
          </a:extLst>
        </xdr:cNvPr>
        <xdr:cNvSpPr txBox="1"/>
      </xdr:nvSpPr>
      <xdr:spPr>
        <a:xfrm>
          <a:off x="14927356" y="3091145"/>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924562D-F9FD-4007-A893-9658B36EA5E8}"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10</xdr:col>
      <xdr:colOff>1625973</xdr:colOff>
      <xdr:row>14</xdr:row>
      <xdr:rowOff>115423</xdr:rowOff>
    </xdr:from>
    <xdr:to>
      <xdr:col>11</xdr:col>
      <xdr:colOff>1485899</xdr:colOff>
      <xdr:row>17</xdr:row>
      <xdr:rowOff>12328</xdr:rowOff>
    </xdr:to>
    <xdr:sp macro="" textlink="$K$46">
      <xdr:nvSpPr>
        <xdr:cNvPr id="115" name="TextBox 114">
          <a:extLst>
            <a:ext uri="{FF2B5EF4-FFF2-40B4-BE49-F238E27FC236}">
              <a16:creationId xmlns:a16="http://schemas.microsoft.com/office/drawing/2014/main" id="{6B36214C-B628-4654-A200-F3A9EB05DF59}"/>
            </a:ext>
          </a:extLst>
        </xdr:cNvPr>
        <xdr:cNvSpPr txBox="1"/>
      </xdr:nvSpPr>
      <xdr:spPr>
        <a:xfrm>
          <a:off x="20608738"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78CED4-C7B4-4572-B5FF-C2C28E3FD695}"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8</xdr:col>
      <xdr:colOff>45944</xdr:colOff>
      <xdr:row>26</xdr:row>
      <xdr:rowOff>8407</xdr:rowOff>
    </xdr:from>
    <xdr:to>
      <xdr:col>8</xdr:col>
      <xdr:colOff>2001371</xdr:colOff>
      <xdr:row>28</xdr:row>
      <xdr:rowOff>158005</xdr:rowOff>
    </xdr:to>
    <xdr:sp macro="" textlink="$J$54">
      <xdr:nvSpPr>
        <xdr:cNvPr id="116" name="TextBox 115">
          <a:extLst>
            <a:ext uri="{FF2B5EF4-FFF2-40B4-BE49-F238E27FC236}">
              <a16:creationId xmlns:a16="http://schemas.microsoft.com/office/drawing/2014/main" id="{8A36ADE4-E119-4EFB-A8A8-78CF4CC921CA}"/>
            </a:ext>
          </a:extLst>
        </xdr:cNvPr>
        <xdr:cNvSpPr txBox="1"/>
      </xdr:nvSpPr>
      <xdr:spPr>
        <a:xfrm>
          <a:off x="14927356" y="5376025"/>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7E4CB1C-EDB4-4181-B8C4-5B02C43CACE3}"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10</xdr:col>
      <xdr:colOff>1625973</xdr:colOff>
      <xdr:row>26</xdr:row>
      <xdr:rowOff>36982</xdr:rowOff>
    </xdr:from>
    <xdr:to>
      <xdr:col>11</xdr:col>
      <xdr:colOff>1552574</xdr:colOff>
      <xdr:row>28</xdr:row>
      <xdr:rowOff>138955</xdr:rowOff>
    </xdr:to>
    <xdr:sp macro="" textlink="$K$54">
      <xdr:nvSpPr>
        <xdr:cNvPr id="117" name="TextBox 116">
          <a:extLst>
            <a:ext uri="{FF2B5EF4-FFF2-40B4-BE49-F238E27FC236}">
              <a16:creationId xmlns:a16="http://schemas.microsoft.com/office/drawing/2014/main" id="{688A9E86-FE5E-4A29-9549-30D647EA49E3}"/>
            </a:ext>
          </a:extLst>
        </xdr:cNvPr>
        <xdr:cNvSpPr txBox="1"/>
      </xdr:nvSpPr>
      <xdr:spPr>
        <a:xfrm>
          <a:off x="20608738"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2E2C27E-76F6-4365-A748-3D63EC144A1C}"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9</xdr:col>
      <xdr:colOff>327772</xdr:colOff>
      <xdr:row>14</xdr:row>
      <xdr:rowOff>105898</xdr:rowOff>
    </xdr:from>
    <xdr:to>
      <xdr:col>10</xdr:col>
      <xdr:colOff>635374</xdr:colOff>
      <xdr:row>17</xdr:row>
      <xdr:rowOff>12328</xdr:rowOff>
    </xdr:to>
    <xdr:sp macro="" textlink="$J$47">
      <xdr:nvSpPr>
        <xdr:cNvPr id="118" name="TextBox 117">
          <a:extLst>
            <a:ext uri="{FF2B5EF4-FFF2-40B4-BE49-F238E27FC236}">
              <a16:creationId xmlns:a16="http://schemas.microsoft.com/office/drawing/2014/main" id="{46207EBB-51C6-4AB4-B45D-51865CD26131}"/>
            </a:ext>
          </a:extLst>
        </xdr:cNvPr>
        <xdr:cNvSpPr txBox="1"/>
      </xdr:nvSpPr>
      <xdr:spPr>
        <a:xfrm>
          <a:off x="17259860" y="3053045"/>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ECA65A0-CBD7-46CD-8C95-E7E852DDA32D}"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12</xdr:col>
      <xdr:colOff>9525</xdr:colOff>
      <xdr:row>14</xdr:row>
      <xdr:rowOff>134473</xdr:rowOff>
    </xdr:from>
    <xdr:to>
      <xdr:col>15</xdr:col>
      <xdr:colOff>374277</xdr:colOff>
      <xdr:row>17</xdr:row>
      <xdr:rowOff>12328</xdr:rowOff>
    </xdr:to>
    <xdr:sp macro="" textlink="$K$47">
      <xdr:nvSpPr>
        <xdr:cNvPr id="119" name="TextBox 118">
          <a:extLst>
            <a:ext uri="{FF2B5EF4-FFF2-40B4-BE49-F238E27FC236}">
              <a16:creationId xmlns:a16="http://schemas.microsoft.com/office/drawing/2014/main" id="{630561FE-D650-4C9A-9197-C883F661A7F5}"/>
            </a:ext>
          </a:extLst>
        </xdr:cNvPr>
        <xdr:cNvSpPr txBox="1"/>
      </xdr:nvSpPr>
      <xdr:spPr>
        <a:xfrm>
          <a:off x="23093643" y="3081620"/>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6248843-A903-4882-925A-19F5BC60ACE3}"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8</xdr:col>
      <xdr:colOff>45944</xdr:colOff>
      <xdr:row>13</xdr:row>
      <xdr:rowOff>24655</xdr:rowOff>
    </xdr:from>
    <xdr:to>
      <xdr:col>8</xdr:col>
      <xdr:colOff>1582271</xdr:colOff>
      <xdr:row>14</xdr:row>
      <xdr:rowOff>105897</xdr:rowOff>
    </xdr:to>
    <xdr:sp macro="" textlink="$J$44">
      <xdr:nvSpPr>
        <xdr:cNvPr id="120" name="TextBox 119">
          <a:extLst>
            <a:ext uri="{FF2B5EF4-FFF2-40B4-BE49-F238E27FC236}">
              <a16:creationId xmlns:a16="http://schemas.microsoft.com/office/drawing/2014/main" id="{F652D104-9279-4EEA-8BA4-CBAFA8E316DA}"/>
            </a:ext>
          </a:extLst>
        </xdr:cNvPr>
        <xdr:cNvSpPr txBox="1"/>
      </xdr:nvSpPr>
      <xdr:spPr>
        <a:xfrm>
          <a:off x="14927356" y="2770096"/>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327772</xdr:colOff>
      <xdr:row>13</xdr:row>
      <xdr:rowOff>24655</xdr:rowOff>
    </xdr:from>
    <xdr:to>
      <xdr:col>10</xdr:col>
      <xdr:colOff>854927</xdr:colOff>
      <xdr:row>14</xdr:row>
      <xdr:rowOff>105897</xdr:rowOff>
    </xdr:to>
    <xdr:sp macro="" textlink="$J$44">
      <xdr:nvSpPr>
        <xdr:cNvPr id="121" name="TextBox 120">
          <a:extLst>
            <a:ext uri="{FF2B5EF4-FFF2-40B4-BE49-F238E27FC236}">
              <a16:creationId xmlns:a16="http://schemas.microsoft.com/office/drawing/2014/main" id="{1A523E42-5959-411B-91B2-CD5FBBDCD4BB}"/>
            </a:ext>
          </a:extLst>
        </xdr:cNvPr>
        <xdr:cNvSpPr txBox="1"/>
      </xdr:nvSpPr>
      <xdr:spPr>
        <a:xfrm>
          <a:off x="17259860" y="2770096"/>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45944</xdr:colOff>
      <xdr:row>11</xdr:row>
      <xdr:rowOff>49869</xdr:rowOff>
    </xdr:from>
    <xdr:to>
      <xdr:col>8</xdr:col>
      <xdr:colOff>1582271</xdr:colOff>
      <xdr:row>12</xdr:row>
      <xdr:rowOff>131110</xdr:rowOff>
    </xdr:to>
    <xdr:sp macro="" textlink="$J$44">
      <xdr:nvSpPr>
        <xdr:cNvPr id="122" name="TextBox 121">
          <a:extLst>
            <a:ext uri="{FF2B5EF4-FFF2-40B4-BE49-F238E27FC236}">
              <a16:creationId xmlns:a16="http://schemas.microsoft.com/office/drawing/2014/main" id="{F91187E7-1A1D-4EA5-849D-E2765865D938}"/>
            </a:ext>
          </a:extLst>
        </xdr:cNvPr>
        <xdr:cNvSpPr txBox="1"/>
      </xdr:nvSpPr>
      <xdr:spPr>
        <a:xfrm>
          <a:off x="14927356" y="2391898"/>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84044</xdr:colOff>
      <xdr:row>9</xdr:row>
      <xdr:rowOff>56032</xdr:rowOff>
    </xdr:from>
    <xdr:to>
      <xdr:col>9</xdr:col>
      <xdr:colOff>222997</xdr:colOff>
      <xdr:row>11</xdr:row>
      <xdr:rowOff>21294</xdr:rowOff>
    </xdr:to>
    <xdr:sp macro="" textlink="">
      <xdr:nvSpPr>
        <xdr:cNvPr id="123" name="TextBox 122">
          <a:extLst>
            <a:ext uri="{FF2B5EF4-FFF2-40B4-BE49-F238E27FC236}">
              <a16:creationId xmlns:a16="http://schemas.microsoft.com/office/drawing/2014/main" id="{326A35EF-CA77-49AE-B070-FA2610529BD9}"/>
            </a:ext>
          </a:extLst>
        </xdr:cNvPr>
        <xdr:cNvSpPr txBox="1"/>
      </xdr:nvSpPr>
      <xdr:spPr>
        <a:xfrm>
          <a:off x="14965456" y="1994650"/>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93569</xdr:colOff>
      <xdr:row>11</xdr:row>
      <xdr:rowOff>25411</xdr:rowOff>
    </xdr:from>
    <xdr:to>
      <xdr:col>16</xdr:col>
      <xdr:colOff>226919</xdr:colOff>
      <xdr:row>11</xdr:row>
      <xdr:rowOff>40344</xdr:rowOff>
    </xdr:to>
    <xdr:cxnSp macro="">
      <xdr:nvCxnSpPr>
        <xdr:cNvPr id="124" name="Straight Connector 123">
          <a:extLst>
            <a:ext uri="{FF2B5EF4-FFF2-40B4-BE49-F238E27FC236}">
              <a16:creationId xmlns:a16="http://schemas.microsoft.com/office/drawing/2014/main" id="{06F86255-B5A1-4161-A507-6DE598D64103}"/>
            </a:ext>
          </a:extLst>
        </xdr:cNvPr>
        <xdr:cNvCxnSpPr/>
      </xdr:nvCxnSpPr>
      <xdr:spPr>
        <a:xfrm flipV="1">
          <a:off x="14974981" y="2367440"/>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13</xdr:row>
      <xdr:rowOff>24655</xdr:rowOff>
    </xdr:from>
    <xdr:to>
      <xdr:col>11</xdr:col>
      <xdr:colOff>1114424</xdr:colOff>
      <xdr:row>14</xdr:row>
      <xdr:rowOff>105897</xdr:rowOff>
    </xdr:to>
    <xdr:sp macro="" textlink="$J$44">
      <xdr:nvSpPr>
        <xdr:cNvPr id="125" name="TextBox 124">
          <a:extLst>
            <a:ext uri="{FF2B5EF4-FFF2-40B4-BE49-F238E27FC236}">
              <a16:creationId xmlns:a16="http://schemas.microsoft.com/office/drawing/2014/main" id="{E88C761D-F269-4353-B8DC-B2A6D09F5913}"/>
            </a:ext>
          </a:extLst>
        </xdr:cNvPr>
        <xdr:cNvSpPr txBox="1"/>
      </xdr:nvSpPr>
      <xdr:spPr>
        <a:xfrm>
          <a:off x="20608738"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9525</xdr:colOff>
      <xdr:row>13</xdr:row>
      <xdr:rowOff>24655</xdr:rowOff>
    </xdr:from>
    <xdr:to>
      <xdr:col>16</xdr:col>
      <xdr:colOff>427422</xdr:colOff>
      <xdr:row>14</xdr:row>
      <xdr:rowOff>105897</xdr:rowOff>
    </xdr:to>
    <xdr:sp macro="" textlink="$J$44">
      <xdr:nvSpPr>
        <xdr:cNvPr id="126" name="TextBox 125">
          <a:extLst>
            <a:ext uri="{FF2B5EF4-FFF2-40B4-BE49-F238E27FC236}">
              <a16:creationId xmlns:a16="http://schemas.microsoft.com/office/drawing/2014/main" id="{3FDD7D2E-DF03-4E15-8D64-C35336FB69E9}"/>
            </a:ext>
          </a:extLst>
        </xdr:cNvPr>
        <xdr:cNvSpPr txBox="1"/>
      </xdr:nvSpPr>
      <xdr:spPr>
        <a:xfrm>
          <a:off x="23093643" y="2770096"/>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10</xdr:col>
      <xdr:colOff>1625973</xdr:colOff>
      <xdr:row>11</xdr:row>
      <xdr:rowOff>49869</xdr:rowOff>
    </xdr:from>
    <xdr:to>
      <xdr:col>11</xdr:col>
      <xdr:colOff>1114424</xdr:colOff>
      <xdr:row>12</xdr:row>
      <xdr:rowOff>131110</xdr:rowOff>
    </xdr:to>
    <xdr:sp macro="" textlink="$J$44">
      <xdr:nvSpPr>
        <xdr:cNvPr id="127" name="TextBox 126">
          <a:extLst>
            <a:ext uri="{FF2B5EF4-FFF2-40B4-BE49-F238E27FC236}">
              <a16:creationId xmlns:a16="http://schemas.microsoft.com/office/drawing/2014/main" id="{8DD443D0-877D-4B48-A6F9-9EFB161C93B0}"/>
            </a:ext>
          </a:extLst>
        </xdr:cNvPr>
        <xdr:cNvSpPr txBox="1"/>
      </xdr:nvSpPr>
      <xdr:spPr>
        <a:xfrm>
          <a:off x="20608738"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45944</xdr:colOff>
      <xdr:row>12</xdr:row>
      <xdr:rowOff>150161</xdr:rowOff>
    </xdr:from>
    <xdr:to>
      <xdr:col>10</xdr:col>
      <xdr:colOff>825874</xdr:colOff>
      <xdr:row>12</xdr:row>
      <xdr:rowOff>150161</xdr:rowOff>
    </xdr:to>
    <xdr:cxnSp macro="">
      <xdr:nvCxnSpPr>
        <xdr:cNvPr id="128" name="Straight Connector 127">
          <a:extLst>
            <a:ext uri="{FF2B5EF4-FFF2-40B4-BE49-F238E27FC236}">
              <a16:creationId xmlns:a16="http://schemas.microsoft.com/office/drawing/2014/main" id="{593D5B16-E085-43C5-90AD-DDF60874425E}"/>
            </a:ext>
          </a:extLst>
        </xdr:cNvPr>
        <xdr:cNvCxnSpPr/>
      </xdr:nvCxnSpPr>
      <xdr:spPr>
        <a:xfrm>
          <a:off x="14927356" y="2693896"/>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12</xdr:row>
      <xdr:rowOff>150161</xdr:rowOff>
    </xdr:from>
    <xdr:to>
      <xdr:col>16</xdr:col>
      <xdr:colOff>245968</xdr:colOff>
      <xdr:row>12</xdr:row>
      <xdr:rowOff>150161</xdr:rowOff>
    </xdr:to>
    <xdr:cxnSp macro="">
      <xdr:nvCxnSpPr>
        <xdr:cNvPr id="129" name="Straight Connector 128">
          <a:extLst>
            <a:ext uri="{FF2B5EF4-FFF2-40B4-BE49-F238E27FC236}">
              <a16:creationId xmlns:a16="http://schemas.microsoft.com/office/drawing/2014/main" id="{2AB571DF-5C5B-42FD-A159-BF16300413E4}"/>
            </a:ext>
          </a:extLst>
        </xdr:cNvPr>
        <xdr:cNvCxnSpPr/>
      </xdr:nvCxnSpPr>
      <xdr:spPr>
        <a:xfrm>
          <a:off x="20608738" y="2693896"/>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45944</xdr:colOff>
      <xdr:row>24</xdr:row>
      <xdr:rowOff>101976</xdr:rowOff>
    </xdr:from>
    <xdr:to>
      <xdr:col>8</xdr:col>
      <xdr:colOff>1582271</xdr:colOff>
      <xdr:row>25</xdr:row>
      <xdr:rowOff>181537</xdr:rowOff>
    </xdr:to>
    <xdr:sp macro="" textlink="$J$44">
      <xdr:nvSpPr>
        <xdr:cNvPr id="130" name="TextBox 129">
          <a:extLst>
            <a:ext uri="{FF2B5EF4-FFF2-40B4-BE49-F238E27FC236}">
              <a16:creationId xmlns:a16="http://schemas.microsoft.com/office/drawing/2014/main" id="{0DA019AB-003E-473D-81BF-43411D2DD9F4}"/>
            </a:ext>
          </a:extLst>
        </xdr:cNvPr>
        <xdr:cNvSpPr txBox="1"/>
      </xdr:nvSpPr>
      <xdr:spPr>
        <a:xfrm>
          <a:off x="14927356" y="5066182"/>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413019</xdr:colOff>
      <xdr:row>24</xdr:row>
      <xdr:rowOff>101976</xdr:rowOff>
    </xdr:from>
    <xdr:to>
      <xdr:col>10</xdr:col>
      <xdr:colOff>940174</xdr:colOff>
      <xdr:row>25</xdr:row>
      <xdr:rowOff>181537</xdr:rowOff>
    </xdr:to>
    <xdr:sp macro="" textlink="$J$44">
      <xdr:nvSpPr>
        <xdr:cNvPr id="131" name="TextBox 130">
          <a:extLst>
            <a:ext uri="{FF2B5EF4-FFF2-40B4-BE49-F238E27FC236}">
              <a16:creationId xmlns:a16="http://schemas.microsoft.com/office/drawing/2014/main" id="{4C6F196D-619D-46FB-8FE0-04B90593A643}"/>
            </a:ext>
          </a:extLst>
        </xdr:cNvPr>
        <xdr:cNvSpPr txBox="1"/>
      </xdr:nvSpPr>
      <xdr:spPr>
        <a:xfrm>
          <a:off x="17345107" y="5066182"/>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45944</xdr:colOff>
      <xdr:row>22</xdr:row>
      <xdr:rowOff>128870</xdr:rowOff>
    </xdr:from>
    <xdr:to>
      <xdr:col>8</xdr:col>
      <xdr:colOff>1582271</xdr:colOff>
      <xdr:row>24</xdr:row>
      <xdr:rowOff>5044</xdr:rowOff>
    </xdr:to>
    <xdr:sp macro="" textlink="$J$44">
      <xdr:nvSpPr>
        <xdr:cNvPr id="132" name="TextBox 131">
          <a:extLst>
            <a:ext uri="{FF2B5EF4-FFF2-40B4-BE49-F238E27FC236}">
              <a16:creationId xmlns:a16="http://schemas.microsoft.com/office/drawing/2014/main" id="{A02BABC0-5DAF-49A3-B783-F2AFC0ADBF08}"/>
            </a:ext>
          </a:extLst>
        </xdr:cNvPr>
        <xdr:cNvSpPr txBox="1"/>
      </xdr:nvSpPr>
      <xdr:spPr>
        <a:xfrm>
          <a:off x="14927356" y="4689664"/>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45944</xdr:colOff>
      <xdr:row>16</xdr:row>
      <xdr:rowOff>118785</xdr:rowOff>
    </xdr:from>
    <xdr:ext cx="1978747" cy="254493"/>
    <xdr:sp macro="" textlink="">
      <xdr:nvSpPr>
        <xdr:cNvPr id="133" name="TextBox 132">
          <a:extLst>
            <a:ext uri="{FF2B5EF4-FFF2-40B4-BE49-F238E27FC236}">
              <a16:creationId xmlns:a16="http://schemas.microsoft.com/office/drawing/2014/main" id="{5BEAE6F4-A469-4529-BD18-DF188FC38E0C}"/>
            </a:ext>
          </a:extLst>
        </xdr:cNvPr>
        <xdr:cNvSpPr txBox="1"/>
      </xdr:nvSpPr>
      <xdr:spPr>
        <a:xfrm>
          <a:off x="1492735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84044</xdr:colOff>
      <xdr:row>20</xdr:row>
      <xdr:rowOff>135033</xdr:rowOff>
    </xdr:from>
    <xdr:to>
      <xdr:col>9</xdr:col>
      <xdr:colOff>222997</xdr:colOff>
      <xdr:row>22</xdr:row>
      <xdr:rowOff>98614</xdr:rowOff>
    </xdr:to>
    <xdr:sp macro="" textlink="">
      <xdr:nvSpPr>
        <xdr:cNvPr id="134" name="TextBox 133">
          <a:extLst>
            <a:ext uri="{FF2B5EF4-FFF2-40B4-BE49-F238E27FC236}">
              <a16:creationId xmlns:a16="http://schemas.microsoft.com/office/drawing/2014/main" id="{713370C2-2091-48AA-A49A-F396F8D6BB6A}"/>
            </a:ext>
          </a:extLst>
        </xdr:cNvPr>
        <xdr:cNvSpPr txBox="1"/>
      </xdr:nvSpPr>
      <xdr:spPr>
        <a:xfrm>
          <a:off x="14965456" y="4292415"/>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93569</xdr:colOff>
      <xdr:row>22</xdr:row>
      <xdr:rowOff>102663</xdr:rowOff>
    </xdr:from>
    <xdr:to>
      <xdr:col>16</xdr:col>
      <xdr:colOff>274544</xdr:colOff>
      <xdr:row>22</xdr:row>
      <xdr:rowOff>119345</xdr:rowOff>
    </xdr:to>
    <xdr:cxnSp macro="">
      <xdr:nvCxnSpPr>
        <xdr:cNvPr id="135" name="Straight Connector 134">
          <a:extLst>
            <a:ext uri="{FF2B5EF4-FFF2-40B4-BE49-F238E27FC236}">
              <a16:creationId xmlns:a16="http://schemas.microsoft.com/office/drawing/2014/main" id="{57950CED-40BA-47D5-92A1-594ACE6748DD}"/>
            </a:ext>
          </a:extLst>
        </xdr:cNvPr>
        <xdr:cNvCxnSpPr/>
      </xdr:nvCxnSpPr>
      <xdr:spPr>
        <a:xfrm flipV="1">
          <a:off x="14974981" y="4663457"/>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101976</xdr:rowOff>
    </xdr:from>
    <xdr:to>
      <xdr:col>11</xdr:col>
      <xdr:colOff>1114424</xdr:colOff>
      <xdr:row>25</xdr:row>
      <xdr:rowOff>181537</xdr:rowOff>
    </xdr:to>
    <xdr:sp macro="" textlink="$J$44">
      <xdr:nvSpPr>
        <xdr:cNvPr id="136" name="TextBox 135">
          <a:extLst>
            <a:ext uri="{FF2B5EF4-FFF2-40B4-BE49-F238E27FC236}">
              <a16:creationId xmlns:a16="http://schemas.microsoft.com/office/drawing/2014/main" id="{C9C942F3-303F-48CA-A130-672026B5F0BA}"/>
            </a:ext>
          </a:extLst>
        </xdr:cNvPr>
        <xdr:cNvSpPr txBox="1"/>
      </xdr:nvSpPr>
      <xdr:spPr>
        <a:xfrm>
          <a:off x="20608738"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12</xdr:col>
      <xdr:colOff>76200</xdr:colOff>
      <xdr:row>24</xdr:row>
      <xdr:rowOff>92451</xdr:rowOff>
    </xdr:from>
    <xdr:to>
      <xdr:col>16</xdr:col>
      <xdr:colOff>494097</xdr:colOff>
      <xdr:row>25</xdr:row>
      <xdr:rowOff>172012</xdr:rowOff>
    </xdr:to>
    <xdr:sp macro="" textlink="$J$44">
      <xdr:nvSpPr>
        <xdr:cNvPr id="137" name="TextBox 136">
          <a:extLst>
            <a:ext uri="{FF2B5EF4-FFF2-40B4-BE49-F238E27FC236}">
              <a16:creationId xmlns:a16="http://schemas.microsoft.com/office/drawing/2014/main" id="{AE95A3F3-6351-400B-B0B7-C591991FF9A7}"/>
            </a:ext>
          </a:extLst>
        </xdr:cNvPr>
        <xdr:cNvSpPr txBox="1"/>
      </xdr:nvSpPr>
      <xdr:spPr>
        <a:xfrm>
          <a:off x="23160318" y="5056657"/>
          <a:ext cx="2547014"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10</xdr:col>
      <xdr:colOff>1625973</xdr:colOff>
      <xdr:row>22</xdr:row>
      <xdr:rowOff>128870</xdr:rowOff>
    </xdr:from>
    <xdr:to>
      <xdr:col>11</xdr:col>
      <xdr:colOff>1114424</xdr:colOff>
      <xdr:row>24</xdr:row>
      <xdr:rowOff>5044</xdr:rowOff>
    </xdr:to>
    <xdr:sp macro="" textlink="$J$44">
      <xdr:nvSpPr>
        <xdr:cNvPr id="138" name="TextBox 137">
          <a:extLst>
            <a:ext uri="{FF2B5EF4-FFF2-40B4-BE49-F238E27FC236}">
              <a16:creationId xmlns:a16="http://schemas.microsoft.com/office/drawing/2014/main" id="{5053AE32-979E-4913-909F-0061D38A4654}"/>
            </a:ext>
          </a:extLst>
        </xdr:cNvPr>
        <xdr:cNvSpPr txBox="1"/>
      </xdr:nvSpPr>
      <xdr:spPr>
        <a:xfrm>
          <a:off x="20608738"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45944</xdr:colOff>
      <xdr:row>24</xdr:row>
      <xdr:rowOff>24095</xdr:rowOff>
    </xdr:from>
    <xdr:to>
      <xdr:col>10</xdr:col>
      <xdr:colOff>854449</xdr:colOff>
      <xdr:row>24</xdr:row>
      <xdr:rowOff>24095</xdr:rowOff>
    </xdr:to>
    <xdr:cxnSp macro="">
      <xdr:nvCxnSpPr>
        <xdr:cNvPr id="139" name="Straight Connector 138">
          <a:extLst>
            <a:ext uri="{FF2B5EF4-FFF2-40B4-BE49-F238E27FC236}">
              <a16:creationId xmlns:a16="http://schemas.microsoft.com/office/drawing/2014/main" id="{1C551705-F718-4730-98AE-F113C19CCA9B}"/>
            </a:ext>
          </a:extLst>
        </xdr:cNvPr>
        <xdr:cNvCxnSpPr/>
      </xdr:nvCxnSpPr>
      <xdr:spPr>
        <a:xfrm>
          <a:off x="14927356" y="4988301"/>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24095</xdr:rowOff>
    </xdr:from>
    <xdr:to>
      <xdr:col>16</xdr:col>
      <xdr:colOff>284068</xdr:colOff>
      <xdr:row>24</xdr:row>
      <xdr:rowOff>24095</xdr:rowOff>
    </xdr:to>
    <xdr:cxnSp macro="">
      <xdr:nvCxnSpPr>
        <xdr:cNvPr id="140" name="Straight Connector 139">
          <a:extLst>
            <a:ext uri="{FF2B5EF4-FFF2-40B4-BE49-F238E27FC236}">
              <a16:creationId xmlns:a16="http://schemas.microsoft.com/office/drawing/2014/main" id="{A957B890-811D-439D-B3C0-8C3ECDF0EF99}"/>
            </a:ext>
          </a:extLst>
        </xdr:cNvPr>
        <xdr:cNvCxnSpPr/>
      </xdr:nvCxnSpPr>
      <xdr:spPr>
        <a:xfrm>
          <a:off x="20608738" y="4988301"/>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327772</xdr:colOff>
      <xdr:row>16</xdr:row>
      <xdr:rowOff>118785</xdr:rowOff>
    </xdr:from>
    <xdr:ext cx="1978747" cy="254493"/>
    <xdr:sp macro="" textlink="">
      <xdr:nvSpPr>
        <xdr:cNvPr id="141" name="TextBox 140">
          <a:extLst>
            <a:ext uri="{FF2B5EF4-FFF2-40B4-BE49-F238E27FC236}">
              <a16:creationId xmlns:a16="http://schemas.microsoft.com/office/drawing/2014/main" id="{35672F5B-FDA1-4729-93CE-4E5E4B0055CD}"/>
            </a:ext>
          </a:extLst>
        </xdr:cNvPr>
        <xdr:cNvSpPr txBox="1"/>
      </xdr:nvSpPr>
      <xdr:spPr>
        <a:xfrm>
          <a:off x="1725986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10</xdr:col>
      <xdr:colOff>1625973</xdr:colOff>
      <xdr:row>16</xdr:row>
      <xdr:rowOff>118785</xdr:rowOff>
    </xdr:from>
    <xdr:ext cx="1978747" cy="254493"/>
    <xdr:sp macro="" textlink="">
      <xdr:nvSpPr>
        <xdr:cNvPr id="142" name="TextBox 141">
          <a:extLst>
            <a:ext uri="{FF2B5EF4-FFF2-40B4-BE49-F238E27FC236}">
              <a16:creationId xmlns:a16="http://schemas.microsoft.com/office/drawing/2014/main" id="{EB5DC473-4D15-45DE-B500-7AA129D4879C}"/>
            </a:ext>
          </a:extLst>
        </xdr:cNvPr>
        <xdr:cNvSpPr txBox="1"/>
      </xdr:nvSpPr>
      <xdr:spPr>
        <a:xfrm>
          <a:off x="20608738"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9525</xdr:colOff>
      <xdr:row>16</xdr:row>
      <xdr:rowOff>118785</xdr:rowOff>
    </xdr:from>
    <xdr:ext cx="1978747" cy="254493"/>
    <xdr:sp macro="" textlink="">
      <xdr:nvSpPr>
        <xdr:cNvPr id="143" name="TextBox 142">
          <a:extLst>
            <a:ext uri="{FF2B5EF4-FFF2-40B4-BE49-F238E27FC236}">
              <a16:creationId xmlns:a16="http://schemas.microsoft.com/office/drawing/2014/main" id="{553A661D-9D5D-469E-A8C5-CCD6D3B7F8A3}"/>
            </a:ext>
          </a:extLst>
        </xdr:cNvPr>
        <xdr:cNvSpPr txBox="1"/>
      </xdr:nvSpPr>
      <xdr:spPr>
        <a:xfrm>
          <a:off x="23093643"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45944</xdr:colOff>
      <xdr:row>28</xdr:row>
      <xdr:rowOff>87969</xdr:rowOff>
    </xdr:from>
    <xdr:ext cx="1978747" cy="254493"/>
    <xdr:sp macro="" textlink="">
      <xdr:nvSpPr>
        <xdr:cNvPr id="144" name="TextBox 143">
          <a:extLst>
            <a:ext uri="{FF2B5EF4-FFF2-40B4-BE49-F238E27FC236}">
              <a16:creationId xmlns:a16="http://schemas.microsoft.com/office/drawing/2014/main" id="{E0FE7C28-F96F-4355-A72F-E3EE4FDE5F93}"/>
            </a:ext>
          </a:extLst>
        </xdr:cNvPr>
        <xdr:cNvSpPr txBox="1"/>
      </xdr:nvSpPr>
      <xdr:spPr>
        <a:xfrm>
          <a:off x="1492735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9</xdr:col>
      <xdr:colOff>337297</xdr:colOff>
      <xdr:row>28</xdr:row>
      <xdr:rowOff>87969</xdr:rowOff>
    </xdr:from>
    <xdr:ext cx="1978747" cy="254493"/>
    <xdr:sp macro="" textlink="">
      <xdr:nvSpPr>
        <xdr:cNvPr id="145" name="TextBox 144">
          <a:extLst>
            <a:ext uri="{FF2B5EF4-FFF2-40B4-BE49-F238E27FC236}">
              <a16:creationId xmlns:a16="http://schemas.microsoft.com/office/drawing/2014/main" id="{909997E3-9706-4CF2-ADF6-6A2F31B395A2}"/>
            </a:ext>
          </a:extLst>
        </xdr:cNvPr>
        <xdr:cNvSpPr txBox="1"/>
      </xdr:nvSpPr>
      <xdr:spPr>
        <a:xfrm>
          <a:off x="1726938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10</xdr:col>
      <xdr:colOff>1625973</xdr:colOff>
      <xdr:row>28</xdr:row>
      <xdr:rowOff>87969</xdr:rowOff>
    </xdr:from>
    <xdr:ext cx="1978747" cy="254493"/>
    <xdr:sp macro="" textlink="">
      <xdr:nvSpPr>
        <xdr:cNvPr id="146" name="TextBox 145">
          <a:extLst>
            <a:ext uri="{FF2B5EF4-FFF2-40B4-BE49-F238E27FC236}">
              <a16:creationId xmlns:a16="http://schemas.microsoft.com/office/drawing/2014/main" id="{501ACC80-136B-4033-BB9E-6965D0E7FC12}"/>
            </a:ext>
          </a:extLst>
        </xdr:cNvPr>
        <xdr:cNvSpPr txBox="1"/>
      </xdr:nvSpPr>
      <xdr:spPr>
        <a:xfrm>
          <a:off x="20608738"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76200</xdr:colOff>
      <xdr:row>28</xdr:row>
      <xdr:rowOff>78444</xdr:rowOff>
    </xdr:from>
    <xdr:ext cx="1978747" cy="254493"/>
    <xdr:sp macro="" textlink="">
      <xdr:nvSpPr>
        <xdr:cNvPr id="147" name="TextBox 146">
          <a:extLst>
            <a:ext uri="{FF2B5EF4-FFF2-40B4-BE49-F238E27FC236}">
              <a16:creationId xmlns:a16="http://schemas.microsoft.com/office/drawing/2014/main" id="{A366835D-14D3-4260-8FCF-4521760D197F}"/>
            </a:ext>
          </a:extLst>
        </xdr:cNvPr>
        <xdr:cNvSpPr txBox="1"/>
      </xdr:nvSpPr>
      <xdr:spPr>
        <a:xfrm>
          <a:off x="23160318" y="5849473"/>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365872</xdr:colOff>
      <xdr:row>26</xdr:row>
      <xdr:rowOff>8407</xdr:rowOff>
    </xdr:from>
    <xdr:to>
      <xdr:col>10</xdr:col>
      <xdr:colOff>273424</xdr:colOff>
      <xdr:row>28</xdr:row>
      <xdr:rowOff>158005</xdr:rowOff>
    </xdr:to>
    <xdr:sp macro="" textlink="$J$55">
      <xdr:nvSpPr>
        <xdr:cNvPr id="148" name="TextBox 147">
          <a:extLst>
            <a:ext uri="{FF2B5EF4-FFF2-40B4-BE49-F238E27FC236}">
              <a16:creationId xmlns:a16="http://schemas.microsoft.com/office/drawing/2014/main" id="{6D21AB22-5675-4795-A71A-43DB36D24CCB}"/>
            </a:ext>
          </a:extLst>
        </xdr:cNvPr>
        <xdr:cNvSpPr txBox="1"/>
      </xdr:nvSpPr>
      <xdr:spPr>
        <a:xfrm>
          <a:off x="17297960" y="5376025"/>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CB7BF3CE-0316-4BA7-A0BD-943D37538344}"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12</xdr:col>
      <xdr:colOff>66674</xdr:colOff>
      <xdr:row>26</xdr:row>
      <xdr:rowOff>27457</xdr:rowOff>
    </xdr:from>
    <xdr:to>
      <xdr:col>15</xdr:col>
      <xdr:colOff>498101</xdr:colOff>
      <xdr:row>28</xdr:row>
      <xdr:rowOff>129430</xdr:rowOff>
    </xdr:to>
    <xdr:sp macro="" textlink="$K$55">
      <xdr:nvSpPr>
        <xdr:cNvPr id="149" name="TextBox 148">
          <a:extLst>
            <a:ext uri="{FF2B5EF4-FFF2-40B4-BE49-F238E27FC236}">
              <a16:creationId xmlns:a16="http://schemas.microsoft.com/office/drawing/2014/main" id="{B797EABB-6975-451A-A50B-63C69175BAE7}"/>
            </a:ext>
          </a:extLst>
        </xdr:cNvPr>
        <xdr:cNvSpPr txBox="1"/>
      </xdr:nvSpPr>
      <xdr:spPr>
        <a:xfrm>
          <a:off x="23150792" y="5395075"/>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0191ECC-A3E9-4A88-BA70-A94CDD98CFD4}"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3</xdr:col>
      <xdr:colOff>1056715</xdr:colOff>
      <xdr:row>5</xdr:row>
      <xdr:rowOff>148481</xdr:rowOff>
    </xdr:from>
    <xdr:to>
      <xdr:col>4</xdr:col>
      <xdr:colOff>551890</xdr:colOff>
      <xdr:row>7</xdr:row>
      <xdr:rowOff>127190</xdr:rowOff>
    </xdr:to>
    <xdr:sp macro="" textlink="">
      <xdr:nvSpPr>
        <xdr:cNvPr id="150" name="TextBox 149">
          <a:extLst>
            <a:ext uri="{FF2B5EF4-FFF2-40B4-BE49-F238E27FC236}">
              <a16:creationId xmlns:a16="http://schemas.microsoft.com/office/drawing/2014/main" id="{4FAAC798-3702-4E1F-B3A5-37D62A165ADA}"/>
            </a:ext>
          </a:extLst>
        </xdr:cNvPr>
        <xdr:cNvSpPr txBox="1"/>
      </xdr:nvSpPr>
      <xdr:spPr>
        <a:xfrm>
          <a:off x="3734921" y="1280275"/>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Liveweight sold</a:t>
          </a:r>
        </a:p>
      </xdr:txBody>
    </xdr:sp>
    <xdr:clientData/>
  </xdr:twoCellAnchor>
  <xdr:twoCellAnchor editAs="oneCell">
    <xdr:from>
      <xdr:col>3</xdr:col>
      <xdr:colOff>104216</xdr:colOff>
      <xdr:row>4</xdr:row>
      <xdr:rowOff>127749</xdr:rowOff>
    </xdr:from>
    <xdr:to>
      <xdr:col>3</xdr:col>
      <xdr:colOff>945470</xdr:colOff>
      <xdr:row>8</xdr:row>
      <xdr:rowOff>114864</xdr:rowOff>
    </xdr:to>
    <xdr:pic>
      <xdr:nvPicPr>
        <xdr:cNvPr id="151" name="Picture 150">
          <a:extLst>
            <a:ext uri="{FF2B5EF4-FFF2-40B4-BE49-F238E27FC236}">
              <a16:creationId xmlns:a16="http://schemas.microsoft.com/office/drawing/2014/main" id="{87B3CDEE-84F8-4C4F-9819-68D7813DE7B3}"/>
            </a:ext>
          </a:extLst>
        </xdr:cNvPr>
        <xdr:cNvPicPr>
          <a:picLocks noChangeAspect="1"/>
        </xdr:cNvPicPr>
      </xdr:nvPicPr>
      <xdr:blipFill>
        <a:blip xmlns:r="http://schemas.openxmlformats.org/officeDocument/2006/relationships" r:embed="rId1"/>
        <a:stretch>
          <a:fillRect/>
        </a:stretch>
      </xdr:blipFill>
      <xdr:spPr>
        <a:xfrm>
          <a:off x="2782422" y="1057837"/>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1096496</xdr:colOff>
      <xdr:row>5</xdr:row>
      <xdr:rowOff>129431</xdr:rowOff>
    </xdr:from>
    <xdr:to>
      <xdr:col>10</xdr:col>
      <xdr:colOff>502024</xdr:colOff>
      <xdr:row>7</xdr:row>
      <xdr:rowOff>108140</xdr:rowOff>
    </xdr:to>
    <xdr:sp macro="" textlink="">
      <xdr:nvSpPr>
        <xdr:cNvPr id="152" name="TextBox 151">
          <a:extLst>
            <a:ext uri="{FF2B5EF4-FFF2-40B4-BE49-F238E27FC236}">
              <a16:creationId xmlns:a16="http://schemas.microsoft.com/office/drawing/2014/main" id="{22A64615-A9A4-4B7F-8E54-00964343F931}"/>
            </a:ext>
          </a:extLst>
        </xdr:cNvPr>
        <xdr:cNvSpPr txBox="1"/>
      </xdr:nvSpPr>
      <xdr:spPr>
        <a:xfrm>
          <a:off x="15977908" y="1261225"/>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8</xdr:col>
      <xdr:colOff>86880</xdr:colOff>
      <xdr:row>4</xdr:row>
      <xdr:rowOff>89650</xdr:rowOff>
    </xdr:from>
    <xdr:to>
      <xdr:col>8</xdr:col>
      <xdr:colOff>1014522</xdr:colOff>
      <xdr:row>8</xdr:row>
      <xdr:rowOff>162488</xdr:rowOff>
    </xdr:to>
    <xdr:pic>
      <xdr:nvPicPr>
        <xdr:cNvPr id="153" name="Picture 152">
          <a:extLst>
            <a:ext uri="{FF2B5EF4-FFF2-40B4-BE49-F238E27FC236}">
              <a16:creationId xmlns:a16="http://schemas.microsoft.com/office/drawing/2014/main" id="{778A5294-029E-4960-AF2B-639326DC3A3D}"/>
            </a:ext>
          </a:extLst>
        </xdr:cNvPr>
        <xdr:cNvPicPr>
          <a:picLocks noChangeAspect="1"/>
        </xdr:cNvPicPr>
      </xdr:nvPicPr>
      <xdr:blipFill>
        <a:blip xmlns:r="http://schemas.openxmlformats.org/officeDocument/2006/relationships" r:embed="rId2"/>
        <a:stretch>
          <a:fillRect/>
        </a:stretch>
      </xdr:blipFill>
      <xdr:spPr>
        <a:xfrm flipH="1">
          <a:off x="14968292" y="1019738"/>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DCB4F47-E0B8-43BA-B35F-6F6329043C3F}"/>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m:t>
                        </m:r>
                      </m:sub>
                    </m:sSub>
                    <m:r>
                      <a:rPr lang="en-AU" sz="1000" i="1">
                        <a:latin typeface="Cambria Math" panose="02040503050406030204" pitchFamily="18" charset="0"/>
                      </a:rPr>
                      <m:t>=20.7×</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9DCB4F47-E0B8-43BA-B35F-6F6329043C3F}"/>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𝑀_𝑗𝑘𝑙=20.7×𝐼_𝑗𝑘𝑙×10^(−3)</a:t>
              </a:r>
              <a:endParaRPr lang="en-AU" sz="10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110EE2D-3A60-4DEE-BE86-6A0EA340C03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E110EE2D-3A60-4DEE-BE86-6A0EA340C03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𝑀𝐴_(𝑗𝑘=4,5)=(𝐿𝐶_(𝑗𝑘=4,5)×𝐹𝐴_(𝑗𝑘=4,5) )+(1−𝐿𝐶_(𝑗𝑘=4,5) )</a:t>
              </a:r>
              <a:endParaRPr lang="en-AU" sz="10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5BE5600-A756-43D7-A54A-03C0CBD233DC}"/>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r>
                              <a:rPr lang="en-AU" sz="1000" i="1">
                                <a:latin typeface="Cambria Math" panose="02040503050406030204" pitchFamily="18" charset="0"/>
                              </a:rPr>
                              <m:t>+0.315×</m:t>
                            </m:r>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F5BE5600-A756-43D7-A54A-03C0CBD233DC}"/>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𝐼_𝑗𝑘𝑙=(1.185+0.00454×𝑊_𝑗𝑘𝑙−0.0000026×𝑊_𝑗𝑘𝑙^2+0.315×𝐿𝑊𝐺_𝑗𝑘𝑙 )^2×𝑀𝐴_(𝑗𝑘=4,5)</a:t>
              </a:r>
              <a:endParaRPr lang="en-AU" sz="10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796F561-4D93-47E0-ACA6-D7EB24FE7774}"/>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𝑒𝑛𝑡𝑒𝑟𝑖𝑐</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2796F561-4D93-47E0-ACA6-D7EB24FE7774}"/>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𝐸_𝑒𝑛𝑡𝑒𝑟𝑖𝑐=∑_𝑗▒∑_𝑘▒∑_𝑙▒(𝐷_𝑗×𝑀_𝑗𝑘𝑙×𝑁_𝑗𝑘𝑙 ) ×10^(−3)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697A6E8-B473-4D61-885F-853CA960A30C}"/>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𝑗𝑘𝑙</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0.04×</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𝐴</m:t>
                        </m:r>
                      </m:e>
                    </m:d>
                  </m:oMath>
                </m:oMathPara>
              </a14:m>
              <a:endParaRPr lang="en-AU" sz="1000"/>
            </a:p>
          </xdr:txBody>
        </xdr:sp>
      </mc:Choice>
      <mc:Fallback xmlns="">
        <xdr:sp macro="" textlink="">
          <xdr:nvSpPr>
            <xdr:cNvPr id="2" name="TextBox 1">
              <a:extLst>
                <a:ext uri="{FF2B5EF4-FFF2-40B4-BE49-F238E27FC236}">
                  <a16:creationId xmlns:a16="http://schemas.microsoft.com/office/drawing/2014/main" id="{E697A6E8-B473-4D61-885F-853CA960A30C}"/>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𝑉𝑆_𝑗𝑘𝑙=(𝐼_𝑗𝑘𝑙×(1−𝐷𝑀𝐷_𝑗𝑘𝑙 )+(0.04×𝐼_𝑗𝑘𝑙 ))×(1−𝐴)</a:t>
              </a:r>
              <a:endParaRPr lang="en-AU" sz="10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91DF9FF-5D80-48F0-AB17-726F3A4BCE8C}"/>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891DF9FF-5D80-48F0-AB17-726F3A4BCE8C}"/>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𝑀𝐴_(𝑗𝑘=4,5)=(𝐿𝐶_(𝑗𝑘=4,5)×𝐹𝐴_(𝑗𝑘=4,5) )+(1−𝐿𝐶_(𝑗𝑘=4,5) )</a:t>
              </a:r>
              <a:endParaRPr lang="en-AU" sz="10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1A5B970-BC2E-4668-8946-4C3E5509F654}"/>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r>
                              <a:rPr lang="en-AU" sz="1000" i="1">
                                <a:latin typeface="Cambria Math" panose="02040503050406030204" pitchFamily="18" charset="0"/>
                              </a:rPr>
                              <m:t>+0.315×</m:t>
                            </m:r>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D1A5B970-BC2E-4668-8946-4C3E5509F654}"/>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𝐼_𝑗𝑘𝑙=(1.185+0.00454×𝑊_𝑗𝑘𝑙−0.0000026×𝑊_𝑗𝑘𝑙^2+0.315×𝐿𝑊𝐺_𝑗𝑘𝑙 )^2×𝑀𝐴_(𝑗𝑘=4,5)</a:t>
              </a:r>
              <a:endParaRPr lang="en-AU" sz="10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04D2080-B7AF-4EC5-886C-29D4C4368F9C}"/>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𝑗𝑘𝑙𝑚</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𝐵</m:t>
                        </m:r>
                      </m:e>
                      <m:sub>
                        <m:r>
                          <a:rPr lang="en-AU" sz="1000" i="1">
                            <a:latin typeface="Cambria Math" panose="02040503050406030204" pitchFamily="18" charset="0"/>
                          </a:rPr>
                          <m:t>𝑜</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5" name="TextBox 4">
              <a:extLst>
                <a:ext uri="{FF2B5EF4-FFF2-40B4-BE49-F238E27FC236}">
                  <a16:creationId xmlns:a16="http://schemas.microsoft.com/office/drawing/2014/main" id="{C04D2080-B7AF-4EC5-886C-29D4C4368F9C}"/>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𝑀_𝑗𝑘𝑙𝑚=𝑉𝑆_𝑗𝑘𝑙×𝐵_𝑜×𝑀𝑀𝑆_𝑚×𝑀𝐶𝐹_𝑖𝑚×𝜌</a:t>
              </a:r>
              <a:endParaRPr lang="en-AU" sz="10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1D99AA9-2103-4F8F-9B8B-EBD099104DDB}"/>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C1D99AA9-2103-4F8F-9B8B-EBD099104DDB}"/>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𝐸_𝐶𝐻4=∑_𝑗▒∑_𝑘▒∑_𝑙▒∑_𝑚▒(𝑁_𝑗𝑘𝑙×𝑀_𝑗𝑘𝑙𝑚×𝐷_𝑗 ) ×10^(−3)</a:t>
              </a:r>
              <a:endParaRPr lang="en-AU" sz="10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C367B1A-F5A3-4C69-B1CA-D277879ACEFA}"/>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𝑝𝑟𝑒𝑣</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𝑎𝑓𝑡𝑒𝑟</m:t>
                                </m:r>
                              </m:sub>
                            </m:sSub>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r>
                              <a:rPr lang="en-AU" sz="1000" i="1">
                                <a:latin typeface="Cambria Math" panose="02040503050406030204" pitchFamily="18" charset="0"/>
                              </a:rPr>
                              <m:t>+</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𝑝𝑟𝑒𝑣</m:t>
                                </m:r>
                              </m:sub>
                            </m:sSub>
                          </m:e>
                        </m:d>
                      </m:e>
                    </m:d>
                  </m:oMath>
                </m:oMathPara>
              </a14:m>
              <a:endParaRPr lang="en-AU" sz="1000"/>
            </a:p>
          </xdr:txBody>
        </xdr:sp>
      </mc:Choice>
      <mc:Fallback xmlns="">
        <xdr:sp macro="" textlink="">
          <xdr:nvSpPr>
            <xdr:cNvPr id="7" name="TextBox 6">
              <a:extLst>
                <a:ext uri="{FF2B5EF4-FFF2-40B4-BE49-F238E27FC236}">
                  <a16:creationId xmlns:a16="http://schemas.microsoft.com/office/drawing/2014/main" id="{8C367B1A-F5A3-4C69-B1CA-D277879ACEFA}"/>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FBD5436-8DDA-4A14-A1BC-BB381FD2A3B6}"/>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𝑗𝑘𝑙</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num>
                      <m:den>
                        <m:r>
                          <a:rPr lang="en-AU" sz="1000" i="1">
                            <a:latin typeface="Cambria Math" panose="02040503050406030204" pitchFamily="18" charset="0"/>
                          </a:rPr>
                          <m:t>𝑆𝑅</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𝑘</m:t>
                            </m:r>
                          </m:sub>
                        </m:sSub>
                      </m:den>
                    </m:f>
                  </m:oMath>
                </m:oMathPara>
              </a14:m>
              <a:endParaRPr lang="en-AU" sz="1000"/>
            </a:p>
          </xdr:txBody>
        </xdr:sp>
      </mc:Choice>
      <mc:Fallback xmlns="">
        <xdr:sp macro="" textlink="">
          <xdr:nvSpPr>
            <xdr:cNvPr id="2" name="TextBox 1">
              <a:extLst>
                <a:ext uri="{FF2B5EF4-FFF2-40B4-BE49-F238E27FC236}">
                  <a16:creationId xmlns:a16="http://schemas.microsoft.com/office/drawing/2014/main" id="{DFBD5436-8DDA-4A14-A1BC-BB381FD2A3B6}"/>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𝑍_𝑗𝑘𝑙=𝑊_𝑗𝑘𝑙/(𝑆𝑅𝑊_𝑘 )</a:t>
              </a:r>
              <a:endParaRPr lang="en-AU" sz="10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04C6ECC-D6EF-4E38-92B8-FD91A0B3AE8B}"/>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num>
                      <m:den>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e>
                            </m:d>
                          </m:e>
                          <m:sup>
                            <m:r>
                              <a:rPr lang="en-AU" sz="1000" i="1">
                                <a:latin typeface="Cambria Math" panose="02040503050406030204" pitchFamily="18" charset="0"/>
                              </a:rPr>
                              <m:t>2</m:t>
                            </m:r>
                          </m:sup>
                        </m:sSup>
                      </m:den>
                    </m:f>
                  </m:oMath>
                </m:oMathPara>
              </a14:m>
              <a:endParaRPr lang="en-AU" sz="1000"/>
            </a:p>
          </xdr:txBody>
        </xdr:sp>
      </mc:Choice>
      <mc:Fallback xmlns="">
        <xdr:sp macro="" textlink="">
          <xdr:nvSpPr>
            <xdr:cNvPr id="3" name="TextBox 2">
              <a:extLst>
                <a:ext uri="{FF2B5EF4-FFF2-40B4-BE49-F238E27FC236}">
                  <a16:creationId xmlns:a16="http://schemas.microsoft.com/office/drawing/2014/main" id="{904C6ECC-D6EF-4E38-92B8-FD91A0B3AE8B}"/>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𝐿_𝑗𝑘𝑙=𝐼_𝑗𝑘𝑙/(1.185+0.00454×𝑊_𝑗𝑘𝑙−0.0000026×𝑊_𝑗𝑘𝑙^2 )^2 </a:t>
              </a:r>
              <a:endParaRPr lang="en-AU" sz="10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7A5401C-D2D4-4D1E-8D52-67E60FE39BD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F7A5401C-D2D4-4D1E-8D52-67E60FE39BD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𝑀𝑃_(𝑗𝑘=5)=𝐿𝐶_(𝑗𝑘=5)×𝐷𝑀𝑃_(𝑗𝑘=5)</a:t>
              </a:r>
              <a:endParaRPr lang="en-AU" sz="10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A2DF1D8-F9C6-4E43-B456-6020238B48E5}"/>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0.032×</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÷6.38</m:t>
                        </m:r>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begChr m:val="{"/>
                            <m:endChr m:val="}"/>
                            <m:ctrlPr>
                              <a:rPr lang="en-AU" sz="1000" i="1">
                                <a:latin typeface="Cambria Math" panose="02040503050406030204" pitchFamily="18" charset="0"/>
                              </a:rPr>
                            </m:ctrlPr>
                          </m:dPr>
                          <m:e>
                            <m:r>
                              <a:rPr lang="en-AU" sz="1000" i="1">
                                <a:latin typeface="Cambria Math" panose="02040503050406030204" pitchFamily="18" charset="0"/>
                              </a:rPr>
                              <m:t>0.212−0.008×</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−2</m:t>
                                </m:r>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f>
                                  <m:fPr>
                                    <m:ctrlPr>
                                      <a:rPr lang="en-AU" sz="1000" i="1">
                                        <a:latin typeface="Cambria Math" panose="02040503050406030204" pitchFamily="18" charset="0"/>
                                      </a:rPr>
                                    </m:ctrlPr>
                                  </m:fPr>
                                  <m:num>
                                    <m:r>
                                      <a:rPr lang="en-AU" sz="1000" i="1">
                                        <a:latin typeface="Cambria Math" panose="02040503050406030204" pitchFamily="18" charset="0"/>
                                      </a:rPr>
                                      <m:t>0.140−0.008×</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−2</m:t>
                                        </m:r>
                                      </m:e>
                                    </m:d>
                                  </m:num>
                                  <m:den>
                                    <m:r>
                                      <a:rPr lang="en-AU" sz="1000" i="1">
                                        <a:latin typeface="Cambria Math" panose="02040503050406030204" pitchFamily="18" charset="0"/>
                                      </a:rPr>
                                      <m:t>1+</m:t>
                                    </m:r>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d>
                                          <m:dPr>
                                            <m:ctrlPr>
                                              <a:rPr lang="en-AU" sz="1000" i="1">
                                                <a:latin typeface="Cambria Math" panose="02040503050406030204" pitchFamily="18" charset="0"/>
                                              </a:rPr>
                                            </m:ctrlPr>
                                          </m:dPr>
                                          <m:e>
                                            <m:r>
                                              <a:rPr lang="en-AU" sz="1000" i="1">
                                                <a:latin typeface="Cambria Math" panose="02040503050406030204" pitchFamily="18" charset="0"/>
                                              </a:rPr>
                                              <m:t>−6×</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𝑗𝑘𝑙</m:t>
                                                    </m:r>
                                                  </m:sub>
                                                </m:sSub>
                                                <m:r>
                                                  <a:rPr lang="en-AU" sz="1000" i="1">
                                                    <a:latin typeface="Cambria Math" panose="02040503050406030204" pitchFamily="18" charset="0"/>
                                                  </a:rPr>
                                                  <m:t>−0.4</m:t>
                                                </m:r>
                                              </m:e>
                                            </m:d>
                                          </m:e>
                                        </m:d>
                                      </m:sup>
                                    </m:sSup>
                                  </m:den>
                                </m:f>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r>
                              <a:rPr lang="en-AU" sz="1000" i="1">
                                <a:latin typeface="Cambria Math" panose="02040503050406030204" pitchFamily="18" charset="0"/>
                              </a:rPr>
                              <m:t>×0.92</m:t>
                            </m:r>
                          </m:e>
                        </m:d>
                      </m:e>
                    </m:d>
                    <m:r>
                      <a:rPr lang="en-AU" sz="1000" i="1">
                        <a:latin typeface="Cambria Math" panose="02040503050406030204" pitchFamily="18" charset="0"/>
                      </a:rPr>
                      <m:t>÷6.25</m:t>
                    </m:r>
                  </m:oMath>
                </m:oMathPara>
              </a14:m>
              <a:endParaRPr lang="en-AU" sz="1000"/>
            </a:p>
          </xdr:txBody>
        </xdr:sp>
      </mc:Choice>
      <mc:Fallback xmlns="">
        <xdr:sp macro="" textlink="">
          <xdr:nvSpPr>
            <xdr:cNvPr id="5" name="TextBox 4">
              <a:extLst>
                <a:ext uri="{FF2B5EF4-FFF2-40B4-BE49-F238E27FC236}">
                  <a16:creationId xmlns:a16="http://schemas.microsoft.com/office/drawing/2014/main" id="{EA2DF1D8-F9C6-4E43-B456-6020238B48E5}"/>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𝑁𝑅_𝑗𝑘𝑙=(0.032×𝑀𝑃_(𝑗𝑘=5)÷6.38)+{{0.212−0.008×(𝐿_𝑗𝑘𝑙−2)−[(0.140−0.008×(𝐿_𝑗𝑘𝑙−2))/(1+𝑒^((−6×(𝑍_𝑗𝑘𝑙−0.4)) ) )]}×(𝐿𝑊𝐺_𝑗𝑘𝑙×0.92)}÷6.25</a:t>
              </a:r>
              <a:endParaRPr lang="en-AU" sz="10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E35277A-B322-49A2-9BD4-A770210C3F6C}"/>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÷6.25</m:t>
                        </m:r>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0.032×</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=1,3,6</m:t>
                            </m:r>
                          </m:sub>
                        </m:sSub>
                        <m:r>
                          <a:rPr lang="en-AU" sz="1000" i="1">
                            <a:latin typeface="Cambria Math" panose="02040503050406030204" pitchFamily="18" charset="0"/>
                          </a:rPr>
                          <m:t>÷6.38</m:t>
                        </m:r>
                      </m:e>
                    </m:d>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1.1×</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−4</m:t>
                                </m:r>
                              </m:sup>
                            </m:sSup>
                            <m:r>
                              <a:rPr lang="en-AU" sz="1000" i="1">
                                <a:latin typeface="Cambria Math" panose="02040503050406030204" pitchFamily="18" charset="0"/>
                              </a:rPr>
                              <m:t>×</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0.75</m:t>
                                </m:r>
                              </m:sup>
                            </m:sSubSup>
                          </m:e>
                        </m:d>
                        <m:r>
                          <a:rPr lang="en-AU" sz="1000" i="1">
                            <a:latin typeface="Cambria Math" panose="02040503050406030204" pitchFamily="18" charset="0"/>
                          </a:rPr>
                          <m:t>÷6.25</m:t>
                        </m:r>
                      </m:e>
                    </m:d>
                  </m:oMath>
                </m:oMathPara>
              </a14:m>
              <a:endParaRPr lang="en-AU" sz="1000"/>
            </a:p>
          </xdr:txBody>
        </xdr:sp>
      </mc:Choice>
      <mc:Fallback xmlns="">
        <xdr:sp macro="" textlink="">
          <xdr:nvSpPr>
            <xdr:cNvPr id="6" name="TextBox 5">
              <a:extLst>
                <a:ext uri="{FF2B5EF4-FFF2-40B4-BE49-F238E27FC236}">
                  <a16:creationId xmlns:a16="http://schemas.microsoft.com/office/drawing/2014/main" id="{3E35277A-B322-49A2-9BD4-A770210C3F6C}"/>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𝑁𝐸_𝑗𝑘𝑙=(𝐼_𝑗𝑘𝑙×𝐶𝑃_𝑗÷6.25)+(0.032×𝑀𝐶_(𝑗𝑘=1,3,6)÷6.38)−𝑁𝑅_𝑗𝑘𝑙−[(1.1×10^(−4)×𝑊_𝑗𝑘𝑙^0.75 )÷6.25]</a:t>
              </a:r>
              <a:endParaRPr lang="en-AU" sz="10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77B9712-D979-41D6-BEF2-D056CE628CB7}"/>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𝐴𝐸</m:t>
                    </m:r>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e>
                            </m:nary>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377B9712-D979-41D6-BEF2-D056CE628CB7}"/>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𝐴𝐸=∑_𝑗▒∑_𝑘▒∑_𝑙▒(𝑁_𝑗𝑘𝑙×𝑁𝐸_𝑗𝑘𝑙×𝐷_𝑗 ) </a:t>
              </a:r>
              <a:endParaRPr lang="en-AU" sz="10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8D6FF68-367F-485F-8ECA-A8BEA79A713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𝑃𝑅𝑃</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28D6FF68-367F-485F-8ECA-A8BEA79A713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𝐸_(𝑁2𝑂,𝑑𝑖𝑟)=𝐴𝐸×𝐸𝐹_𝑃𝑅𝑃×𝐶_𝑁2𝑂×10^(−3)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BAA006-6C48-45A7-A33B-BC415E35E790}"/>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𝐹𝑟𝑎𝑐𝐺𝐴𝑆𝑀𝑠𝑜𝑖𝑙</m:t>
                    </m:r>
                  </m:oMath>
                </m:oMathPara>
              </a14:m>
              <a:endParaRPr lang="en-AU" sz="1000"/>
            </a:p>
          </xdr:txBody>
        </xdr:sp>
      </mc:Choice>
      <mc:Fallback xmlns="">
        <xdr:sp macro="" textlink="">
          <xdr:nvSpPr>
            <xdr:cNvPr id="2" name="TextBox 1">
              <a:extLst>
                <a:ext uri="{FF2B5EF4-FFF2-40B4-BE49-F238E27FC236}">
                  <a16:creationId xmlns:a16="http://schemas.microsoft.com/office/drawing/2014/main" id="{EFBAA006-6C48-45A7-A33B-BC415E35E790}"/>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𝑀_𝑣𝑜𝑙=𝐴𝐸×𝐹𝑟𝑎𝑐𝐺𝐴𝑆𝑀𝑠𝑜𝑖𝑙</a:t>
              </a:r>
              <a:endParaRPr lang="en-AU" sz="10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1105853-CA49-4079-9A0D-02ECB08A70E0}"/>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41105853-CA49-4079-9A0D-02ECB08A70E0}"/>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𝐸_(𝑁2𝑂,𝑎𝑑)=𝑀_𝑣𝑜𝑙×𝐸𝐹_𝑁2𝑂×𝐶_𝑁2𝑂×10^(−3)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7745645-EC48-431F-A0C8-E1F40227693C}"/>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𝐹𝑟𝑎𝑐𝑊𝑒𝑡</m:t>
                    </m:r>
                    <m:r>
                      <a:rPr lang="en-AU" sz="1000" i="1">
                        <a:latin typeface="Cambria Math" panose="02040503050406030204" pitchFamily="18" charset="0"/>
                      </a:rPr>
                      <m:t>×</m:t>
                    </m:r>
                    <m:r>
                      <a:rPr lang="en-AU" sz="1000" i="1">
                        <a:latin typeface="Cambria Math" panose="02040503050406030204" pitchFamily="18" charset="0"/>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F7745645-EC48-431F-A0C8-E1F40227693C}"/>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𝑀_𝑙𝑒𝑎𝑐ℎ=𝐴𝐸×𝐹𝑟𝑎𝑐𝑊𝑒𝑡×𝐹𝑟𝑎𝑐𝐿𝐸𝐴𝐶𝐻</a:t>
              </a:r>
              <a:endParaRPr lang="en-AU" sz="10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BBC21CE-6DE6-4371-81D6-D3FA8F8D8872}"/>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7BBC21CE-6DE6-4371-81D6-D3FA8F8D8872}"/>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𝐸_(𝑁2𝑂,𝑙𝑒𝑎𝑐ℎ)=𝑀_𝑙𝑒𝑎𝑐ℎ×𝐸𝐹_𝑙𝑒𝑎𝑐ℎ×𝐶_𝑁2𝑂×10^(−3)</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DC01A9A-0476-4130-B6CB-961DE97F06F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5DC01A9A-0476-4130-B6CB-961DE97F06F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7427B03-3C55-4C22-A208-282B94988CF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77427B03-3C55-4C22-A208-282B94988CF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6C230AF-F046-4877-8232-F62D8B619640}"/>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16C230AF-F046-4877-8232-F62D8B619640}"/>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AD3DAE4-0AB8-4D99-8571-FEA95153D08F}"/>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BAD3DAE4-0AB8-4D99-8571-FEA95153D08F}"/>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425E57C-8D6A-4585-927B-20D60DACB66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4425E57C-8D6A-4585-927B-20D60DACB66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C2B6464-9421-47D7-BB22-F20850E90A18}"/>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7C2B6464-9421-47D7-BB22-F20850E90A18}"/>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37DD467-B0F8-486A-BEB3-06ED04137CFF}"/>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637DD467-B0F8-486A-BEB3-06ED04137CFF}"/>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EB31912-539B-47BA-AD1E-902223785E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2EB31912-539B-47BA-AD1E-902223785E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07AEB12-D9E8-40B6-AC5F-8AE8C4B8EB4C}"/>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807AEB12-D9E8-40B6-AC5F-8AE8C4B8EB4C}"/>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2E4E2DC-9469-4C29-B43A-214A7741B3A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2E4E2DC-9469-4C29-B43A-214A7741B3A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C8C53ED-7B31-41C1-8389-C8CF09D1600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BC8C53ED-7B31-41C1-8389-C8CF09D1600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E0BDCBE-0350-4BDB-92CC-758F63FFDCE5}"/>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7E0BDCBE-0350-4BDB-92CC-758F63FFDCE5}"/>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0733D1B-7EEF-4452-B28B-916F7C37F642}"/>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90733D1B-7EEF-4452-B28B-916F7C37F642}"/>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CBB460D-AC63-4354-AA55-76844C629575}"/>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BCBB460D-AC63-4354-AA55-76844C629575}"/>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5C81429-23C1-4F5E-854A-804F57E420B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45C81429-23C1-4F5E-854A-804F57E420B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87CB686-AF2C-4770-8CB5-F6171AC3FEE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E87CB686-AF2C-4770-8CB5-F6171AC3FEE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38AA953-D041-4149-9D8D-97D3A2D8CDB7}"/>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438AA953-D041-4149-9D8D-97D3A2D8CDB7}"/>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20D8A00-61BF-4385-A30A-345588658A49}"/>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820D8A00-61BF-4385-A30A-345588658A49}"/>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3215D7D-7611-40C3-88E3-E2AD8D043FE6}"/>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𝐸</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nary>
                      <m:naryPr>
                        <m:chr m:val="∑"/>
                        <m:limLoc m:val="subSup"/>
                        <m:supHide m:val="on"/>
                        <m:ctrlPr>
                          <a:rPr lang="en-AU" sz="1000" b="0" i="1">
                            <a:latin typeface="Cambria Math" panose="02040503050406030204" pitchFamily="18" charset="0"/>
                          </a:rPr>
                        </m:ctrlPr>
                      </m:naryPr>
                      <m:sub>
                        <m:r>
                          <a:rPr lang="en-AU" sz="1000" b="0" i="1">
                            <a:latin typeface="Cambria Math" panose="02040503050406030204" pitchFamily="18" charset="0"/>
                          </a:rPr>
                          <m:t>𝑝</m:t>
                        </m:r>
                      </m:sub>
                      <m:sup/>
                      <m:e>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r>
                              <a:rPr lang="en-AU" sz="1000" b="0" i="1">
                                <a:latin typeface="Cambria Math" panose="02040503050406030204" pitchFamily="18" charset="0"/>
                              </a:rPr>
                              <m:t>𝐸</m:t>
                            </m:r>
                            <m:sSub>
                              <m:sSubPr>
                                <m:ctrlPr>
                                  <a:rPr lang="en-AU" sz="1000" b="0" i="1">
                                    <a:latin typeface="Cambria Math" panose="02040503050406030204" pitchFamily="18" charset="0"/>
                                  </a:rPr>
                                </m:ctrlPr>
                              </m:sSubPr>
                              <m:e>
                                <m:r>
                                  <a:rPr lang="en-AU" sz="1000" b="0" i="1">
                                    <a:latin typeface="Cambria Math" panose="02040503050406030204" pitchFamily="18" charset="0"/>
                                  </a:rPr>
                                  <m:t>𝐹</m:t>
                                </m:r>
                              </m:e>
                              <m:sub>
                                <m:r>
                                  <a:rPr lang="en-AU" sz="1000" b="0" i="1">
                                    <a:latin typeface="Cambria Math" panose="02040503050406030204" pitchFamily="18" charset="0"/>
                                  </a:rPr>
                                  <m:t>𝑁𝑖</m:t>
                                </m:r>
                              </m:sub>
                            </m:sSub>
                          </m:e>
                        </m:d>
                      </m:e>
                    </m:nary>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A3215D7D-7611-40C3-88E3-E2AD8D043FE6}"/>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000" b="0" i="0">
                  <a:latin typeface="Cambria Math" panose="02040503050406030204" pitchFamily="18" charset="0"/>
                </a:rPr>
                <a:t>𝐸_𝑁2𝑂=∑2_𝑝▒(𝑀_𝑝×𝐸𝐹_𝑁𝑖 ) ×𝐶_𝑁2𝑂×10^(−3)</a:t>
              </a:r>
              <a:endParaRPr lang="en-AU" sz="10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EAE49CB-36C2-47A4-97C0-42438D74C5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𝐴</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𝑌</m:t>
                                </m:r>
                              </m:e>
                              <m:sub>
                                <m:r>
                                  <a:rPr lang="en-AU" sz="1000" b="0" i="1">
                                    <a:latin typeface="Cambria Math" panose="02040503050406030204" pitchFamily="18" charset="0"/>
                                  </a:rPr>
                                  <m:t>𝑝</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r>
                          <a:rPr lang="en-AU" sz="1000" b="0" i="1">
                            <a:latin typeface="Cambria Math" panose="02040503050406030204" pitchFamily="18" charset="0"/>
                          </a:rPr>
                          <m:t>×</m:t>
                        </m:r>
                        <m:d>
                          <m:dPr>
                            <m:ctrlPr>
                              <a:rPr lang="en-AU" sz="1000" b="0" i="1">
                                <a:latin typeface="Cambria Math" panose="02040503050406030204" pitchFamily="18" charset="0"/>
                              </a:rPr>
                            </m:ctrlPr>
                          </m:dPr>
                          <m:e>
                            <m:r>
                              <a:rPr lang="en-AU" sz="1000" b="0" i="1">
                                <a:latin typeface="Cambria Math" panose="02040503050406030204" pitchFamily="18" charset="0"/>
                              </a:rPr>
                              <m:t>1−</m:t>
                            </m:r>
                            <m:r>
                              <a:rPr lang="en-AU" sz="1000" b="0" i="1">
                                <a:latin typeface="Cambria Math" panose="02040503050406030204" pitchFamily="18" charset="0"/>
                              </a:rPr>
                              <m:t>𝐹𝐹𝑂</m:t>
                            </m:r>
                            <m:sSub>
                              <m:sSubPr>
                                <m:ctrlPr>
                                  <a:rPr lang="en-AU" sz="1000" b="0" i="1">
                                    <a:latin typeface="Cambria Math" panose="02040503050406030204" pitchFamily="18" charset="0"/>
                                  </a:rPr>
                                </m:ctrlPr>
                              </m:sSubPr>
                              <m:e>
                                <m:r>
                                  <a:rPr lang="en-AU" sz="1000" b="0" i="1">
                                    <a:latin typeface="Cambria Math" panose="02040503050406030204" pitchFamily="18" charset="0"/>
                                  </a:rPr>
                                  <m:t>𝐷</m:t>
                                </m:r>
                              </m:e>
                              <m:sub>
                                <m:r>
                                  <a:rPr lang="en-AU" sz="1000" b="0" i="1">
                                    <a:latin typeface="Cambria Math" panose="02040503050406030204" pitchFamily="18" charset="0"/>
                                  </a:rPr>
                                  <m:t>𝑝</m:t>
                                </m:r>
                              </m:sub>
                            </m:sSub>
                          </m:e>
                        </m:d>
                        <m:r>
                          <a:rPr lang="en-AU" sz="1000" b="0" i="1">
                            <a:latin typeface="Cambria Math" panose="02040503050406030204" pitchFamily="18" charset="0"/>
                          </a:rPr>
                          <m:t>×</m:t>
                        </m:r>
                        <m:r>
                          <a:rPr lang="en-AU" sz="1000" b="0" i="1">
                            <a:latin typeface="Cambria Math" panose="02040503050406030204" pitchFamily="18" charset="0"/>
                          </a:rPr>
                          <m:t>𝑁</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𝐴𝐺𝑝</m:t>
                            </m:r>
                          </m:sub>
                        </m:sSub>
                      </m:e>
                    </m:d>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𝐴</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𝑌</m:t>
                                </m:r>
                              </m:e>
                              <m:sub>
                                <m:r>
                                  <a:rPr lang="en-AU" sz="1000" b="0" i="1">
                                    <a:latin typeface="Cambria Math" panose="02040503050406030204" pitchFamily="18" charset="0"/>
                                  </a:rPr>
                                  <m:t>𝑝</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𝑅</m:t>
                            </m:r>
                          </m:e>
                          <m:sub>
                            <m:r>
                              <a:rPr lang="en-AU" sz="1000" b="0" i="1">
                                <a:latin typeface="Cambria Math" panose="02040503050406030204" pitchFamily="18" charset="0"/>
                              </a:rPr>
                              <m:t>𝐵𝐺𝑝</m:t>
                            </m:r>
                          </m:sub>
                        </m:sSub>
                        <m:r>
                          <a:rPr lang="en-AU" sz="1000" b="0" i="1">
                            <a:latin typeface="Cambria Math" panose="02040503050406030204" pitchFamily="18" charset="0"/>
                          </a:rPr>
                          <m:t>×</m:t>
                        </m:r>
                        <m:r>
                          <a:rPr lang="en-AU" sz="1000" b="0" i="1">
                            <a:latin typeface="Cambria Math" panose="02040503050406030204" pitchFamily="18" charset="0"/>
                          </a:rPr>
                          <m:t>𝑁</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𝐵𝐺𝑝</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AEAE49CB-36C2-47A4-97C0-42438D74C5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latin typeface="Cambria Math" panose="02040503050406030204" pitchFamily="18" charset="0"/>
                </a:rPr>
                <a:t>𝑀_𝑝=(𝐴_𝑝×(𝑌_𝑝×10^(−3) )×(1−𝐹𝐹𝑂𝐷_𝑝 )×𝑁𝐶_𝐴𝐺𝑝 )+(𝐴_𝑝×(𝑌_𝑝×10^(−3) )×𝑅_𝐵𝐺𝑝×𝑁𝐶_𝐵𝐺𝑝 )</a:t>
              </a:r>
              <a:endParaRPr lang="en-AU" sz="10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9507678-7198-44DF-B18D-93B3AAF4A398}"/>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𝐸</m:t>
                        </m:r>
                      </m:e>
                      <m:sub>
                        <m:r>
                          <a:rPr lang="en-AU" sz="1000" b="0" i="1">
                            <a:latin typeface="Cambria Math" panose="02040503050406030204" pitchFamily="18" charset="0"/>
                          </a:rPr>
                          <m:t>𝑁</m:t>
                        </m:r>
                        <m:r>
                          <a:rPr lang="en-AU" sz="1000" b="0" i="1">
                            <a:latin typeface="Cambria Math" panose="02040503050406030204" pitchFamily="18" charset="0"/>
                          </a:rPr>
                          <m:t>2</m:t>
                        </m:r>
                        <m:r>
                          <m:rPr>
                            <m:sty m:val="p"/>
                          </m:rPr>
                          <a:rPr lang="en-AU" sz="1000" b="0" i="1">
                            <a:latin typeface="Cambria Math" panose="02040503050406030204" pitchFamily="18" charset="0"/>
                          </a:rPr>
                          <m:t>O</m:t>
                        </m:r>
                      </m:sub>
                    </m:sSub>
                    <m:r>
                      <a:rPr lang="en-AU" sz="1000" b="0" i="1">
                        <a:latin typeface="Cambria Math" panose="02040503050406030204" pitchFamily="18" charset="0"/>
                      </a:rPr>
                      <m:t>=</m:t>
                    </m:r>
                    <m:nary>
                      <m:naryPr>
                        <m:chr m:val="∑"/>
                        <m:supHide m:val="on"/>
                        <m:ctrlPr>
                          <a:rPr lang="en-AU" sz="1000" b="0" i="1">
                            <a:latin typeface="Cambria Math" panose="02040503050406030204" pitchFamily="18" charset="0"/>
                          </a:rPr>
                        </m:ctrlPr>
                      </m:naryPr>
                      <m:sub>
                        <m:r>
                          <a:rPr lang="en-AU" sz="1000" b="0" i="1">
                            <a:latin typeface="Cambria Math" panose="02040503050406030204" pitchFamily="18" charset="0"/>
                          </a:rPr>
                          <m:t>𝑝</m:t>
                        </m:r>
                      </m:sub>
                      <m:sup/>
                      <m:e>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r>
                              <a:rPr lang="en-AU" sz="1000" b="0" i="1">
                                <a:latin typeface="Cambria Math" panose="02040503050406030204" pitchFamily="18" charset="0"/>
                              </a:rPr>
                              <m:t>𝐸</m:t>
                            </m:r>
                            <m:sSub>
                              <m:sSubPr>
                                <m:ctrlPr>
                                  <a:rPr lang="en-AU" sz="1000" b="0" i="1">
                                    <a:latin typeface="Cambria Math" panose="02040503050406030204" pitchFamily="18" charset="0"/>
                                  </a:rPr>
                                </m:ctrlPr>
                              </m:sSubPr>
                              <m:e>
                                <m:r>
                                  <a:rPr lang="en-AU" sz="1000" b="0" i="1">
                                    <a:latin typeface="Cambria Math" panose="02040503050406030204" pitchFamily="18" charset="0"/>
                                  </a:rPr>
                                  <m:t>𝐹</m:t>
                                </m:r>
                              </m:e>
                              <m:sub>
                                <m:r>
                                  <a:rPr lang="en-AU" sz="1000" b="0" i="1">
                                    <a:latin typeface="Cambria Math" panose="02040503050406030204" pitchFamily="18" charset="0"/>
                                  </a:rPr>
                                  <m:t>𝑁𝑖</m:t>
                                </m:r>
                              </m:sub>
                            </m:sSub>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C9507678-7198-44DF-B18D-93B3AAF4A398}"/>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000" b="0" i="0">
                  <a:latin typeface="Cambria Math" panose="02040503050406030204" pitchFamily="18" charset="0"/>
                </a:rPr>
                <a:t>𝐸_𝑁2O=∑_𝑝▒(𝑀_𝑝×𝐸𝐹_𝑁𝑖×𝐶_𝑁2𝑂×10^(−3) ) </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70312E8-39B9-48C1-AE70-9C3E8F03F340}"/>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𝑙𝑒𝑎𝑐ℎ</m:t>
                        </m:r>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𝐹𝑟𝑎𝑐𝑊𝐸</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𝑇</m:t>
                        </m:r>
                      </m:e>
                      <m:sub>
                        <m:r>
                          <a:rPr lang="en-AU" sz="1000" b="0" i="1" u="none" strike="noStrike">
                            <a:solidFill>
                              <a:schemeClr val="tx1"/>
                            </a:solidFill>
                            <a:effectLst/>
                            <a:latin typeface="Cambria Math" panose="02040503050406030204" pitchFamily="18" charset="0"/>
                            <a:ea typeface="+mn-ea"/>
                            <a:cs typeface="+mn-cs"/>
                          </a:rPr>
                          <m:t>𝑗</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F70312E8-39B9-48C1-AE70-9C3E8F03F340}"/>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0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C7C4B36-7074-49D6-BBC2-8872CC74C162}"/>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𝑐𝑝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AC7C4B36-7074-49D6-BBC2-8872CC74C162}"/>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𝐸_𝑁2𝑂=∑2_𝑐▒∑2_𝑝▒(𝑀_(𝑙𝑒𝑎𝑐ℎ,𝑐𝑝)×𝐸𝐹_𝑙𝑒𝑎𝑐ℎ×𝐶_𝑁2𝑂×10^(−3) ) </a:t>
              </a:r>
              <a:endParaRPr lang="en-AU" sz="10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0DEA25A-77A0-4C73-B5BB-BBFA9916006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50DEA25A-77A0-4C73-B5BB-BBFA9916006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1650705-1BB3-4E43-B417-CBD848FC7A2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01650705-1BB3-4E43-B417-CBD848FC7A2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CEBA672-02E5-4CB9-B33A-335B0514F350}"/>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ECEBA672-02E5-4CB9-B33A-335B0514F350}"/>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06AD350-19DE-479F-90B4-63F09B8B3D82}"/>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C06AD350-19DE-479F-90B4-63F09B8B3D82}"/>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F5F66EB-F3F0-435C-BE77-906B5AEC1B7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7F5F66EB-F3F0-435C-BE77-906B5AEC1B7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C55429C-DCC5-441D-BAC3-98ECAFCAA85E}"/>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0C55429C-DCC5-441D-BAC3-98ECAFCAA85E}"/>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83C39B8-0553-4E20-8625-7633C1DD57B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E83C39B8-0553-4E20-8625-7633C1DD57B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4B10DA0-D2C2-45AF-A6F7-DBCF22DD527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84B10DA0-D2C2-45AF-A6F7-DBCF22DD527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45A9F8F-F0DC-4D13-A05C-EFFA5CB72929}"/>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645A9F8F-F0DC-4D13-A05C-EFFA5CB72929}"/>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5A4733F-9DCA-4E7C-91D4-265B594C6B92}"/>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65A4733F-9DCA-4E7C-91D4-265B594C6B92}"/>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47AF3BE-58F3-4AC0-BDAD-E684F7498A5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E47AF3BE-58F3-4AC0-BDAD-E684F7498A5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3023FB6-CA29-464B-BAF5-3D22FD71506B}"/>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63023FB6-CA29-464B-BAF5-3D22FD71506B}"/>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267C0EC-F798-4948-B0BC-8E7468E938B0}"/>
                </a:ext>
              </a:extLst>
            </xdr:cNvPr>
            <xdr:cNvSpPr txBox="1"/>
          </xdr:nvSpPr>
          <xdr:spPr>
            <a:xfrm>
              <a:off x="30817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B267C0EC-F798-4948-B0BC-8E7468E938B0}"/>
                </a:ext>
              </a:extLst>
            </xdr:cNvPr>
            <xdr:cNvSpPr txBox="1"/>
          </xdr:nvSpPr>
          <xdr:spPr>
            <a:xfrm>
              <a:off x="30817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6FAF850-5754-4701-89FD-A4F1F1D176C2}"/>
                </a:ext>
              </a:extLst>
            </xdr:cNvPr>
            <xdr:cNvSpPr txBox="1"/>
          </xdr:nvSpPr>
          <xdr:spPr>
            <a:xfrm>
              <a:off x="30817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56FAF850-5754-4701-89FD-A4F1F1D176C2}"/>
                </a:ext>
              </a:extLst>
            </xdr:cNvPr>
            <xdr:cNvSpPr txBox="1"/>
          </xdr:nvSpPr>
          <xdr:spPr>
            <a:xfrm>
              <a:off x="30817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E91B112-67B4-4FFF-8F60-D4D88D275CE8}"/>
                </a:ext>
              </a:extLst>
            </xdr:cNvPr>
            <xdr:cNvSpPr txBox="1"/>
          </xdr:nvSpPr>
          <xdr:spPr>
            <a:xfrm>
              <a:off x="30817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BE91B112-67B4-4FFF-8F60-D4D88D275CE8}"/>
                </a:ext>
              </a:extLst>
            </xdr:cNvPr>
            <xdr:cNvSpPr txBox="1"/>
          </xdr:nvSpPr>
          <xdr:spPr>
            <a:xfrm>
              <a:off x="30817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842ABD5-AF46-44B1-B074-08AB9FB0AAB8}"/>
                </a:ext>
              </a:extLst>
            </xdr:cNvPr>
            <xdr:cNvSpPr txBox="1"/>
          </xdr:nvSpPr>
          <xdr:spPr>
            <a:xfrm>
              <a:off x="73719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6842ABD5-AF46-44B1-B074-08AB9FB0AAB8}"/>
                </a:ext>
              </a:extLst>
            </xdr:cNvPr>
            <xdr:cNvSpPr txBox="1"/>
          </xdr:nvSpPr>
          <xdr:spPr>
            <a:xfrm>
              <a:off x="73719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361D27A-EE29-45E1-B8E8-47E2C8F39400}"/>
                </a:ext>
              </a:extLst>
            </xdr:cNvPr>
            <xdr:cNvSpPr txBox="1"/>
          </xdr:nvSpPr>
          <xdr:spPr>
            <a:xfrm>
              <a:off x="30405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9361D27A-EE29-45E1-B8E8-47E2C8F39400}"/>
                </a:ext>
              </a:extLst>
            </xdr:cNvPr>
            <xdr:cNvSpPr txBox="1"/>
          </xdr:nvSpPr>
          <xdr:spPr>
            <a:xfrm>
              <a:off x="30405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48D0895-56D9-4C18-A77D-A6FC4439C6E8}"/>
                </a:ext>
              </a:extLst>
            </xdr:cNvPr>
            <xdr:cNvSpPr txBox="1"/>
          </xdr:nvSpPr>
          <xdr:spPr>
            <a:xfrm>
              <a:off x="30575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248D0895-56D9-4C18-A77D-A6FC4439C6E8}"/>
                </a:ext>
              </a:extLst>
            </xdr:cNvPr>
            <xdr:cNvSpPr txBox="1"/>
          </xdr:nvSpPr>
          <xdr:spPr>
            <a:xfrm>
              <a:off x="30575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F74B02AD-F76B-4065-80DC-9389BD08712D}"/>
                </a:ext>
              </a:extLst>
            </xdr:cNvPr>
            <xdr:cNvSpPr txBox="1"/>
          </xdr:nvSpPr>
          <xdr:spPr>
            <a:xfrm>
              <a:off x="30575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F74B02AD-F76B-4065-80DC-9389BD08712D}"/>
                </a:ext>
              </a:extLst>
            </xdr:cNvPr>
            <xdr:cNvSpPr txBox="1"/>
          </xdr:nvSpPr>
          <xdr:spPr>
            <a:xfrm>
              <a:off x="30575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E8CBF8E-E003-4BB3-974F-4205B80F1343}"/>
                </a:ext>
              </a:extLst>
            </xdr:cNvPr>
            <xdr:cNvSpPr txBox="1"/>
          </xdr:nvSpPr>
          <xdr:spPr>
            <a:xfrm>
              <a:off x="30687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BE8CBF8E-E003-4BB3-974F-4205B80F1343}"/>
                </a:ext>
              </a:extLst>
            </xdr:cNvPr>
            <xdr:cNvSpPr txBox="1"/>
          </xdr:nvSpPr>
          <xdr:spPr>
            <a:xfrm>
              <a:off x="30687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EAB5CB71-4E17-4269-A394-EAE4E2DE8D21}"/>
                </a:ext>
              </a:extLst>
            </xdr:cNvPr>
            <xdr:cNvSpPr txBox="1"/>
          </xdr:nvSpPr>
          <xdr:spPr>
            <a:xfrm>
              <a:off x="31359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EAB5CB71-4E17-4269-A394-EAE4E2DE8D21}"/>
                </a:ext>
              </a:extLst>
            </xdr:cNvPr>
            <xdr:cNvSpPr txBox="1"/>
          </xdr:nvSpPr>
          <xdr:spPr>
            <a:xfrm>
              <a:off x="31359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1AFF2E66-C231-4B35-8D2E-AF4B34ED738E}"/>
                </a:ext>
              </a:extLst>
            </xdr:cNvPr>
            <xdr:cNvSpPr txBox="1"/>
          </xdr:nvSpPr>
          <xdr:spPr>
            <a:xfrm>
              <a:off x="31023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1AFF2E66-C231-4B35-8D2E-AF4B34ED738E}"/>
                </a:ext>
              </a:extLst>
            </xdr:cNvPr>
            <xdr:cNvSpPr txBox="1"/>
          </xdr:nvSpPr>
          <xdr:spPr>
            <a:xfrm>
              <a:off x="31023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9D828994-2231-46C0-84D2-E11F7132E03A}"/>
                </a:ext>
              </a:extLst>
            </xdr:cNvPr>
            <xdr:cNvSpPr txBox="1"/>
          </xdr:nvSpPr>
          <xdr:spPr>
            <a:xfrm>
              <a:off x="30799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9D828994-2231-46C0-84D2-E11F7132E03A}"/>
                </a:ext>
              </a:extLst>
            </xdr:cNvPr>
            <xdr:cNvSpPr txBox="1"/>
          </xdr:nvSpPr>
          <xdr:spPr>
            <a:xfrm>
              <a:off x="30799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D018496-74FB-41EA-9171-876494A26219}"/>
                </a:ext>
              </a:extLst>
            </xdr:cNvPr>
            <xdr:cNvSpPr txBox="1"/>
          </xdr:nvSpPr>
          <xdr:spPr>
            <a:xfrm>
              <a:off x="30670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BD018496-74FB-41EA-9171-876494A26219}"/>
                </a:ext>
              </a:extLst>
            </xdr:cNvPr>
            <xdr:cNvSpPr txBox="1"/>
          </xdr:nvSpPr>
          <xdr:spPr>
            <a:xfrm>
              <a:off x="30670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817E777-CE38-4F7D-9A34-EE421AEACBE1}"/>
                </a:ext>
              </a:extLst>
            </xdr:cNvPr>
            <xdr:cNvSpPr txBox="1"/>
          </xdr:nvSpPr>
          <xdr:spPr>
            <a:xfrm>
              <a:off x="30687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3817E777-CE38-4F7D-9A34-EE421AEACBE1}"/>
                </a:ext>
              </a:extLst>
            </xdr:cNvPr>
            <xdr:cNvSpPr txBox="1"/>
          </xdr:nvSpPr>
          <xdr:spPr>
            <a:xfrm>
              <a:off x="30687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A39FEC8E-103B-4E90-883E-3CAF29D4935D}"/>
                </a:ext>
              </a:extLst>
            </xdr:cNvPr>
            <xdr:cNvSpPr txBox="1"/>
          </xdr:nvSpPr>
          <xdr:spPr>
            <a:xfrm>
              <a:off x="30687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A39FEC8E-103B-4E90-883E-3CAF29D4935D}"/>
                </a:ext>
              </a:extLst>
            </xdr:cNvPr>
            <xdr:cNvSpPr txBox="1"/>
          </xdr:nvSpPr>
          <xdr:spPr>
            <a:xfrm>
              <a:off x="30687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B488E01E-ABDE-420C-88EE-478227A7DEEF}"/>
                </a:ext>
              </a:extLst>
            </xdr:cNvPr>
            <xdr:cNvSpPr txBox="1"/>
          </xdr:nvSpPr>
          <xdr:spPr>
            <a:xfrm>
              <a:off x="98431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B488E01E-ABDE-420C-88EE-478227A7DEEF}"/>
                </a:ext>
              </a:extLst>
            </xdr:cNvPr>
            <xdr:cNvSpPr txBox="1"/>
          </xdr:nvSpPr>
          <xdr:spPr>
            <a:xfrm>
              <a:off x="98431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14B6C4C6-750D-459E-808B-E8A41761CFFD}"/>
                </a:ext>
              </a:extLst>
            </xdr:cNvPr>
            <xdr:cNvSpPr txBox="1"/>
          </xdr:nvSpPr>
          <xdr:spPr>
            <a:xfrm>
              <a:off x="30438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14B6C4C6-750D-459E-808B-E8A41761CFFD}"/>
                </a:ext>
              </a:extLst>
            </xdr:cNvPr>
            <xdr:cNvSpPr txBox="1"/>
          </xdr:nvSpPr>
          <xdr:spPr>
            <a:xfrm>
              <a:off x="30438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22BB2B7A-72E0-425D-A6CE-C80B31B5753D}"/>
                </a:ext>
              </a:extLst>
            </xdr:cNvPr>
            <xdr:cNvSpPr txBox="1"/>
          </xdr:nvSpPr>
          <xdr:spPr>
            <a:xfrm>
              <a:off x="30300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22BB2B7A-72E0-425D-A6CE-C80B31B5753D}"/>
                </a:ext>
              </a:extLst>
            </xdr:cNvPr>
            <xdr:cNvSpPr txBox="1"/>
          </xdr:nvSpPr>
          <xdr:spPr>
            <a:xfrm>
              <a:off x="30300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403E3A6A-5887-4F5F-9075-2824CDA43E8E}"/>
                </a:ext>
              </a:extLst>
            </xdr:cNvPr>
            <xdr:cNvSpPr txBox="1"/>
          </xdr:nvSpPr>
          <xdr:spPr>
            <a:xfrm>
              <a:off x="30687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403E3A6A-5887-4F5F-9075-2824CDA43E8E}"/>
                </a:ext>
              </a:extLst>
            </xdr:cNvPr>
            <xdr:cNvSpPr txBox="1"/>
          </xdr:nvSpPr>
          <xdr:spPr>
            <a:xfrm>
              <a:off x="30687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F30067C2-1589-4801-B322-83A861405CEC}"/>
                </a:ext>
              </a:extLst>
            </xdr:cNvPr>
            <xdr:cNvSpPr txBox="1"/>
          </xdr:nvSpPr>
          <xdr:spPr>
            <a:xfrm>
              <a:off x="30643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F30067C2-1589-4801-B322-83A861405CEC}"/>
                </a:ext>
              </a:extLst>
            </xdr:cNvPr>
            <xdr:cNvSpPr txBox="1"/>
          </xdr:nvSpPr>
          <xdr:spPr>
            <a:xfrm>
              <a:off x="30643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FC6BD1A5-3904-4779-BE13-1A75A305998E}"/>
                </a:ext>
              </a:extLst>
            </xdr:cNvPr>
            <xdr:cNvSpPr txBox="1"/>
          </xdr:nvSpPr>
          <xdr:spPr>
            <a:xfrm>
              <a:off x="79693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FC6BD1A5-3904-4779-BE13-1A75A305998E}"/>
                </a:ext>
              </a:extLst>
            </xdr:cNvPr>
            <xdr:cNvSpPr txBox="1"/>
          </xdr:nvSpPr>
          <xdr:spPr>
            <a:xfrm>
              <a:off x="79693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EEF05C4B-52BA-4945-A78A-E10B7193A9D2}"/>
                </a:ext>
              </a:extLst>
            </xdr:cNvPr>
            <xdr:cNvSpPr txBox="1"/>
          </xdr:nvSpPr>
          <xdr:spPr>
            <a:xfrm>
              <a:off x="58091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EEF05C4B-52BA-4945-A78A-E10B7193A9D2}"/>
                </a:ext>
              </a:extLst>
            </xdr:cNvPr>
            <xdr:cNvSpPr txBox="1"/>
          </xdr:nvSpPr>
          <xdr:spPr>
            <a:xfrm>
              <a:off x="58091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3EA9422-1B18-492B-A9E7-FCB7B54B1FA2}"/>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C3EA9422-1B18-492B-A9E7-FCB7B54B1FA2}"/>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4CC4064-1BDA-4AF1-9347-99EE150BD7EB}"/>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74CC4064-1BDA-4AF1-9347-99EE150BD7EB}"/>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E427B3B-1623-4800-8E7C-A2AAD2F44B7B}"/>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BE427B3B-1623-4800-8E7C-A2AAD2F44B7B}"/>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C785A37-7B83-4CD0-956D-4373ABDEF07B}"/>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8C785A37-7B83-4CD0-956D-4373ABDEF07B}"/>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F9F36F7-1FB3-4B1E-89BF-825C532ECA06}"/>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7F9F36F7-1FB3-4B1E-89BF-825C532ECA06}"/>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109238F8-7124-4589-85FC-04CFD8A1610A}"/>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109238F8-7124-4589-85FC-04CFD8A1610A}"/>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66E6AE0-1B23-4FFF-B49E-260AA02810F4}"/>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C66E6AE0-1B23-4FFF-B49E-260AA02810F4}"/>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A8CACF69-F693-4E86-B301-41C4AF7DA656}"/>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A8CACF69-F693-4E86-B301-41C4AF7DA656}"/>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64C3894B-BACA-4452-A3CE-F192FA8C788B}"/>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10" name="TextBox 9">
              <a:extLst>
                <a:ext uri="{FF2B5EF4-FFF2-40B4-BE49-F238E27FC236}">
                  <a16:creationId xmlns:a16="http://schemas.microsoft.com/office/drawing/2014/main" id="{64C3894B-BACA-4452-A3CE-F192FA8C788B}"/>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2934ECD-65A4-454D-9256-F5B0CB65B665}"/>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A2934ECD-65A4-454D-9256-F5B0CB65B665}"/>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A9186A-F894-44A1-92E2-026D072DBE7B}" name="Table_Input_Enterprise_PlantingRemovals" displayName="Table_Input_Enterprise_PlantingRemovals" ref="D42:G43" totalsRowShown="0">
  <autoFilter ref="D42:G43" xr:uid="{CCA9186A-F894-44A1-92E2-026D072DBE7B}">
    <filterColumn colId="0" hiddenButton="1"/>
    <filterColumn colId="1" hiddenButton="1"/>
    <filterColumn colId="2" hiddenButton="1"/>
    <filterColumn colId="3" hiddenButton="1"/>
  </autoFilter>
  <tableColumns count="4">
    <tableColumn id="1" xr3:uid="{4A775515-F650-4B30-A8B0-D7D74288FF30}" name="Planting name" dataCellStyle="Input text"/>
    <tableColumn id="2" xr3:uid="{B0B4C384-B6EE-448B-920F-69C8F0DB66FB}" name="Total removed CO2" dataCellStyle="Input number general"/>
    <tableColumn id="3" xr3:uid="{39D3B94F-5152-431B-AFDA-259DCFD08C0D}" name="Percent allocated to this enterprise" dataCellStyle="Input percent"/>
    <tableColumn id="4" xr3:uid="{B9127AF7-9350-405E-97D4-92DB7D5C0ACA}"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E1097-C0F0-4392-9D6D-AFBC08E76915}"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AA15C232-0159-49C9-9C71-A58F1014C954}" name="Transaction name" dataCellStyle="Input text"/>
    <tableColumn id="1" xr3:uid="{307E53B0-061F-49DD-93DB-42CB4B98DC79}" name="Class (select)" dataCellStyle="Input select"/>
    <tableColumn id="2" xr3:uid="{B15D3E20-6E9D-4B6A-BEA5-0FEB6F59B21E}" name="Sale date" dataDxfId="527"/>
    <tableColumn id="3" xr3:uid="{C5AEDAD3-0B4A-4687-BC64-AC557A3FF821}" name="Head sold"/>
    <tableColumn id="4" xr3:uid="{428F255F-E5B9-46BA-8DB0-EA08A490546B}" name="Average weight per head (kg)"/>
    <tableColumn id="5" xr3:uid="{7EF1E984-68AB-4D27-831E-2DB7800A94D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996EEA1E-7A15-44BB-915F-F8F8BCF54F40}"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A7E7E44-3921-4CD1-AD48-3C40A32160C0}" name="Transaction name" dataCellStyle="Input text"/>
    <tableColumn id="13" xr3:uid="{4079D337-07A2-493F-B82F-E7EBFE4EAB47}" name="Purchase date" dataCellStyle="Input text"/>
    <tableColumn id="11" xr3:uid="{21AA8BDE-C4CD-430B-A977-C296E0A3C182}" name="Class (select)" dataDxfId="526" dataCellStyle="Input select"/>
    <tableColumn id="2" xr3:uid="{6D0CE2F4-B578-459E-9DB0-576D9D85E66E}" name="Purchase class (select)" dataDxfId="525" dataCellStyle="Input select"/>
    <tableColumn id="6" xr3:uid="{6D6AD584-CD9D-46C0-93A2-AB4047433B4F}" name="Source region (Select)" dataDxfId="524" dataCellStyle="Input select"/>
    <tableColumn id="3" xr3:uid="{14F7503F-FF67-4330-A97F-282767074D6C}" name="Quantity (head)" dataCellStyle="Input number general"/>
    <tableColumn id="12" xr3:uid="{1C9ADE40-E282-4277-B64D-C5CC6ED1EAE1}" name="Liveweight (kg/head) Method 1" dataCellStyle="Input number general calculated"/>
    <tableColumn id="4" xr3:uid="{8BFA0DE6-5D51-453E-B95C-ABE7435143CD}"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D9A325E6-1D92-4594-9C61-F4D1B53C9D8A}" name="Table_Input_InorganicFertiliser_Brands" displayName="Table_Input_InorganicFertiliser_Brands" ref="D11:Z21" headerRowDxfId="523" dataDxfId="522" totalsRowDxfId="521">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98A88134-BA17-4266-AD21-23C1C4B898A6}" name="Product (select)" dataDxfId="520" totalsRowDxfId="519" dataCellStyle="Input select"/>
    <tableColumn id="23" xr3:uid="{885BC2CA-0938-454A-B9C6-6EF5693FF10D}" name="Amount applied per hectare" totalsRowFunction="custom" dataDxfId="518" totalsRowDxfId="517">
      <totalsRowFormula>SUM(Table_Input_InorganicFertiliser_Brands[[#Headers],[#Data],[Amount applied per hectare]])</totalsRowFormula>
    </tableColumn>
    <tableColumn id="12" xr3:uid="{FA832F45-0C31-4AED-9FB9-2DF026FACD43}" name="Application unit" dataDxfId="516" totalsRowDxfId="515" dataCellStyle="Input number 2 decimal places"/>
    <tableColumn id="6" xr3:uid="{7AD6191D-43FC-4E62-9BFF-6EDA80881DE0}" name="Application area (ha)" dataDxfId="514" totalsRowDxfId="513">
      <calculatedColumnFormula>X_Cell_Fertiliser_AreaUnderCropping</calculatedColumnFormula>
    </tableColumn>
    <tableColumn id="9" xr3:uid="{9AA7A494-5211-40B5-B423-90C823A3A9D3}" name="Density" dataDxfId="512" totalsRowDxfId="511" dataCellStyle="Input number general calculated"/>
    <tableColumn id="1" xr3:uid="{938A46AB-81BE-4E14-A978-9321890D627A}" name="Total applied (kg)" dataDxfId="510" totalsRowDxfId="509"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8891B311-FABF-4C14-8421-B2C4A15D0322}" name="Ingredient 1" dataDxfId="508" totalsRowDxfId="507" dataCellStyle="Input number general calculated"/>
    <tableColumn id="4" xr3:uid="{19B069ED-5A1C-4613-A0DD-7AC4B0C034C4}" name="Ingredient 1 percent" dataDxfId="506" dataCellStyle="Input number general calculated"/>
    <tableColumn id="7" xr3:uid="{16F9F409-F47A-489A-B860-730303C11E7C}" name="Ingredient 2" dataDxfId="505" dataCellStyle="Input number general calculated"/>
    <tableColumn id="8" xr3:uid="{B018BB7F-83F4-4A6C-BC4A-2F0D822A6FF9}" name="Ingredient 2 percent" dataDxfId="504" totalsRowDxfId="503" dataCellStyle="Input number general calculated"/>
    <tableColumn id="10" xr3:uid="{0511B9B7-2623-41AF-B088-2C67C360EBF3}" name="Ingredient 3" dataDxfId="502" totalsRowDxfId="501" dataCellStyle="Input number general calculated"/>
    <tableColumn id="11" xr3:uid="{56B47644-F54A-425D-9CF0-AE5304ED9EF8}" name="Ingredient 3 percent" dataDxfId="500" totalsRowDxfId="499" dataCellStyle="Input number general calculated"/>
    <tableColumn id="13" xr3:uid="{DCC3CC79-156D-40CE-B298-771223532FCD}" name="Ingredient 4" dataDxfId="498" totalsRowDxfId="497" dataCellStyle="Input number general calculated"/>
    <tableColumn id="14" xr3:uid="{7F15B019-BE07-469B-B235-86BE5B5456F4}" name="Ingredient 4 percent" dataDxfId="496" dataCellStyle="Input number general calculated"/>
    <tableColumn id="16" xr3:uid="{86004E5D-443B-4762-8E6E-7AB86187193E}" name="Ingredient 5" dataDxfId="495" dataCellStyle="Input number general calculated"/>
    <tableColumn id="17" xr3:uid="{3B9CF84E-69DF-41B0-A869-5E51FA52ED87}" name="Ingredient 5 percent" dataDxfId="494" dataCellStyle="Input number general calculated"/>
    <tableColumn id="19" xr3:uid="{993F321D-6D40-4D06-AAB6-35A3BD921386}" name="Ingredient 6" dataDxfId="493" dataCellStyle="Input number general calculated"/>
    <tableColumn id="20" xr3:uid="{0C9930B8-08F9-4FC3-94C5-7B31BB992129}" name="Ingredient 6 percent" dataDxfId="492" dataCellStyle="Input number general calculated"/>
    <tableColumn id="21" xr3:uid="{22084DC5-6916-41F8-B85F-F1FC84946497}" name="% N (Ingredients)" dataDxfId="491" dataCellStyle="Input number general calculated"/>
    <tableColumn id="22" xr3:uid="{63B92221-3125-473E-AA81-28CA3BCFC9FA}" name="% N (declared)" dataDxfId="490" dataCellStyle="Content normal"/>
    <tableColumn id="5" xr3:uid="{444026A9-6876-4841-B302-A8D49A7EF9AC}" name="N application rate (kg/ha)" dataDxfId="489" totalsRowDxfId="488"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11B3C5AA-4262-4E8B-A1D8-668FCDECA5B2}" name="Urea source" dataDxfId="487" totalsRowDxfId="486" dataCellStyle="Input number general calculated"/>
    <tableColumn id="18" xr3:uid="{CE1DECD7-54AF-45CE-8AA3-A9D5777313CB}" name="Ammonia source" dataDxfId="485" totalsRowDxfId="484"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ACA15E7D-D42B-4E1D-901E-2CD7BE2DFBF9}" name="Table_Input_InorganicFertiliser_Custom" displayName="Table_Input_InorganicFertiliser_Custom" ref="D24:R34" totalsRowShown="0" headerRowDxfId="483" dataDxfId="482">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370AF95-F79F-4D6B-9732-1ED0A4B7A787}" name="Custom blend name" dataCellStyle="Input text"/>
    <tableColumn id="2" xr3:uid="{A92D8FA6-CCD7-4614-8212-63A9627F7975}" name="Amount applied (kg / ha)" dataDxfId="481"/>
    <tableColumn id="3" xr3:uid="{373D1141-F079-4FAC-A05A-736DCD095135}" name="Application area (ha)" dataDxfId="480" dataCellStyle="Input number 2 decimal places">
      <calculatedColumnFormula>X_Cell_Fertiliser_AreaUnderCropping</calculatedColumnFormula>
    </tableColumn>
    <tableColumn id="4" xr3:uid="{60576F40-F721-4B12-9011-584949980724}" name="Total applied (kg)" dataDxfId="479" dataCellStyle="Input number general calculated">
      <calculatedColumnFormula>Table_Input_InorganicFertiliser_Custom[[#This Row],[Amount applied (kg / ha)]]*Table_Input_InorganicFertiliser_Custom[[#This Row],[Application area (ha)]]</calculatedColumnFormula>
    </tableColumn>
    <tableColumn id="5" xr3:uid="{EF9C8A23-2197-43DA-9013-5B4A3DD9CDE6}" name="Ingredient 1 (select)" dataDxfId="478" dataCellStyle="Input select"/>
    <tableColumn id="6" xr3:uid="{BA532460-9318-4814-8197-C7A812CB3175}" name="Ingredient 1 percent" dataDxfId="477"/>
    <tableColumn id="8" xr3:uid="{272D6500-98C9-4A51-BAD4-760944BC8025}" name="Ingredient 2" dataDxfId="476" dataCellStyle="Input select"/>
    <tableColumn id="9" xr3:uid="{D8273B10-DA38-463B-9DFA-2225BB40CDC2}" name="Ingredient 2 percent" dataDxfId="475"/>
    <tableColumn id="11" xr3:uid="{F207F5C6-5975-441B-8CBE-7DC5AEA2EDC6}" name="Ingredient 3" dataDxfId="474" dataCellStyle="Input select"/>
    <tableColumn id="12" xr3:uid="{7728863B-D056-4061-B227-C40B6B9BB720}" name="Ingredient 3 percent" dataDxfId="473"/>
    <tableColumn id="14" xr3:uid="{59ADCB70-806F-4FBB-B128-5C33A02832A1}" name="Ingredient 4" dataDxfId="472" dataCellStyle="Input select"/>
    <tableColumn id="15" xr3:uid="{5A596A81-0FB8-4820-8619-63DBF3EDD840}" name="Ingredient 4 percent" dataCellStyle="Input percent"/>
    <tableColumn id="7" xr3:uid="{EB9F9591-A4D5-42CD-8FC7-72D49B949516}" name="N application rate (kg/ha)" dataDxfId="471" dataCellStyle="Input number general calculated"/>
    <tableColumn id="10" xr3:uid="{2B3A0A93-76EB-41D9-8583-167DBB283F56}" name="Urea source (Select)" dataCellStyle="Input select"/>
    <tableColumn id="13" xr3:uid="{1F8079ED-9125-4B4F-85A9-A689A61FF594}" name="Ammonia source (select)" dataCellStyle="Input selec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C85EA3E7-8119-4C54-8915-2DFA3B8FA516}" name="Table_Input_Lime" displayName="Table_Input_Lime" ref="D41:K44" totalsRowShown="0" headerRowDxfId="470" dataDxfId="469"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202FD3B-5F0E-4A72-A591-AC9C0F19E8F2}" name="Product" dataDxfId="468"/>
    <tableColumn id="2" xr3:uid="{8580F99A-216E-4A04-B387-628E75CE8679}" name="Amount applied (t/hectare)" dataDxfId="467"/>
    <tableColumn id="4" xr3:uid="{6ABFB863-CC8B-4D81-9F42-2805FC78CAF3}" name="Application area (ha)" dataDxfId="466" dataCellStyle="Input number 2 decimal places">
      <calculatedColumnFormula>X_Cell_Fertiliser_AreaUnderCropping</calculatedColumnFormula>
    </tableColumn>
    <tableColumn id="3" xr3:uid="{64499BEA-D1EE-4A3D-B95D-6E180AA99DF8}" name="Total amount applied (t)" dataDxfId="465" dataCellStyle="Input number general calculated">
      <calculatedColumnFormula>IFERROR(Table_Input_Lime[[#This Row],[Amount applied (t/hectare)]]*Table_Input_Lime[[#This Row],[Application area (ha)]], 0)</calculatedColumnFormula>
    </tableColumn>
    <tableColumn id="6" xr3:uid="{9877BC32-87CF-4EA1-AE0D-056E260D879A}" name="Percent Lime CaCO3" dataDxfId="464"/>
    <tableColumn id="8" xr3:uid="{D3E339B6-B576-4CA1-9875-AD6BCF7F28DD}" name="Percent Dolomite CaMg(CO3)2" dataDxfId="463"/>
    <tableColumn id="7" xr3:uid="{8F8D572D-5C79-4252-B716-9947F2A05F07}" name="Percent Gypsum" dataDxfId="462"/>
    <tableColumn id="10" xr3:uid="{33128D7D-2758-4E00-9F97-E90AA3F7309B}" name="Total" dataDxfId="461"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9209652-5C3B-4CFF-8A88-D052758631F1}" name="Table_Input_OrganicFertiliser" displayName="Table_Input_OrganicFertiliser" ref="D53:J56" totalsRowShown="0" headerRowDxfId="460" dataDxfId="459"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C7671B-2B93-4F7F-A4E9-4D35CB9CD5A2}" name="Organic fertiliser type (select)" dataDxfId="458" dataCellStyle="Input select"/>
    <tableColumn id="5" xr3:uid="{BFCCB056-CFC3-4F80-8FD6-DDDD1526EF18}" name="Percentage of N in fertiliser" dataDxfId="457"/>
    <tableColumn id="2" xr3:uid="{6F7364FC-8FEA-425D-9680-DBFD868DF4D7}" name="Amount applied (kg/hectare)" dataDxfId="456"/>
    <tableColumn id="11" xr3:uid="{EC10A733-A30D-4A42-B57E-B45EF9625EC9}" name="Amount N applied (kg/hectare)" dataDxfId="455" dataCellStyle="Input number general calculated">
      <calculatedColumnFormula>Table_Input_OrganicFertiliser[[#This Row],[Amount applied (kg/hectare)]]*Table_Input_OrganicFertiliser[[#This Row],[Percentage of N in fertiliser]]</calculatedColumnFormula>
    </tableColumn>
    <tableColumn id="4" xr3:uid="{DD112C3B-9524-4FD9-94FB-8BCE0A352E43}" name="Application area (ha)" dataDxfId="454" dataCellStyle="Input number 2 decimal places">
      <calculatedColumnFormula>X_Cell_Fertiliser_AreaUnderCropping</calculatedColumnFormula>
    </tableColumn>
    <tableColumn id="7" xr3:uid="{A00ECA7F-72A4-402C-AB46-B78338A186E3}" name="Total organic fertliser applied" dataDxfId="453" dataCellStyle="Input number general calculated">
      <calculatedColumnFormula>Table_Input_OrganicFertiliser[[#This Row],[Amount applied (kg/hectare)]]*Table_Input_OrganicFertiliser[[#This Row],[Application area (ha)]]</calculatedColumnFormula>
    </tableColumn>
    <tableColumn id="3" xr3:uid="{BAA4347C-22AA-4D72-866A-266A8209BC99}" name="Total nitrogen applied (kg)" dataDxfId="452"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41112D3-EF9B-4C3F-89A6-119A27AC1035}" name="Table_Input_Fuel" displayName="Table_Input_Fuel" ref="D16:J21" totalsRowDxfId="451"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74DA493-EC2F-4EF7-8B4D-0F0754A12391}" name="Fuel use (select)" totalsRowFunction="average" totalsRowDxfId="450" dataCellStyle="Input select" totalsRowCellStyle="Input select"/>
    <tableColumn id="3" xr3:uid="{DB85998E-5914-4978-A8F1-BB9F28409830}" name="Fuel type (select)" totalsRowDxfId="449" dataCellStyle="Input select" totalsRowCellStyle="Input select"/>
    <tableColumn id="4" xr3:uid="{2FECCE21-4FF0-4DA4-97FB-B06C5FF9BA6D}" name="Amount purchased" totalsRowDxfId="448" totalsRowCellStyle="Content bold"/>
    <tableColumn id="6" xr3:uid="{0D0B717C-D2CA-4466-BAA1-8362AB062D1A}" name="Amount unit" totalsRowDxfId="447" dataCellStyle="Input number general calculated" totalsRowCellStyle="Input text calculated"/>
    <tableColumn id="5" xr3:uid="{42B905BB-8AD7-4B1B-8C11-B5BE3C0DBF6A}" name="Percent consumed" totalsRowDxfId="446" totalsRowCellStyle="Input percent">
      <calculatedColumnFormula>1</calculatedColumnFormula>
    </tableColumn>
    <tableColumn id="1" xr3:uid="{D8BC42B0-C3E9-4A45-ABE6-373180F02630}" name="Amount consumed" totalsRowFunction="custom" totalsRowDxfId="445"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5321DE10-6E1A-4790-A7BA-984E0B124F41}" name="Amount consumed unit" totalsRowDxfId="444" dataCellStyle="Input number general calculated"/>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3FFB0EB5-F854-415B-A9F2-684D61F80686}"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954F1D18-7690-4E5F-9B07-E06657922933}" name="Description"/>
    <tableColumn id="5" xr3:uid="{96327A2D-0D90-4775-B9F3-BEF226A656D9}" name="Source (select)" dataCellStyle="Input select"/>
    <tableColumn id="2" xr3:uid="{9A56AE86-1870-424C-B519-9049160337AC}" name="Generation date" dataDxfId="443"/>
    <tableColumn id="3" xr3:uid="{5C538259-6D40-4C56-A4B5-17CB5CB55F6E}" name="Number of certificates"/>
    <tableColumn id="4" xr3:uid="{9C2F95B6-02FB-4EB6-9F57-4DE0DCCCD050}" name="MWh" dataCellStyle="Input number general calculated">
      <calculatedColumnFormula>Table_Input_RECSurrendered[[#This Row],[Number of certificates]]</calculatedColumnFormula>
    </tableColumn>
    <tableColumn id="7" xr3:uid="{942D35BD-B765-4B5E-9FFE-99C12F023EBA}"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E2520FE6-EDFA-489E-A9A6-4C2E9C8F5C3A}"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A436F754-B329-4DC5-8C0A-F5BCF096D38F}" name="Description"/>
    <tableColumn id="5" xr3:uid="{C68A9130-2AFB-4497-954D-8176BED7DCC7}" name="Source" dataCellStyle="Input text calculated">
      <calculatedColumnFormula>"Issued for generated electricity"</calculatedColumnFormula>
    </tableColumn>
    <tableColumn id="2" xr3:uid="{87BD3F7C-EADD-464B-99E3-E369D6CF09DA}" name="Generation date" dataDxfId="442"/>
    <tableColumn id="3" xr3:uid="{D70730B9-ED32-45C0-ADF9-B4044EB3BD67}" name="Number of certificates"/>
    <tableColumn id="4" xr3:uid="{B3E764A7-0BF5-4DB0-8461-371D206DE643}" name="MWh" dataCellStyle="Input number general calculated">
      <calculatedColumnFormula>Table_Input_RECConsumedByEntity[[#This Row],[Number of certificates]]</calculatedColumnFormula>
    </tableColumn>
    <tableColumn id="7" xr3:uid="{D10A887C-D15E-4C2C-B899-0B33BF523BE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B333C3D2-C70D-4BFB-8B69-7B71FC314147}"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3D57B32C-18AB-45A8-88D1-0C6BA02FADCA}" name="Product name" dataCellStyle="Input text"/>
    <tableColumn id="1" xr3:uid="{85B85DAC-549D-43E5-9E58-26C00CD47D9B}" name="Type (select)" dataCellStyle="Input select"/>
    <tableColumn id="2" xr3:uid="{F3D1A07D-D7A5-4A82-9974-2F7D188A327C}" name="Quantity purchased (kg)"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6B9EEAE5-DA65-4591-8D17-A39534097D8F}"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00289E0A-AA2F-4F6D-9C1F-64798A67FDDE}" name="Product / service name" dataCellStyle="Input text"/>
    <tableColumn id="2" xr3:uid="{99DEEAE4-8001-4030-A744-493D3B8E7CCF}" name="Amount" dataCellStyle="Input number general"/>
    <tableColumn id="3" xr3:uid="{65AD00B5-8D5D-48EF-8140-1933B93A4B49}" name="Amount unit" dataCellStyle="Input tex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2482D0A4-E343-49AF-A89F-7331A897AF33}"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3AA6D92-9DEB-47A2-A151-C5AE06344386}" name="Service provider / contractor" dataCellStyle="Input text"/>
    <tableColumn id="4" xr3:uid="{19573732-124B-4844-92DA-ECBF91CB1303}" name="Activity" dataCellStyle="Input text"/>
    <tableColumn id="2" xr3:uid="{DE0B4D15-45D5-476E-B917-E3DA72C1F611}" name="Total amount" dataCellStyle="Input number general"/>
    <tableColumn id="3" xr3:uid="{331D8FCE-E1A5-430E-A455-5FE11BD0705B}"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953C8C53-2197-4700-A0DD-25638853F78D}" name="Table_Input_Pesticides" displayName="Table_Input_Pesticides" ref="D9:R19" totalsRowShown="0" headerRowDxfId="441">
  <autoFilter ref="D9:R19" xr:uid="{BA52E4BB-C3D1-441A-A568-0AD50449E880}"/>
  <tableColumns count="15">
    <tableColumn id="1" xr3:uid="{8EDA3FD7-2DD1-47A8-92D1-BBBDD58BDF7D}" name="Product name"/>
    <tableColumn id="2" xr3:uid="{4985ADD7-1356-4A3E-8C6E-7799531BA708}" name="Amount applied per ha"/>
    <tableColumn id="7" xr3:uid="{D007E8BA-6FD9-4E00-8B77-B64D27087EE6}" name="Application unit (select)" dataCellStyle="Input select"/>
    <tableColumn id="6" xr3:uid="{EEE2D144-7619-439D-9E65-EA3AD80A5F2A}" name="Application area (ha)" dataCellStyle="Input number general"/>
    <tableColumn id="3" xr3:uid="{75283A54-2DB5-424A-BB7C-E2424DB35846}" name="Total applied" dataCellStyle="Input number general calculated">
      <calculatedColumnFormula>Table_Input_Pesticides[[#This Row],[Amount applied per ha]]*Table_Input_Pesticides[[#This Row],[Application area (ha)]]</calculatedColumnFormula>
    </tableColumn>
    <tableColumn id="5" xr3:uid="{511AC206-3036-42E0-AD0C-607D6B3E4E13}" name="Constituent unit (select)" dataCellStyle="Input select"/>
    <tableColumn id="4" xr3:uid="{FA9036E8-3C05-4056-8ECB-6AE25F060BB7}" name="Active ingredient 1 (select)" dataCellStyle="Input select"/>
    <tableColumn id="8" xr3:uid="{8F048815-3A5B-4964-AF81-58F644B9DC3C}" name="Active ingredient 1 amount" dataCellStyle="Input number general"/>
    <tableColumn id="16" xr3:uid="{BA7F8B85-9AB9-4EE0-8F00-24161B9C1864}"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D8A11E0E-AB3F-4747-8B1E-505C495A1B3E}" name="Active ingredient 2 (select)" dataCellStyle="Input select"/>
    <tableColumn id="11" xr3:uid="{9F547E8A-9AB9-4491-B0E5-166EF35821A2}" name="Active ingredient 2 amount" dataCellStyle="Input number general"/>
    <tableColumn id="17" xr3:uid="{8D304FFC-7FC6-4F95-B2F0-A7D3F5DDB32E}"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391AC23C-DC70-4DF7-A4B6-113CB130EA07}" name="Active ingredient 3 (select)" dataCellStyle="Input select"/>
    <tableColumn id="14" xr3:uid="{09E1621A-C9DB-400B-8D72-4DE048ABB4D1}" name="Active ingredient 3 amount" dataCellStyle="Input number general"/>
    <tableColumn id="18" xr3:uid="{C9DF065F-3A01-426F-97C7-41C00111E0C9}"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4AFCBA4-6940-4D12-9339-E3E666F5A9C2}" name="Table_Input_FeedBlends" displayName="Table_Input_FeedBlends" ref="D18:Q28" totalsRowShown="0">
  <autoFilter ref="D18:Q28" xr:uid="{6EC3622A-9CA1-4931-8AAA-6FC289090D20}"/>
  <tableColumns count="14">
    <tableColumn id="1" xr3:uid="{C41FEC77-131E-4C61-96D0-C4F8F14B92EE}" name="Feed blend name" dataCellStyle="Input text"/>
    <tableColumn id="2" xr3:uid="{04491820-F8BB-4514-97E2-7BCE1AF746CB}" name="Amount fed (kg)"/>
    <tableColumn id="4" xr3:uid="{AAF96598-0C08-4B1C-B443-582542FC2F50}" name="Ingredient 1 (select)" dataCellStyle="Input select"/>
    <tableColumn id="3" xr3:uid="{0B123B05-9BDB-4D74-A045-697B388DBF5F}" name="Ingredient 1 source region" dataCellStyle="Input select"/>
    <tableColumn id="5" xr3:uid="{933922A0-6F4F-4E6A-A6E5-F1206558EB5C}" name="Ingredient 1 percent"/>
    <tableColumn id="6" xr3:uid="{D18966B6-A661-46C5-8AFD-415CECD95624}" name="Ingredient 2 (select)" dataCellStyle="Input select"/>
    <tableColumn id="14" xr3:uid="{F4C9890F-1E9A-409C-943C-CD9F6173BFC6}" name="Ingredient 2 source region" dataCellStyle="Input select"/>
    <tableColumn id="7" xr3:uid="{9DA751BF-67A7-4431-AE97-6DA307BB9187}" name="Ingredient 2 percent"/>
    <tableColumn id="8" xr3:uid="{D6D85DC8-6D07-4301-A650-DE66A899A85A}" name="Ingredient 3 (select)" dataCellStyle="Input select"/>
    <tableColumn id="15" xr3:uid="{30191BEE-A5B4-4393-B0A6-63B28B6D8ACD}" name="Ingredient 3 source region" dataCellStyle="Input select"/>
    <tableColumn id="9" xr3:uid="{F51AB4CB-CBE1-4C10-B274-782A87C223C2}" name="Ingredient 3 percent"/>
    <tableColumn id="10" xr3:uid="{76A162C3-2DC0-4A62-8A2B-3A676F84AB88}" name="Ingredient 4 (select)" dataCellStyle="Input select"/>
    <tableColumn id="16" xr3:uid="{00FDFC2A-8433-44E7-BBAD-72959F5BB2E6}" name="Ingredient 4 source region" dataCellStyle="Input select"/>
    <tableColumn id="11" xr3:uid="{31B04732-CFFF-4215-9B54-5C2F247061B7}" name="Ingredient 4 percen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AF2D4352-112B-498B-A9EC-ABB2E3A4D8EC}" name="Table_Input_ChemicalsPharmacy" displayName="Table_Input_ChemicalsPharmacy" ref="D32:F42" totalsRowShown="0" headerRowCellStyle="Input table column header">
  <autoFilter ref="D32:F42" xr:uid="{F7DA8543-C7DE-49A8-A739-D82C85B7B828}"/>
  <tableColumns count="3">
    <tableColumn id="3" xr3:uid="{B1917C5D-E67A-4735-AD3D-9050E88460D6}" name="Product name" dataCellStyle="Input text"/>
    <tableColumn id="1" xr3:uid="{23AD1563-263D-450B-92BC-316FC2CA489E}" name="Type (select)" dataDxfId="440" dataCellStyle="Input select"/>
    <tableColumn id="2" xr3:uid="{145AD196-AC0D-4971-88E3-7AEB79E147F4}" name="Number of head treated" dataDxfId="439"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DA5203F-3339-406A-AFCF-D45BD8EE4172}"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6494EE48-F1BE-4B1C-A654-C241465CC0FB}" name="Route name" dataCellStyle="Input text"/>
    <tableColumn id="2" xr3:uid="{6BAC8C9E-5FDD-4AE7-962C-25CE10395634}" name="Freight type (select)" dataCellStyle="Input select"/>
    <tableColumn id="3" xr3:uid="{18497E06-F670-45B7-B7BD-E6FE71D805D4}" name="Route distance (km)"/>
    <tableColumn id="4" xr3:uid="{2D4D7881-2FFC-4F79-A7B3-9CEEE01F5F13}" name="Average weight of freight per trip (t)"/>
    <tableColumn id="5" xr3:uid="{9ECF98F6-5013-4BF5-BEAA-FFFF20B35625}"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4363667A-7976-4EE9-99E2-173316783784}"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F8308CF9-AB68-4949-8458-74E448B4780E}" name="Route name" dataCellStyle="Input text"/>
    <tableColumn id="2" xr3:uid="{92B8011C-87A7-472F-B10B-00E59D56E1D8}" name="Freight type (select)" dataCellStyle="Input select"/>
    <tableColumn id="3" xr3:uid="{028C03EC-1EA9-436D-A9CB-8110DD08388D}" name="Route distance (km)"/>
    <tableColumn id="4" xr3:uid="{8D4B6EEE-F455-43DE-96A0-63868780D4B5}" name="Average weight of freight per trip (t)"/>
    <tableColumn id="5" xr3:uid="{0E1655D4-DCBD-4910-A7E8-B02CA7FB4EDF}"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FD6372E-13BE-454F-9A95-14D2337387DC}"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A58564EA-850C-45E8-9C4B-0E0A1819AD8B}" name="Description" dataCellStyle="Input text"/>
    <tableColumn id="5" xr3:uid="{142D6B72-0DFA-433D-85C3-5316CDC761C0}" name="Treatment type (select)" dataCellStyle="Input select"/>
    <tableColumn id="2" xr3:uid="{5E002FAC-7139-4BD9-B352-E3CADA492BE4}" name="Waste type (select)" dataCellStyle="Input select"/>
    <tableColumn id="3" xr3:uid="{5DE41EB4-C059-41D8-91E6-DFEBF5427B49}" name="Treatment location (select)" dataCellStyle="Input select"/>
    <tableColumn id="4" xr3:uid="{10FA05D2-17BA-4436-807D-D86C5788A74C}" name="Amount" dataCellStyle="Input number general"/>
    <tableColumn id="7" xr3:uid="{7D5552BB-3AB4-4E28-8EBC-CE63A3FF550F}"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8FE180D-09B2-462D-A75A-30AF5B040FF4}" name="Table_Input_DataQuality_Enterprise" displayName="Table_Input_DataQuality_Enterprise" ref="D7:J13" totalsRowShown="0" headerRowCellStyle="Input table column header">
  <autoFilter ref="D7:J13" xr:uid="{28FE180D-09B2-462D-A75A-30AF5B040FF4}"/>
  <tableColumns count="7">
    <tableColumn id="1" xr3:uid="{6891E09C-6D96-4827-89BC-323C45FF3013}" name="Data type" dataCellStyle="Content normal"/>
    <tableColumn id="2" xr3:uid="{68DFCF87-A6F7-4A80-91D7-A13481A1F22D}" name="When was the data sourced?" dataCellStyle="Input select"/>
    <tableColumn id="3" xr3:uid="{A40C00E6-56F7-4C78-BC6A-867F905FFAD9}" name="Where is the data sourced from?" dataCellStyle="Input select"/>
    <tableColumn id="4" xr3:uid="{4EEABB96-25B2-45E4-B55D-CC84B263097B}" name="How much of the data was from direct samples?" dataCellStyle="Input select"/>
    <tableColumn id="5" xr3:uid="{312AABBA-BFD5-4266-9524-F923958169B2}" name="Notes" dataDxfId="438"/>
    <tableColumn id="6" xr3:uid="{11350DC8-38DD-4ED1-9576-EFE00DF98F4A}" name="Evidence files" dataDxfId="437"/>
    <tableColumn id="7" xr3:uid="{CE5261A6-B4FC-4B62-A6AC-54C6FAAD82CB}" name="Score" dataCellStyle="Input number general calculated">
      <calculatedColumnFormula>IFERROR(_xlfn.XLOOKUP(Table_Input_DataQuality_Enterprise[[#This Row],[When was the data sourced?]],#REF!,#REF!)+_xlfn.XLOOKUP(Table_Input_DataQuality_Enterprise[[#This Row],[Where is the data sourced from?]],#REF!,#REF!)+_xlfn.XLOOKUP(Table_Input_DataQuality_Enterprise[[#This Row],[How much of the data was from direct samples?]],#REF!,#REF!), 0)</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C575DA4-A4D3-41A2-B085-8B83737CAEC6}" name="Table_Input_DataQuality_Site" displayName="Table_Input_DataQuality_Site" ref="D18:J24" totalsRowShown="0" headerRowCellStyle="Input table column header">
  <autoFilter ref="D18:J24" xr:uid="{2C575DA4-A4D3-41A2-B085-8B83737CAEC6}"/>
  <tableColumns count="7">
    <tableColumn id="1" xr3:uid="{F4C76991-9400-47EC-8B69-3E0378128164}" name="Data type" dataCellStyle="Content normal"/>
    <tableColumn id="2" xr3:uid="{1143E7AA-62A8-44F3-B5BF-BE2379B4B905}" name="When was the data sourced?" dataCellStyle="Input select"/>
    <tableColumn id="3" xr3:uid="{828C0D88-9EF8-44A0-A6D3-0BE733D06B61}" name="Where is the data sourced from?" dataCellStyle="Input select"/>
    <tableColumn id="4" xr3:uid="{F8C7296B-21A2-4BA8-804A-1A97D5DE5C58}" name="How much of the data was from direct samples?" dataCellStyle="Input select"/>
    <tableColumn id="5" xr3:uid="{54570952-48C1-47E8-B45A-471C0BA7AD1C}" name="Notes" dataDxfId="436"/>
    <tableColumn id="6" xr3:uid="{AB44CE99-224A-437D-A5B1-932D9C46AAB8}" name="Evidence files" dataDxfId="435"/>
    <tableColumn id="7" xr3:uid="{1FE786EC-0690-4DC1-8777-E78069DC2895}" name="Score" dataCellStyle="Input number general calculated">
      <calculatedColumnFormula>IFERROR(_xlfn.XLOOKUP(Table_Input_DataQuality_Site[[#This Row],[When was the data sourced?]],#REF!,#REF!)+_xlfn.XLOOKUP(Table_Input_DataQuality_Site[[#This Row],[Where is the data sourced from?]],#REF!,#REF!)+_xlfn.XLOOKUP(Table_Input_DataQuality_Site[[#This Row],[How much of the data was from direct samples?]],#REF!,#REF!), 0)</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DAF9A96-F977-441F-8621-B54D31D9D7F8}" name="Table_Input_DataQuality_PastureBeef" displayName="Table_Input_DataQuality_PastureBeef" ref="D29:J41" totalsRowShown="0" headerRowCellStyle="Input table column header">
  <autoFilter ref="D29:J41" xr:uid="{2DAF9A96-F977-441F-8621-B54D31D9D7F8}"/>
  <tableColumns count="7">
    <tableColumn id="1" xr3:uid="{7410CAF1-A32D-4D20-9E8D-20497565EE6C}" name="Data type" dataCellStyle="Content normal"/>
    <tableColumn id="2" xr3:uid="{AC0AD7C7-1285-46C1-8760-677E5A7A447B}" name="When was the data sourced?" dataCellStyle="Input select"/>
    <tableColumn id="3" xr3:uid="{E7C35A28-6D7F-443C-BE27-871888F6021C}" name="Where is the data sourced from?" dataCellStyle="Input select"/>
    <tableColumn id="4" xr3:uid="{7CE87797-11C2-4242-9B92-06262C7B78FB}" name="How much of the data was from direct samples?" dataCellStyle="Input select"/>
    <tableColumn id="5" xr3:uid="{FDAFFFA7-0A46-4B10-B5C5-9C9D3BF63530}" name="Notes" dataDxfId="434"/>
    <tableColumn id="6" xr3:uid="{8407DCE3-2C71-4594-89B2-6C5DC5A27F02}" name="Evidence files" dataDxfId="433"/>
    <tableColumn id="7" xr3:uid="{55D19874-2970-424B-BFAA-72F0A3A76D94}" name="Score" dataCellStyle="Input number general calculated">
      <calculatedColumnFormula>IFERROR(_xlfn.XLOOKUP(Table_Input_DataQuality_PastureBeef[[#This Row],[When was the data sourced?]],#REF!,#REF!)+_xlfn.XLOOKUP(Table_Input_DataQuality_PastureBeef[[#This Row],[Where is the data sourced from?]],#REF!,#REF!)+_xlfn.XLOOKUP(Table_Input_DataQuality_PastureBeef[[#This Row],[How much of the data was from direct samples?]],#REF!,#REF!), 0)</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11B488B-482B-4D1F-B574-EC6A7C2A7963}" name="Table_Input_DataQuality_PastureManagement" displayName="Table_Input_DataQuality_PastureManagement" ref="D46:J51" totalsRowShown="0" headerRowCellStyle="Input table column header">
  <autoFilter ref="D46:J51" xr:uid="{311B488B-482B-4D1F-B574-EC6A7C2A7963}"/>
  <tableColumns count="7">
    <tableColumn id="1" xr3:uid="{1FF92347-2C85-4DFF-AD7B-1165C35BB5F4}" name="Data type" dataCellStyle="Content normal"/>
    <tableColumn id="2" xr3:uid="{1A35F5F3-7B50-427A-974B-341C1D9579E5}" name="When was the data sourced?" dataCellStyle="Input select"/>
    <tableColumn id="3" xr3:uid="{43931A0A-B807-40B1-9CFF-AB3981E9BF81}" name="Where is the data sourced from?" dataCellStyle="Input select"/>
    <tableColumn id="4" xr3:uid="{085426B4-0983-452B-ABF3-4650427E6FB2}" name="How much of the data was from direct samples?" dataCellStyle="Input select"/>
    <tableColumn id="5" xr3:uid="{540CDA6F-B045-4E43-B004-48C29A66E6C7}" name="Notes" dataDxfId="432"/>
    <tableColumn id="6" xr3:uid="{4E8DFB0B-42BF-4238-AE47-4694D0ABF414}" name="Evidence files" dataDxfId="431"/>
    <tableColumn id="7" xr3:uid="{99FD6CF0-B6A4-43E3-9E7B-C0828CA99963}" name="Score" dataCellStyle="Input number general calculated">
      <calculatedColumnFormula>IFERROR(_xlfn.XLOOKUP(Table_Input_DataQuality_PastureManagement[[#This Row],[When was the data sourced?]],#REF!,#REF!)+_xlfn.XLOOKUP(Table_Input_DataQuality_PastureManagement[[#This Row],[Where is the data sourced from?]],#REF!,#REF!)+_xlfn.XLOOKUP(Table_Input_DataQuality_PastureManagement[[#This Row],[How much of the data was from direct samples?]],#REF!,#REF!), 0)</calculatedColumnFormula>
    </tableColumn>
  </tableColumns>
  <tableStyleInfo name="Edita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34DC06-981B-4CDD-9E4F-DD2783BC3739}" name="Table_Input_DataQuality_FertiliserApplications" displayName="Table_Input_DataQuality_FertiliserApplications" ref="D56:J60" totalsRowShown="0" headerRowCellStyle="Input table column header">
  <autoFilter ref="D56:J60" xr:uid="{A934DC06-981B-4CDD-9E4F-DD2783BC3739}"/>
  <tableColumns count="7">
    <tableColumn id="1" xr3:uid="{C0D29A74-4487-4BD6-B5EC-A6090FC2A710}" name="Data type" dataCellStyle="Content normal"/>
    <tableColumn id="2" xr3:uid="{69E55B12-88FD-4BFF-856B-A38450A42351}" name="When was the data sourced?" dataCellStyle="Input select"/>
    <tableColumn id="3" xr3:uid="{B055C1AD-6B83-432C-9F45-11C649F30314}" name="Where is the data sourced from?" dataCellStyle="Input select"/>
    <tableColumn id="4" xr3:uid="{BF029F0D-7D8D-4D09-A265-6DD56CC2395F}" name="How much of the data was from direct samples?" dataCellStyle="Input select"/>
    <tableColumn id="5" xr3:uid="{719E0D1E-E7A3-4744-BEE9-0CDED15EECF4}" name="Notes" dataDxfId="430"/>
    <tableColumn id="6" xr3:uid="{59BA769D-6DE0-45F8-9AE4-CE630F78ADD3}" name="Evidence files" dataDxfId="429"/>
    <tableColumn id="7" xr3:uid="{AAA07962-65D6-499A-961F-5DA90E26C83A}" name="Score" dataCellStyle="Input number general calculated">
      <calculatedColumnFormula>IFERROR(_xlfn.XLOOKUP(Table_Input_DataQuality_FertiliserApplications[[#This Row],[When was the data sourced?]],#REF!,#REF!)+_xlfn.XLOOKUP(Table_Input_DataQuality_FertiliserApplications[[#This Row],[Where is the data sourced from?]],#REF!,#REF!)+_xlfn.XLOOKUP(Table_Input_DataQuality_FertiliserApplications[[#This Row],[How much of the data was from direct samples?]],#REF!,#REF!), 0)</calculatedColumnFormula>
    </tableColumn>
  </tableColumns>
  <tableStyleInfo name="Edita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A539BB-F05B-4456-BA41-5371F02C7A22}" name="Table_Input_DataQuality_FuelElectricity" displayName="Table_Input_DataQuality_FuelElectricity" ref="D65:J69" totalsRowShown="0" headerRowCellStyle="Input table column header">
  <autoFilter ref="D65:J69" xr:uid="{19A539BB-F05B-4456-BA41-5371F02C7A22}"/>
  <tableColumns count="7">
    <tableColumn id="1" xr3:uid="{6A7C792A-607C-4FD4-96D7-7504D4E4B802}" name="Data type" dataCellStyle="Content normal"/>
    <tableColumn id="2" xr3:uid="{52C64A20-79AA-4425-85FA-8095D6843A30}" name="When was the data sourced?" dataCellStyle="Input select"/>
    <tableColumn id="3" xr3:uid="{1CB192FD-80D3-400C-BB36-D4F7EF70D27C}" name="Where is the data sourced from?" dataCellStyle="Input select"/>
    <tableColumn id="4" xr3:uid="{3B9B8CC5-F3E8-4E1A-8F68-1416E7572F47}" name="How much of the data was from direct samples?" dataCellStyle="Input select"/>
    <tableColumn id="5" xr3:uid="{008AC1CB-FE9D-4303-9F4F-22C168CC47A0}" name="Notes" dataDxfId="428"/>
    <tableColumn id="6" xr3:uid="{5014AEED-6FC3-4D88-9D37-146835135CBE}" name="Evidence files" dataDxfId="427"/>
    <tableColumn id="7" xr3:uid="{1B5A6979-2182-4CA3-8C33-274D46A3229F}"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73E621-7DB1-4295-9961-C61CC800B135}" name="Table_Input_DataQuality_FarmInputsFreightWaste" displayName="Table_Input_DataQuality_FarmInputsFreightWaste" ref="D75:J79" totalsRowShown="0" headerRowCellStyle="Input table column header">
  <autoFilter ref="D75:J79" xr:uid="{B673E621-7DB1-4295-9961-C61CC800B135}"/>
  <tableColumns count="7">
    <tableColumn id="1" xr3:uid="{25477CEA-09D1-4F2E-858D-E5B2B52CA880}" name="Data type" dataCellStyle="Content normal"/>
    <tableColumn id="2" xr3:uid="{8C7E7881-1860-4180-B538-825A80D47FF5}" name="When was the data sourced?" dataCellStyle="Input select"/>
    <tableColumn id="3" xr3:uid="{27F48332-E1B6-4C4D-BBAA-CBFB23977161}" name="Where is the data sourced from?" dataCellStyle="Input select"/>
    <tableColumn id="4" xr3:uid="{BBFCE3B0-5D6C-410D-9626-0A3427B2279C}" name="How much of the data was from direct samples?" dataCellStyle="Input select"/>
    <tableColumn id="5" xr3:uid="{6F18E8CD-2E03-497F-AEA7-2F9200F34478}" name="Notes" dataDxfId="426"/>
    <tableColumn id="6" xr3:uid="{A8148FCB-F76E-4E6E-A140-C2F5CA96A211}" name="Evidence files" dataDxfId="425"/>
    <tableColumn id="7" xr3:uid="{80B2DAE6-FCD5-49CC-8620-FFFC3957CF38}"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D4031F-063A-4B5A-A366-0D4FAE814556}" name="Table_SourceData_PastureBeef_CropProdSystems" displayName="Table_SourceData_PastureBeef_CropProdSystems" ref="D7:D9" totalsRowShown="0">
  <autoFilter ref="D7:D9" xr:uid="{B6F3FE3A-A0B5-47E7-85B2-8426FB75A7C8}">
    <filterColumn colId="0" hiddenButton="1"/>
  </autoFilter>
  <tableColumns count="1">
    <tableColumn id="1" xr3:uid="{D4547B79-CD87-4C0E-B0E6-642484BA4234}" name="Production system">
      <calculatedColumnFormula>#REF!</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E177F-D3F0-4690-852C-F6D878B1473D}"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82F38B93-8830-4C7F-B8CF-F25C4BA01BF8}" name="Irrigation method"/>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AC609EE-927E-4BFD-B2B1-2AB5F3775C3D}"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9F23550-8500-4762-A623-F126BB42185D}" name="State">
      <calculatedColumnFormula array="1">Common_InputFunctions.Utility_DisplayArrayInTable(SourceData_PastureBeef.SourceData_PastureBeef_Liveweight_Data(), Table_SourceData_PastureBeef_Liveweight[[#Headers],[State]], 0)</calculatedColumnFormula>
    </tableColumn>
    <tableColumn id="2" xr3:uid="{B3905617-5E57-46BD-8743-9986F0330E94}" name="Region" dataDxfId="424" dataCellStyle="Content normal">
      <calculatedColumnFormula array="1">Common_InputFunctions.Utility_DisplayArrayInTable(SourceData_PastureBeef.SourceData_PastureBeef_Liveweight_Data(), Table_SourceData_PastureBeef_Liveweight[[#Headers],[State]], 0)</calculatedColumnFormula>
    </tableColumn>
    <tableColumn id="3" xr3:uid="{50C89860-1D0A-4F20-8A2F-FAB8039A942C}" name="Season" dataDxfId="423" dataCellStyle="Content normal">
      <calculatedColumnFormula array="1">Common_InputFunctions.Utility_DisplayArrayInTable(SourceData_PastureBeef.SourceData_PastureBeef_Liveweight_Data(), Table_SourceData_PastureBeef_Liveweight[[#Headers],[State]], 0)</calculatedColumnFormula>
    </tableColumn>
    <tableColumn id="4" xr3:uid="{0712D93F-E750-4FB1-8B45-1380324870BE}" name="Bull &lt; 1" dataDxfId="422" dataCellStyle="Content normal">
      <calculatedColumnFormula array="1">Common_InputFunctions.Utility_DisplayArrayInTable(SourceData_PastureBeef.SourceData_PastureBeef_Liveweight_Data(), Table_SourceData_PastureBeef_Liveweight[[#Headers],[State]], 0)</calculatedColumnFormula>
    </tableColumn>
    <tableColumn id="5" xr3:uid="{C071B89D-036B-40BC-B9AB-460BC91FB66D}" name="Bull &gt; 1" dataDxfId="421" dataCellStyle="Content normal">
      <calculatedColumnFormula array="1">Common_InputFunctions.Utility_DisplayArrayInTable(SourceData_PastureBeef.SourceData_PastureBeef_Liveweight_Data(), Table_SourceData_PastureBeef_Liveweight[[#Headers],[State]], 0)</calculatedColumnFormula>
    </tableColumn>
    <tableColumn id="6" xr3:uid="{23CED020-47C7-4BC9-B670-8B1424EE0EE6}" name="Cow &lt; 1" dataDxfId="420" dataCellStyle="Content normal">
      <calculatedColumnFormula array="1">Common_InputFunctions.Utility_DisplayArrayInTable(SourceData_PastureBeef.SourceData_PastureBeef_Liveweight_Data(), Table_SourceData_PastureBeef_Liveweight[[#Headers],[State]], 0)</calculatedColumnFormula>
    </tableColumn>
    <tableColumn id="7" xr3:uid="{E10571E8-1ACC-47F0-B877-1D287B671A26}" name="Cow 1-2" dataDxfId="419" dataCellStyle="Content normal">
      <calculatedColumnFormula array="1">Common_InputFunctions.Utility_DisplayArrayInTable(SourceData_PastureBeef.SourceData_PastureBeef_Liveweight_Data(), Table_SourceData_PastureBeef_Liveweight[[#Headers],[State]], 0)</calculatedColumnFormula>
    </tableColumn>
    <tableColumn id="8" xr3:uid="{FD2EAA97-3E29-4C1E-B2F5-BF7D44DF5948}" name="Cow &gt; 2" dataDxfId="418" dataCellStyle="Content normal">
      <calculatedColumnFormula array="1">Common_InputFunctions.Utility_DisplayArrayInTable(SourceData_PastureBeef.SourceData_PastureBeef_Liveweight_Data(), Table_SourceData_PastureBeef_Liveweight[[#Headers],[State]], 0)</calculatedColumnFormula>
    </tableColumn>
    <tableColumn id="9" xr3:uid="{C672BBAB-4511-46E7-B460-931C752D909D}" name="Steer &lt; 1" dataDxfId="417"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0FD6B926-7FD2-4A3F-8373-401A7D6AD915}" name="Steer &gt; 1" dataDxfId="416"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F17B544-AFA4-4E71-8D47-F61D8D3C7C44}"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D06236A-A46B-463E-85D1-744A3A1ADF66}" name="State">
      <calculatedColumnFormula array="1">Common_InputFunctions.Utility_DisplayArrayInTable(SourceData_PastureBeef.SourceData_PastureBeef_LiveweightNTQLD_Data(),Table_SourceData_PastureBeef_LiveweightNTQD[[#Headers],[State]], 0)</calculatedColumnFormula>
    </tableColumn>
    <tableColumn id="2" xr3:uid="{DA5BC7B2-41C5-4B28-BAB0-F6C5F759CF37}" name="Region" dataDxfId="4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7E7370-2DE5-47D2-9131-A7AC77DD0275}" name="Season" dataDxfId="4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DB1C5E87-E00B-4511-82A9-BA06FA9B8BA3}" name="Bull &lt;1" dataDxfId="4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1F12E4D5-533C-4058-9BFB-C8968AADF493}" name="Bull &gt;1" dataDxfId="4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5AE747C7-C067-498E-9027-0742A1CEF861}" name="Cows &lt;1" dataDxfId="4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77ED3188-11AB-45DE-A11F-C353113DA724}" name="Cows 1-2" dataDxfId="4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6138FA61-00DB-458A-809E-7AA061AE8697}" name="Cows 2-3" dataDxfId="4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46633552-7CAE-43A5-A530-E10160727264}" name="Cows &gt;3" dataDxfId="4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E0F23DCC-AA62-4506-8E70-2508FA9E9282}" name="Steer &lt;1" dataDxfId="4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04024019-F3F6-4D57-A0C9-568B6B4AF822}" name="Steer 1-2" dataDxfId="4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085FD340-CD54-43FE-BA41-5AB7C098C6EB}" name="Steer 2-3" dataDxfId="4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48C3D1EB-BDAD-40EB-A44F-3FF9E3D1949E}" name="Steer &gt;3" dataDxfId="404"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6513EF-77F4-4C69-8AF4-CB6AA01226C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BD20F15-6462-4BFF-A3CE-6ABE8AB209A9}" name="State"/>
    <tableColumn id="2" xr3:uid="{D9FB8C40-8C7A-40E7-8C3F-DB8EC3C47D4D}" name="Region">
      <calculatedColumnFormula>E22</calculatedColumnFormula>
    </tableColumn>
    <tableColumn id="3" xr3:uid="{A473123F-9AC9-4840-8989-1764423E6FA8}" name="Season">
      <calculatedColumnFormula>F22</calculatedColumnFormula>
    </tableColumn>
    <tableColumn id="4" xr3:uid="{DB5C6FCB-F260-4F41-8113-B97805EBBE92}" name="Bulls &lt; 1 year">
      <calculatedColumnFormula>G22</calculatedColumnFormula>
    </tableColumn>
    <tableColumn id="5" xr3:uid="{0F97FDB7-27DD-4766-BC15-737E4675AC4D}" name="Bulls &gt; 1 year">
      <calculatedColumnFormula>H22</calculatedColumnFormula>
    </tableColumn>
    <tableColumn id="6" xr3:uid="{4D67D277-59A7-417E-A0E1-2F00AD38A6EC}" name="Cows &lt; 1 year">
      <calculatedColumnFormula>I22</calculatedColumnFormula>
    </tableColumn>
    <tableColumn id="7" xr3:uid="{5EE986E7-9B17-417A-A8C0-190816DD1491}" name="Cows 1-2 years">
      <calculatedColumnFormula>J22</calculatedColumnFormula>
    </tableColumn>
    <tableColumn id="8" xr3:uid="{62FB48AE-CFA8-4DC4-AB6A-9451DB74AD1E}" name="Cows 2-3 years">
      <calculatedColumnFormula>K22</calculatedColumnFormula>
    </tableColumn>
    <tableColumn id="9" xr3:uid="{F2866204-481E-4458-8A7E-DEF6FBC521FE}" name="Cows &gt; 3 years">
      <calculatedColumnFormula>L22</calculatedColumnFormula>
    </tableColumn>
    <tableColumn id="10" xr3:uid="{081BAD76-CEF6-4E64-BC5F-8F545B28D644}" name="Steers &lt; 1 year">
      <calculatedColumnFormula>M22</calculatedColumnFormula>
    </tableColumn>
    <tableColumn id="11" xr3:uid="{CE56EC8D-1C0B-453F-9BD5-0E49455A1246}" name="Steers 1-2 years">
      <calculatedColumnFormula>N22</calculatedColumnFormula>
    </tableColumn>
    <tableColumn id="12" xr3:uid="{7B7F6D17-53B4-402B-8289-7323D39E0F12}" name="Steers 2-3 years">
      <calculatedColumnFormula>#REF!</calculatedColumnFormula>
    </tableColumn>
    <tableColumn id="13" xr3:uid="{21DA5CBB-2AB4-4414-AF00-54084A7E749F}" name="Steers &gt;3 years">
      <calculatedColumnFormula>P22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650EF07-3E27-4C07-8606-49A38B10C73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FF311015-1EF7-40AB-AA13-C4EB983364AC}" name="Regio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1E2CC39-18F3-43AA-AD0F-E5C8F66711C3}"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DFE0424-92A4-41EE-B54C-758751AEA2C8}" name="Regio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C72C322-33A5-4565-ACAB-F1D2EB7AE13B}"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3CDD853-D35D-45BC-BC2C-F2723D6ACE3E}" name="Regio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34C278-7E34-4A41-9E05-58055902978A}" name="Table_SourceData_PastureBeef_Region_Victoria" displayName="Table_SourceData_PastureBeef_Region_Victoria" ref="S7:S8" totalsRowShown="0">
  <autoFilter ref="S7:S8" xr:uid="{7D474D93-C1E0-4898-A434-69585070D0B9}">
    <filterColumn colId="0" hiddenButton="1"/>
  </autoFilter>
  <tableColumns count="1">
    <tableColumn id="1" xr3:uid="{C1CEF661-FD34-4ABE-86D3-FF68E5FA8C96}" name="Regio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63F87D7-654C-413C-B601-688E688D1DF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8FA3F5D3-6CB4-46A8-B5F5-14D2D706DA0D}" name="Regio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985B151-5810-4279-8FB5-8B370C87E307}"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E219A316-BCE8-43BB-B906-222EC1B3080E}" name="Regio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2D10875-C79C-4E25-BD4F-9260A5E7B542}" name="Table_SourceData_PastureBeef_Region_Tasmania" displayName="Table_SourceData_PastureBeef_Region_Tasmania" ref="S22:S23" totalsRowShown="0">
  <autoFilter ref="S22:S23" xr:uid="{4E5A7E40-F6AE-4323-873A-9AB20571A18A}">
    <filterColumn colId="0" hiddenButton="1"/>
  </autoFilter>
  <tableColumns count="1">
    <tableColumn id="1" xr3:uid="{7EE1EE1B-0E70-4CA3-9D39-4833693E5EF2}" name="Regio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D35D1E5-FED6-4F98-9A96-1C321E9AC29A}" name="Table_SourceData_PastureBeef_Region_ACT" displayName="Table_SourceData_PastureBeef_Region_ACT" ref="S27:S28" totalsRowShown="0">
  <autoFilter ref="S27:S28" xr:uid="{3655B7FD-A2CC-4B05-9668-16F7A54ED6C1}">
    <filterColumn colId="0" hiddenButton="1"/>
  </autoFilter>
  <tableColumns count="1">
    <tableColumn id="1" xr3:uid="{E6A9BBF5-42FC-4D2E-BEFA-F549FA2B2D30}" name="Regio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4E0483C-11C8-4480-B7D2-69BA5121F8F4}"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B6E829-5F2B-4975-A2CA-19E9E62EE0D5}" name="State">
      <calculatedColumnFormula array="1">Common_InputFunctions.Utility_DisplayArrayInTable(SourceData_PastureBeef.SourceData_PastureBeef_LiveweightGain_Data(), Table_SourceData_PastureBeef_LiveweightGain[[#Headers],[State]],0)</calculatedColumnFormula>
    </tableColumn>
    <tableColumn id="2" xr3:uid="{5478ACFF-3DEC-4E31-AE98-53CA2BBC9E68}" name="Region" dataDxfId="4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1FF5493-AECD-4ADA-816C-44450F564C1C}" name="Season" dataDxfId="4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8001FA-4280-46D7-A640-57D8FD30E696}" name="Bull &lt;1" dataDxfId="4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79E352C7-B35A-4003-9F47-179AEC884672}" name="Bull &gt;1" dataDxfId="400"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5429645D-A599-4EC9-BB59-E3F4F7AA56EB}" name="Cow &lt;1" dataDxfId="399"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C3D4EC41-7AC7-4F04-8A75-ACD4137D9AC2}" name="Cow 1-2" dataDxfId="3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FF5B13D1-E04D-4F9C-8A09-FA6E07EE236B}" name="Cow &gt;2" dataDxfId="3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31A1C9E9-90CD-4E54-8D11-32B8CD6300D0}" name="Steer &lt;1" dataDxfId="3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AD0D1E4D-9CA9-4F11-9A80-E8B1B6E47EBF}" name="Steer &gt;1" dataDxfId="395"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E5483C2-1E7D-4642-A554-EEC966105F76}"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088709E-8F6A-4418-8AFE-E1AA71F0E929}" name="State">
      <calculatedColumnFormula array="1">Common_InputFunctions.Utility_DisplayArrayInTable(SourceData_PastureBeef.SourceData_PastureBeef_LiveweightGainNTQLD_Data(),Table_SourceData_PastureBeef_LiveweightGainNTQLD[[#Headers],[State]],0)</calculatedColumnFormula>
    </tableColumn>
    <tableColumn id="2" xr3:uid="{08D915AE-C81E-4A27-B0C4-7B80317D26E3}" name="Region" dataDxfId="3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15676697-758B-4538-BFBC-64257C03BC2C}" name="Season" dataDxfId="3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92A84285-6C79-421D-AB4F-C97DB809E2D4}" name="Bull &lt;1" dataDxfId="3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F9F437C7-BAED-491F-B1E5-C819E7A91F2D}" name="Bull &gt;1" dataDxfId="3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7EA1736A-49F2-40D5-886D-23F328FFC211}" name="Cow &lt;1" dataDxfId="3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A2EACE81-8009-4E5C-8B02-06ADBAE6C293}" name="Cow 1-2" dataDxfId="3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F8A1D90-135E-4763-86BD-10BF99759B05}" name="Cow 2-3" dataDxfId="3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D012CAE8-4DE0-4943-84DA-E1AB0AD44405}" name="Cow &gt;3" dataDxfId="3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74EA0C6-4798-4585-A120-58F565BAB0B4}" name="Steer &lt;1" dataDxfId="3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9022B83C-5F98-4782-8D38-1EF611952D5F}" name="Steer 1-2" dataDxfId="3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F4DF686-1556-4A54-A86B-99DBD5E10C37}" name="Steer 2-3" dataDxfId="3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57DFD7A4-516F-463A-910B-691048ABBDA6}" name="Steer &gt;3" dataDxfId="3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DF7D257-C50C-4DAD-9904-6BE1F11A6E32}"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FDB9970-4A92-46B3-B0B6-A33993C84AEF}" name="State"/>
    <tableColumn id="2" xr3:uid="{535EF38D-75B6-4D5A-9C97-3B65A41B45CD}" name="Region">
      <calculatedColumnFormula>E159</calculatedColumnFormula>
    </tableColumn>
    <tableColumn id="3" xr3:uid="{4A86A574-6677-49EC-89E9-D087B396D559}" name="Season">
      <calculatedColumnFormula>F159</calculatedColumnFormula>
    </tableColumn>
    <tableColumn id="4" xr3:uid="{D2A51FB0-7B8C-4807-B7A8-8FD973BA364D}" name="Bulls &lt; 1 year">
      <calculatedColumnFormula>G159</calculatedColumnFormula>
    </tableColumn>
    <tableColumn id="5" xr3:uid="{ED8864FA-8F06-48D3-A98C-830A7F8DDC42}" name="Bulls &gt; 1 year">
      <calculatedColumnFormula>H159</calculatedColumnFormula>
    </tableColumn>
    <tableColumn id="6" xr3:uid="{64DB57B2-69B9-466D-A19D-B7DC9927665C}" name="Cows &lt; 1 year">
      <calculatedColumnFormula>I159</calculatedColumnFormula>
    </tableColumn>
    <tableColumn id="7" xr3:uid="{DC2D7E11-6FC7-43AA-B564-CED8114C4085}" name="Cows 1-2 years">
      <calculatedColumnFormula>J159</calculatedColumnFormula>
    </tableColumn>
    <tableColumn id="8" xr3:uid="{C808143A-40AB-40BD-A292-F42375D0E3A7}" name="Cows 2-3 years">
      <calculatedColumnFormula>K159</calculatedColumnFormula>
    </tableColumn>
    <tableColumn id="9" xr3:uid="{31FF8760-6A3C-4CD5-A023-F0993AEC218F}" name="Cows &gt; 3 years">
      <calculatedColumnFormula>L159</calculatedColumnFormula>
    </tableColumn>
    <tableColumn id="10" xr3:uid="{B0A090C9-AD14-4488-8688-1BFD1D7318FD}" name="Steers &lt; 1 year">
      <calculatedColumnFormula>M159</calculatedColumnFormula>
    </tableColumn>
    <tableColumn id="11" xr3:uid="{75C75CAB-8DBA-47EA-9E57-039D19A2FA30}" name="Steers 1-2 years">
      <calculatedColumnFormula>N159</calculatedColumnFormula>
    </tableColumn>
    <tableColumn id="12" xr3:uid="{80915AFA-E6FD-4100-AF2D-9F8C3FE30CB3}" name="Steers 2-3 years">
      <calculatedColumnFormula>O159</calculatedColumnFormula>
    </tableColumn>
    <tableColumn id="13" xr3:uid="{74CE3F56-0EBD-44EF-8FD9-1E8E8A43ADF8}" name="Steers &gt;3 years">
      <calculatedColumnFormula>P159</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7587A27-D0E4-4D2A-AE57-56305D8C1D33}"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7B9853E5-098F-4C33-9D64-0A60FDF8AABB}"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F484A928-5DCE-4600-BFB6-13F4C14880A5}" name="Region" dataDxfId="38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E4B1BAA-7977-4F90-967B-C967F3E53DE2}" name="Spring" dataDxfId="38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2B1F06B-1FEB-4F84-9436-AE0FED3A0F79}" name="Summer" dataDxfId="38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94D1E2A4-6F52-4E2E-925A-F95E38610E42}" name="Autumn" dataDxfId="37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FE3677-4F51-4F2A-B40F-1B22B5E7A9AC}" name="Winter" dataDxfId="37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63D2C47-2157-4EA9-85BA-06BAE1152232}" name="Table_SourceData_PastureBeef_CrudeProtein" displayName="Table_SourceData_PastureBeef_CrudeProtein" ref="D313:I328" totalsRowShown="0" dataDxfId="377"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40A28BD4-9C74-4B3D-B80F-2045B2FB249B}" name="State" dataDxfId="3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61EC04A3-9E03-4DB2-B20D-4B13A7585C11}" name="Region" dataDxfId="37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875ACB5-90B8-48D2-AF3B-0BE38B31FC14}" name="Spring" dataDxfId="37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65601E5-759C-41B7-8A5A-E8A88E5CA844}" name="Summer" dataDxfId="37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B1B97B6D-981B-400F-88CB-12693BB4894D}" name="Autumn" dataDxfId="37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32EA8B23-19F9-4D6B-953E-F6207ED8BD36}" name="Winter" dataDxfId="3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1300655-4593-4A70-B8AC-7903921EA94F}"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1FCC59B9-36C3-4915-A1D1-E57D15119601}"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EBAEC921-4D88-44B9-9855-C29894712C14}" name="Season" dataDxfId="37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B499C45B-EF14-407F-B49F-454F84864AE2}" name="Feed adjustment" dataDxfId="36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FDCD17E5-4EB4-42AC-A174-602F02B24DA4}" name="Milk intake/production" dataDxfId="36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C383FFE-15CB-451C-8543-0615E5CB80D0}"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9EC86F3-8FFB-4B97-B0AA-FAC0DCE662A5}"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E1F71F85-5202-42A6-9DB6-7E6BD5CF20C5}" name="Bulls &lt;1" dataDxfId="3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FA838283-FF19-4179-AC89-C4B5C1D5D95B}" name="Bulls &gt;1" dataDxfId="3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3AEBA8AF-BD9E-4BFE-937A-EF7FD754F0FC}" name="Cows &lt;1" dataDxfId="3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EF572316-D148-4130-BEFC-CBEBD8FB5CC2}" name="Cows 1-2" dataDxfId="36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6FB5F189-0998-4123-B773-6EC5C2BA280A}" name="Cows &gt;2" dataDxfId="36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9D7C0538-C0C4-4F11-B1B3-0C39E39F07DD}" name="Steer &lt;1" dataDxfId="3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3EF96E95-F346-4585-9F31-54A23FF934C8}" name="Steer &gt;1" dataDxfId="3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CE2CBC88-47C3-4765-9E4F-26827FC11468}" name="State abbreviation" dataDxfId="3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CD675171-7694-40B7-8D4D-D1EFEC298532}"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8F536A29-D199-444D-AD3C-36006EE3B8AD}" name="State" dataDxfId="359" dataCellStyle="Content normal">
      <calculatedColumnFormula>D351</calculatedColumnFormula>
    </tableColumn>
    <tableColumn id="2" xr3:uid="{6BEACA83-4C43-4D8F-9DD8-EECD1113A6AC}" name="Bulls &lt; 1 year" dataDxfId="358" dataCellStyle="Content normal">
      <calculatedColumnFormula>E351</calculatedColumnFormula>
    </tableColumn>
    <tableColumn id="3" xr3:uid="{231CBCA8-EDE8-4C8E-8929-45CB3AD0222C}" name="Bulls &gt; 1 year" dataDxfId="357" dataCellStyle="Content normal">
      <calculatedColumnFormula>F351</calculatedColumnFormula>
    </tableColumn>
    <tableColumn id="4" xr3:uid="{51E58758-1CE8-4EAD-939A-8FB8D1674EF9}" name="Cows &lt; 1 year" dataDxfId="356" dataCellStyle="Content normal">
      <calculatedColumnFormula>G351</calculatedColumnFormula>
    </tableColumn>
    <tableColumn id="5" xr3:uid="{2D18C71B-83B5-49BF-9DA4-6DD888E8EEF1}" name="Cows 1-2 years" dataDxfId="355" dataCellStyle="Content normal">
      <calculatedColumnFormula>H351</calculatedColumnFormula>
    </tableColumn>
    <tableColumn id="6" xr3:uid="{AA0F4BD6-0EF4-47AF-8DF2-3127009B0DE5}" name="Cows 2-3 years" dataDxfId="354" dataCellStyle="Content normal">
      <calculatedColumnFormula>I351</calculatedColumnFormula>
    </tableColumn>
    <tableColumn id="7" xr3:uid="{5C07D8F6-00C5-4268-A734-4CD41B47C333}" name="Cows &gt; 3 years" dataDxfId="353" dataCellStyle="Content normal">
      <calculatedColumnFormula>I351</calculatedColumnFormula>
    </tableColumn>
    <tableColumn id="8" xr3:uid="{C95DE530-1E78-42FB-8A53-DBAB9C7B9B98}" name="Steers &lt; 1 year" dataDxfId="352" dataCellStyle="Content normal">
      <calculatedColumnFormula>J351</calculatedColumnFormula>
    </tableColumn>
    <tableColumn id="9" xr3:uid="{8FC366DC-4E75-4197-B703-CDC1A1768405}" name="Steers 1-2 years" dataDxfId="351" dataCellStyle="Content normal">
      <calculatedColumnFormula>K351</calculatedColumnFormula>
    </tableColumn>
    <tableColumn id="10" xr3:uid="{916706FF-B749-4A90-B4A4-51B0C73D4723}" name="Steers 2-3 years" dataDxfId="350" dataCellStyle="Content normal">
      <calculatedColumnFormula>K351</calculatedColumnFormula>
    </tableColumn>
    <tableColumn id="11" xr3:uid="{19B2FC16-8DE0-47D0-B3B3-9C7F4A421334}" name="Steers &gt;3 years" dataDxfId="349" dataCellStyle="Content normal">
      <calculatedColumnFormula>K351</calculatedColumnFormula>
    </tableColumn>
    <tableColumn id="12" xr3:uid="{F7BDFA78-0D0A-4383-AC06-CFDBCDE6CD13}" name="State abbreviation" dataDxfId="348" dataCellStyle="Content normal">
      <calculatedColumnFormula>L351</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7808E6C9-1708-4A70-AF8E-C57145AFBD67}"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B17C0A64-D8ED-450F-BDDC-591E059C2A4B}"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40E352FC-5691-4EBE-B8FE-C4D3EC4155B4}" name="Region" dataDxfId="34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A1589741-0DE0-4E2E-8FB2-5D51827A4607}" name="Pasture range and paddock" dataDxfId="34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59BF15A-53BB-4381-8591-12F12C85FE1D}" name="Uncovered Anaerobic lagoon" dataDxfId="34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69C4DF60-15FC-499D-9022-9D82B00CF422}" name="Table_SourceData_PastureBeef_MethaneConversionFactor" displayName="Table_SourceData_PastureBeef_MethaneConversionFactor" ref="D400:G415" totalsRowShown="0" dataDxfId="344" dataCellStyle="Content normal">
  <autoFilter ref="D400:G415" xr:uid="{4418AC31-F58F-4AB7-B02E-51D846B94E9A}">
    <filterColumn colId="0" hiddenButton="1"/>
    <filterColumn colId="1" hiddenButton="1"/>
    <filterColumn colId="2" hiddenButton="1"/>
    <filterColumn colId="3" hiddenButton="1"/>
  </autoFilter>
  <tableColumns count="4">
    <tableColumn id="1" xr3:uid="{1A6525B1-7A96-461E-97B4-8BADE2D2B48D}" name="State" dataDxfId="34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3CAB02D6-CAB5-41A5-A089-C5B76180FC15}" name="Region" dataDxfId="34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5F6FDB48-CCFB-472F-B83D-EBA03EB44C20}" name="Pasture range and paddock" dataDxfId="34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5D6E3AAD-FCB5-41F1-A8B7-41CEF4A6EA8F}" name="Uncovered Anaerobic lagoon" dataDxfId="34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9DB5EF0-ABB2-456E-A3AE-EDC07FCF0B80}"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CD2BEDB9-6CF8-4122-A04D-209165598283}"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539B1A57-0429-43B7-B053-D229373A3937}" name="Season" dataDxfId="33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A701EE21-7C69-4CA3-BD7D-D00B28377468}" name="Feed adjustment" dataDxfId="33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71C7C003-79B4-4240-82D7-C1D74D1572B9}" name="Milk intake/production" dataDxfId="33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0179160-4554-4788-92A0-42B11E6F0BDD}" name="Table_LivestockClasses_Beefcattle" displayName="Table_LivestockClasses_Beefcattle" ref="O18:O28" totalsRowShown="0">
  <autoFilter ref="O18:O28" xr:uid="{13BB371D-1A6A-420B-8F76-A006E7FBF483}">
    <filterColumn colId="0" hiddenButton="1"/>
  </autoFilter>
  <tableColumns count="1">
    <tableColumn id="1" xr3:uid="{F5230889-9147-4FB1-B9B8-EEFCF4DC3189}" name="Livestock class"/>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5E1B1799-0BB8-444D-93F7-E18A7E3DCA0E}"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B6FE44BD-83EB-4CDD-A91A-AA6E077183F4}" name="Region"/>
    <tableColumn id="2" xr3:uid="{83A897E1-B808-4759-857E-BF48EB07C167}"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54E6E704-7C1D-4282-B2A8-DD4A6205B2A0}"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1F5C7612-A9D7-4519-A95E-2B9A063EC020}" name="Category" dataDxfId="336" dataCellStyle="Content normal">
      <calculatedColumnFormula array="1">Common_InputFunctions.Utility_DisplayArrayInTable(Scope3_SourceData.Scope3_Livestock_Data(), Table_SourceData_Scope3_Animals[[#Headers],[Category]], 0, 2)</calculatedColumnFormula>
    </tableColumn>
    <tableColumn id="2" xr3:uid="{8C828F54-2DAC-4C54-BE67-60939F96CE67}" name="Product" dataDxfId="335" dataCellStyle="Content normal">
      <calculatedColumnFormula array="1">Common_InputFunctions.Utility_DisplayArrayInTable(Scope3_SourceData.Scope3_Livestock_Data(), Table_SourceData_Scope3_Animals[[#Headers],[Category]], 0, 2)</calculatedColumnFormula>
    </tableColumn>
    <tableColumn id="3" xr3:uid="{944B4035-DFBE-4BE9-9494-71ECCB4A87DC}" name="Region of origin" dataDxfId="334" dataCellStyle="Content normal">
      <calculatedColumnFormula array="1">Common_InputFunctions.Utility_DisplayArrayInTable(Scope3_SourceData.Scope3_Livestock_Data(), Table_SourceData_Scope3_Animals[[#Headers],[Category]], 0, 2)</calculatedColumnFormula>
    </tableColumn>
    <tableColumn id="8" xr3:uid="{15D49BA3-A9FD-4641-BC12-82FA30709CC5}" name="Quantity Unit" dataDxfId="333" dataCellStyle="Content normal">
      <calculatedColumnFormula array="1">Common_InputFunctions.Utility_DisplayArrayInTable(Scope3_SourceData.Scope3_Livestock_Data(), Table_SourceData_Scope3_Animals[[#Headers],[Category]], 0, 2)</calculatedColumnFormula>
    </tableColumn>
    <tableColumn id="9" xr3:uid="{1196CDA1-DE3C-4F6B-8AFA-816AA45F0582}" name="AusLCI Emissions intensity" dataDxfId="332" dataCellStyle="Content normal">
      <calculatedColumnFormula array="1">Common_InputFunctions.Utility_DisplayArrayInTable(Scope3_SourceData.Scope3_Livestock_Data(), Table_SourceData_Scope3_Animals[[#Headers],[Category]], 0, 2)</calculatedColumnFormula>
    </tableColumn>
    <tableColumn id="10" xr3:uid="{7C68AFDA-0723-4F16-BA99-A0FF672DCF9A}" name="System boundary" dataDxfId="33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C3B31B86-F808-43AF-AB07-61B1451AED81}"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D67C6F9-7539-40BC-AF7B-1DEC626A71C4}" name="Crop type">
      <calculatedColumnFormula array="1">Common_InputFunctions.Utility_DisplayArrayInTable(Agresidue_SourceData.CropAttributes_Data(),Table_SourceData_CropAttributes[[#Headers],[Crop type]], -1)</calculatedColumnFormula>
    </tableColumn>
    <tableColumn id="2" xr3:uid="{40A6E8B4-3DD6-4DEB-B06F-B07270C14155}" name="Residue: Crop ratio">
      <calculatedColumnFormula array="1">Common_InputFunctions.Utility_DisplayArrayInTable(Agresidue_SourceData.CropAttributes_Data(),Table_SourceData_CropAttributes[[#Headers],[Crop type]], -1)</calculatedColumnFormula>
    </tableColumn>
    <tableColumn id="3" xr3:uid="{AC084757-3901-4144-8170-4907C74282C1}" name="Below-ground: above-ground residue ratio">
      <calculatedColumnFormula array="1">Common_InputFunctions.Utility_DisplayArrayInTable(Agresidue_SourceData.CropAttributes_Data(),Table_SourceData_CropAttributes[[#Headers],[Crop type]], -1)</calculatedColumnFormula>
    </tableColumn>
    <tableColumn id="4" xr3:uid="{BA2110AF-E5A2-4EBE-A93C-262F35FF2286}" name="Dry matter content">
      <calculatedColumnFormula array="1">Common_InputFunctions.Utility_DisplayArrayInTable(Agresidue_SourceData.CropAttributes_Data(),Table_SourceData_CropAttributes[[#Headers],[Crop type]], -1)</calculatedColumnFormula>
    </tableColumn>
    <tableColumn id="5" xr3:uid="{18E97977-3CCA-4B2E-904C-EB70F9E8AEC9}" name="Carbon fraction in dry matter">
      <calculatedColumnFormula array="1">Common_InputFunctions.Utility_DisplayArrayInTable(Agresidue_SourceData.CropAttributes_Data(),Table_SourceData_CropAttributes[[#Headers],[Crop type]], -1)</calculatedColumnFormula>
    </tableColumn>
    <tableColumn id="6" xr3:uid="{BDA44D44-8A5D-4D61-9073-AF04B27B2A32}" name="N content above-ground">
      <calculatedColumnFormula array="1">Common_InputFunctions.Utility_DisplayArrayInTable(Agresidue_SourceData.CropAttributes_Data(),Table_SourceData_CropAttributes[[#Headers],[Crop type]], -1)</calculatedColumnFormula>
    </tableColumn>
    <tableColumn id="7" xr3:uid="{CF07DE62-17A5-40DD-BC31-32956C3FDB4E}" name="N content below-ground">
      <calculatedColumnFormula array="1">Common_InputFunctions.Utility_DisplayArrayInTable(Agresidue_SourceData.CropAttributes_Data(),Table_SourceData_CropAttributes[[#Headers],[Crop type]], -1)</calculatedColumnFormula>
    </tableColumn>
    <tableColumn id="8" xr3:uid="{00DCB648-5E53-4890-BA84-772D97DB8017}"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F867BBA6-D96F-4FB6-ABCF-364705873B07}"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BEC8407D-61B3-4F8F-B61F-5B9948F45DB1}" name="Table76" displayName="Table76" ref="D73:F89" totalsRowShown="0">
  <autoFilter ref="D73:F89" xr:uid="{7CD0B032-9881-4EF1-81E3-483C7C16D9D0}">
    <filterColumn colId="0" hiddenButton="1"/>
    <filterColumn colId="1" hiddenButton="1"/>
    <filterColumn colId="2" hiddenButton="1"/>
  </autoFilter>
  <tableColumns count="3">
    <tableColumn id="1" xr3:uid="{89C574DA-F716-494D-8E55-81AC2ED1FF6A}" name="Crop type c">
      <calculatedColumnFormula array="1">Common_InputFunctions.Utility_DisplayArrayInTable(Agresidue_SourceData.CropFractionRemoved_Data(), Table76[[#Headers],[Crop type c]], 0)</calculatedColumnFormula>
    </tableColumn>
    <tableColumn id="2" xr3:uid="{4588D9A2-8FB5-45D8-84AB-C03DA9FB7D97}" name="State" dataDxfId="330">
      <calculatedColumnFormula array="1">Common_InputFunctions.Utility_DisplayArrayInTable(Agresidue_SourceData.CropFractionRemoved_Data(), Table76[[#Headers],[Crop type c]], 0)</calculatedColumnFormula>
    </tableColumn>
    <tableColumn id="3" xr3:uid="{2BA22208-C6AF-4A8C-A20A-BB87AD55E4FD}" name="Fraction removed" dataDxfId="329">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6F9B0BE3-D92C-4204-8CCF-3AB2D18C1C36}" name="Table77" displayName="Table77" ref="D92:F235" totalsRowShown="0">
  <autoFilter ref="D92:F235" xr:uid="{1FA7CC86-1C1E-41FA-9AA1-AAD48AA2EEF0}">
    <filterColumn colId="0" hiddenButton="1"/>
    <filterColumn colId="1" hiddenButton="1"/>
    <filterColumn colId="2" hiddenButton="1"/>
  </autoFilter>
  <tableColumns count="3">
    <tableColumn id="1" xr3:uid="{403067FA-6111-4813-9EB7-8AD440438CA3}" name="Crop type c">
      <calculatedColumnFormula array="1">Common_InputFunctions.Utility_DisplayArrayInTable(Agresidue_SourceData.CropFractionRemoved_CustomisedData(), Table77[[#Headers],[Crop type c]], 0)</calculatedColumnFormula>
    </tableColumn>
    <tableColumn id="2" xr3:uid="{FD8D2E0E-65F8-45F0-A410-7D3EE4A894D5}" name="State" dataDxfId="328">
      <calculatedColumnFormula array="1">Common_InputFunctions.Utility_DisplayArrayInTable(Agresidue_SourceData.CropFractionRemoved_CustomisedData(), Table77[[#Headers],[Crop type c]], 0)</calculatedColumnFormula>
    </tableColumn>
    <tableColumn id="3" xr3:uid="{4E315F43-E84A-48A6-B9AB-0CE453A989E5}" name="Fraction removed" dataDxfId="327">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A813F65-8B3F-4AE9-B542-6E79BBDA5C3B}" name="Table_SourceData_N2OEFOrganicFert" displayName="Table_SourceData_N2OEFOrganicFert" ref="D43:E45" totalsRowShown="0" dataDxfId="326" dataCellStyle="Content bold">
  <autoFilter ref="D43:E45" xr:uid="{2270AB6D-D03A-4D71-95C0-00BA6BB02732}">
    <filterColumn colId="0" hiddenButton="1"/>
    <filterColumn colId="1" hiddenButton="1"/>
  </autoFilter>
  <tableColumns count="2">
    <tableColumn id="1" xr3:uid="{ACD0B511-EEFF-46FD-8349-77BE4BE9AC29}" name="Climate zone type i" dataDxfId="325" dataCellStyle="Content bold">
      <calculatedColumnFormula array="1">Common_InputFunctions.Utility_DisplayArrayInTable(Agresidue_SourceData.N2OEFOrganicFertiliser_Data(), Table_SourceData_N2OEFOrganicFert[[#Headers],[Climate zone type i]], 0)</calculatedColumnFormula>
    </tableColumn>
    <tableColumn id="2" xr3:uid="{76B86C4A-FAD1-4096-A7D7-54AE3F28931C}" name="EF i N2O" dataDxfId="324"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297CDC1-792C-4E9F-B40C-23136BE77072}" name="Table_SourceData_PastureAttributes" displayName="Table_SourceData_PastureAttributes" ref="D51:I56" totalsRowShown="0" dataDxfId="323"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4844216-3ED5-4D81-B759-A2D531343F1C}" name="Pasture type" dataDxfId="322" dataCellStyle="Content normal">
      <calculatedColumnFormula array="1">Common_InputFunctions.Utility_DisplayArrayInTable(Agresidue_SourceData.PastureAttributes_Data(), Table_SourceData_PastureAttributes[[#Headers],[Pasture type]], 0)</calculatedColumnFormula>
    </tableColumn>
    <tableColumn id="2" xr3:uid="{47E38F78-CEDC-4FAD-B21C-C6A918FC62D5}" name="Average Yield (t DM ha) Yp" dataDxfId="321" dataCellStyle="Content normal">
      <calculatedColumnFormula array="1">Common_InputFunctions.Utility_DisplayArrayInTable(Agresidue_SourceData.PastureAttributes_Data(), Table_SourceData_PastureAttributes[[#Headers],[Pasture type]], 0)</calculatedColumnFormula>
    </tableColumn>
    <tableColumn id="3" xr3:uid="{DB762251-A36A-46B7-9CD8-E23540A95BCA}" name="Below-ground: above-ground residue ratio RBGp" dataDxfId="320" dataCellStyle="Content normal">
      <calculatedColumnFormula array="1">Common_InputFunctions.Utility_DisplayArrayInTable(Agresidue_SourceData.PastureAttributes_Data(), Table_SourceData_PastureAttributes[[#Headers],[Pasture type]], 0)</calculatedColumnFormula>
    </tableColumn>
    <tableColumn id="4" xr3:uid="{06C7D05C-826E-4776-9FCD-D1A4EFBE99A2}" name="N content Above-ground NCAGp" dataDxfId="319" dataCellStyle="Content normal">
      <calculatedColumnFormula array="1">Common_InputFunctions.Utility_DisplayArrayInTable(Agresidue_SourceData.PastureAttributes_Data(), Table_SourceData_PastureAttributes[[#Headers],[Pasture type]], 0)</calculatedColumnFormula>
    </tableColumn>
    <tableColumn id="5" xr3:uid="{0206A98D-0A9B-4988-AA57-CF2BB9780C3C}" name="N content Below-ground NCBGp" dataDxfId="318" dataCellStyle="Content normal">
      <calculatedColumnFormula array="1">Common_InputFunctions.Utility_DisplayArrayInTable(Agresidue_SourceData.PastureAttributes_Data(), Table_SourceData_PastureAttributes[[#Headers],[Pasture type]], 0)</calculatedColumnFormula>
    </tableColumn>
    <tableColumn id="6" xr3:uid="{5806465B-C272-4B1C-912F-FD98011B69A9}" name="Fraction of pasture yield that is removed FFODp" dataDxfId="317"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1CEE696-7991-4E41-BB0E-FA1902DBA776}"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40CC7D79-9607-4A25-911E-5C8693EAAFC7}" name="Gas species">
      <calculatedColumnFormula array="1">Common_InputFunctions.Utility_DisplayArrayInTable(AgResidues_SourceData.BurningOfAgriculturalResiduesEFs_Data(), Table_SourceData_BurningResidueEFs[[#Headers],[Gas species]], 0)</calculatedColumnFormula>
    </tableColumn>
    <tableColumn id="2" xr3:uid="{059E3981-E931-4520-8DA2-FE5AA97B5574}" name="Emission factor EFg (Gg element in species/ Gg element in fuel burnt)" dataDxfId="316" dataCellStyle="Content normal">
      <calculatedColumnFormula array="1">Common_InputFunctions.Utility_DisplayArrayInTable(AgResidues_SourceData.BurningOfAgriculturalResiduesEFs_Data(), Table_SourceData_BurningResidueEFs[[#Headers],[Gas species]], 0)</calculatedColumnFormula>
    </tableColumn>
    <tableColumn id="3" xr3:uid="{85EF3F84-468E-43D6-97C8-55B49AD415AB}" name="Elemental to molecular mass conversion factor (Cg)" dataDxfId="315"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605AD5FF-65F1-4029-B025-A5973CC33688}" name="Table_SourceData_CropPurposeAndYields" displayName="Table_SourceData_CropPurposeAndYields" ref="D7:K10" totalsRowShown="0" headerRowDxfId="314">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A1F06F1-BF8B-403B-87FE-455ED74B7BE8}" name="Purpose">
      <calculatedColumnFormula array="1">Common_InputFunctions.Utility_DisplayArrayInTable(Agresidue_SourceData.CropPurposeAndYield_Data(), Table_SourceData_CropPurposeAndYields[[#Headers],[Purpose]], 0)</calculatedColumnFormula>
    </tableColumn>
    <tableColumn id="2" xr3:uid="{20E23AE5-1CA6-4927-87D8-720D9D1A663E}" name="Per hectare unit">
      <calculatedColumnFormula array="1">Common_InputFunctions.Utility_DisplayArrayInTable(Agresidue_SourceData.CropPurposeAndYield_Data(), Table_SourceData_CropPurposeAndYields[[#Headers],[Purpose]], 0)</calculatedColumnFormula>
    </tableColumn>
    <tableColumn id="3" xr3:uid="{811AF593-68B2-4638-A248-97611740A261}" name="harvest term">
      <calculatedColumnFormula array="1">Common_InputFunctions.Utility_DisplayArrayInTable(Agresidue_SourceData.CropPurposeAndYield_Data(), Table_SourceData_CropPurposeAndYields[[#Headers],[Purpose]], 0)</calculatedColumnFormula>
    </tableColumn>
    <tableColumn id="4" xr3:uid="{33C0F754-AAFE-4689-B88A-8E10A6530BFA}" name="harvest endpoint">
      <calculatedColumnFormula array="1">Common_InputFunctions.Utility_DisplayArrayInTable(Agresidue_SourceData.CropPurposeAndYield_Data(), Table_SourceData_CropPurposeAndYields[[#Headers],[Purpose]], 0)</calculatedColumnFormula>
    </tableColumn>
    <tableColumn id="5" xr3:uid="{2580728D-1D2F-400C-B6D2-8F8169B9FB13}" name="Harvest uit">
      <calculatedColumnFormula array="1">Common_InputFunctions.Utility_DisplayArrayInTable(Agresidue_SourceData.CropPurposeAndYield_Data(), Table_SourceData_CropPurposeAndYields[[#Headers],[Purpose]], 0)</calculatedColumnFormula>
    </tableColumn>
    <tableColumn id="6" xr3:uid="{C2458848-E915-4390-96E2-7CABD79A164B}" name="Yield note">
      <calculatedColumnFormula array="1">Common_InputFunctions.Utility_DisplayArrayInTable(Agresidue_SourceData.CropPurposeAndYield_Data(), Table_SourceData_CropPurposeAndYields[[#Headers],[Purpose]], 0)</calculatedColumnFormula>
    </tableColumn>
    <tableColumn id="8" xr3:uid="{786057C9-C3B4-4A60-A9E3-8C027234D71B}" name="Residue crop ratio note">
      <calculatedColumnFormula array="1">Common_InputFunctions.Utility_DisplayArrayInTable(Agresidue_SourceData.CropPurposeAndYield_Data(), Table_SourceData_CropPurposeAndYields[[#Headers],[Purpose]], 0)</calculatedColumnFormula>
    </tableColumn>
    <tableColumn id="9" xr3:uid="{7D63FB3F-D9A7-4893-875C-4630676C8369}"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70B250-24B1-4A76-8452-D3FD1ABE7E9E}" name="Table_SourceData_Fertiliser_IrrigationMethods100" displayName="Table_SourceData_Fertiliser_IrrigationMethods100" ref="N21:N26" totalsRowShown="0">
  <autoFilter ref="N21:N26" xr:uid="{1AC5909E-E06C-4A79-81E9-C25A0B6D9E90}">
    <filterColumn colId="0" hiddenButton="1"/>
  </autoFilter>
  <tableColumns count="1">
    <tableColumn id="1" xr3:uid="{BFFEB96C-E94C-40D7-BFA5-B88ABF257B5C}" name="Irrigation metho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B57F2439-DD74-40E6-BD41-A34362DC36F7}"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44DB0FCC-B0F1-46F2-8511-DCC5CF49A8BC}" name="Symbol">
      <calculatedColumnFormula array="1">Common_InputFunctions.Utility_DisplayArrayInTable(CommonLivestock_SourceData.SourceData_Livestock_Common_SymbolsMMS_Data(), Table_Data_MMSSymbols[[#Headers],[Symbol]], 0)</calculatedColumnFormula>
    </tableColumn>
    <tableColumn id="2" xr3:uid="{47A4B772-85AD-4B3A-ADE6-8D3127912EAD}" name="Manure management system">
      <calculatedColumnFormula array="1">Common_InputFunctions.Utility_DisplayArrayInTable(CommonLivestock_SourceData.SourceData_Livestock_Common_SymbolsMMS_Data(), Table_Data_MMSSymbols[[#Headers],[Symbol]], 0)</calculatedColumnFormula>
    </tableColumn>
    <tableColumn id="3" xr3:uid="{4B3DA783-FEC6-4F71-A60F-BD7139482F2D}"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381D83E5-410D-4113-96C9-43C8B8DD3E93}" name="Table_SourceData_LivestockProduct_Beefcattle" displayName="Table_SourceData_LivestockProduct_Beefcattle" ref="D31:E39" totalsRowShown="0">
  <autoFilter ref="D31:E39" xr:uid="{953E8E36-CE90-4001-9CFA-9307A0C836A9}"/>
  <tableColumns count="2">
    <tableColumn id="1" xr3:uid="{80BFA3F6-E6B2-4D7D-93E0-A50A5F475115}" name="Product">
      <calculatedColumnFormula array="1">Common_InputFunctions.Utility_DisplayArrayInTable(CommonLivestock_SourceData.SourceData_Livestock_Product_BeefCattle_Data(),Table_SourceData_LivestockProduct_Beefcattle[[#Headers],[Product]],0)</calculatedColumnFormula>
    </tableColumn>
    <tableColumn id="2" xr3:uid="{FE060A17-994E-405D-B5A6-270F72A93DB2}" name="Source region" dataDxfId="313"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D14B86B0-64A1-463A-8ED6-FCBF4E9FC6F5}" name="Table_SourceData_LivestockProduct_Sheep" displayName="Table_SourceData_LivestockProduct_Sheep" ref="D43:E50" totalsRowShown="0" dataDxfId="312" dataCellStyle="Content normal">
  <autoFilter ref="D43:E50" xr:uid="{995536B5-6CA5-4D7D-A704-9B6B595C2491}"/>
  <tableColumns count="2">
    <tableColumn id="1" xr3:uid="{F0DF787C-EEA7-46C9-8F0A-D23AAB3AE576}" name="Product" dataDxfId="311"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109CF233-A1ED-43FE-BE9A-B99BEDACA025}" name="Source region" dataDxfId="310"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FE588C71-9B76-4FD6-A836-CBD4B31BDA97}" name="Table_SourceData_LivestockProduct_Chickens" displayName="Table_SourceData_LivestockProduct_Chickens" ref="D54:E55" totalsRowShown="0" dataDxfId="309" dataCellStyle="Content normal">
  <autoFilter ref="D54:E55" xr:uid="{257D8456-031C-4EEF-A8C4-474F215C3208}"/>
  <tableColumns count="2">
    <tableColumn id="1" xr3:uid="{80E3EA32-8999-41CE-9F8A-0491D63E29F1}" name="Product" dataDxfId="30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0F5ACC58-D52A-432A-8F73-6BDAEA9DB198}" name="Source region" dataDxfId="307"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BEEAC318-7F1E-4455-89B6-21DAB0815B05}" name="Table_SourceData_LivestockProduct_Dairycattle" displayName="Table_SourceData_LivestockProduct_Dairycattle" ref="D59:E60" totalsRowShown="0" dataDxfId="306" dataCellStyle="Content normal">
  <autoFilter ref="D59:E60" xr:uid="{71833C62-BA2B-4519-92E0-B189E393D12F}"/>
  <tableColumns count="2">
    <tableColumn id="1" xr3:uid="{C4FBF744-0777-402A-9580-0935056B59B7}" name="Product" dataDxfId="30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0C6CA9C3-F540-4B1D-AEAD-7AF3DFA49B95}" name="Source region" dataDxfId="304"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74D36FF7-4E83-4060-AD14-CD90CCA36B75}" name="Table_SourceData_LivestockProduct_Pigs" displayName="Table_SourceData_LivestockProduct_Pigs" ref="D64:E65" totalsRowShown="0" dataDxfId="303" dataCellStyle="Content normal">
  <autoFilter ref="D64:E65" xr:uid="{65FF5EF6-2A75-4137-9345-8328E2DA8F9C}"/>
  <tableColumns count="2">
    <tableColumn id="1" xr3:uid="{1BEA6295-9CAA-4502-880A-8F7B1F5DB321}" name="Product" dataDxfId="302"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12BDAAD-2237-41AD-91B2-E4F356F76D71}" name="Source region" dataDxfId="301"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3929B405-8A8F-4B47-A7E4-F5B21C14DEC5}" name="Table_SourceData_ElectricityEFs" displayName="Table_SourceData_ElectricityEFs" ref="D9:F19" totalsRowShown="0" headerRowDxfId="300">
  <autoFilter ref="D9:F19" xr:uid="{3144A982-7A4D-4CF2-8790-1A30DAE3E0A4}">
    <filterColumn colId="0" hiddenButton="1"/>
    <filterColumn colId="1" hiddenButton="1"/>
    <filterColumn colId="2" hiddenButton="1"/>
  </autoFilter>
  <tableColumns count="3">
    <tableColumn id="1" xr3:uid="{ED3713B0-B978-42F2-8839-C35F3BF38E1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5CB1A54-8B07-4507-A6FA-9178544BECB2}"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676441DB-BB77-4729-BFCE-272D0582BBA7}"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4B0BD705-8D0C-47E6-A71C-AC605B941785}"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F2D98535-DBB4-440A-B757-56473ACBEA36}"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5B69AF1F-381D-48DA-B2E0-79C0B98F59B2}"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EEE73017-4600-41CD-910B-588A499332C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F5180173-ED12-4CA0-870C-36D56EC9D8DE}"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2EF2AC2C-E02F-482A-8486-387E460A6644}"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AB16130D-DD7A-4A2E-80CF-227D6A7B6BF4}"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905F99E7-1E96-453E-B08C-10525A1F2FA3}"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D6958E51-0FC3-4B17-ABB2-00C49121608B}" name="FNinorganic f">
      <calculatedColumnFormula array="1">Common_InputFunctions.Utility_DisplayArrayInTable(Fertiliser_SourceData.Fertiliser_ChemicalCompoundElements_Data(),Table_Fertiliser_ChemicalCompounds[[#Headers],[Fertiliser type f]], 0)</calculatedColumnFormula>
    </tableColumn>
    <tableColumn id="3" xr3:uid="{D42A0E77-A032-48D4-B9AF-9CB7642FF27D}" name="FU f">
      <calculatedColumnFormula array="1">Common_InputFunctions.Utility_DisplayArrayInTable(Fertiliser_SourceData.Fertiliser_ChemicalCompoundElements_Data(),Table_Fertiliser_ChemicalCompounds[[#Headers],[Fertiliser type f]], 0)</calculatedColumnFormula>
    </tableColumn>
    <tableColumn id="4" xr3:uid="{34C133AC-C449-44D2-BCB6-7ABB268C3622}" name="Basis">
      <calculatedColumnFormula array="1">Common_InputFunctions.Utility_DisplayArrayInTable(Fertiliser_SourceData.Fertiliser_ChemicalCompoundElements_Data(),Table_Fertiliser_ChemicalCompounds[[#Headers],[Fertiliser type f]], 0)</calculatedColumnFormula>
    </tableColumn>
    <tableColumn id="5" xr3:uid="{758D1D7A-D3D8-41E1-8EB2-F6C9C8CBE605}"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F64571E5-CB5C-45A5-98BC-A883BF89EF0A}"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ED468E5-D150-487F-B7EB-D5EB598C0136}"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33CD9E7-5B65-4991-B6EC-753EE3D430D0}" name="Company" totalsRowFunction="custom" totalsRowDxfId="299">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E2759CBC-885D-4073-8DC1-F4D87BA2BE1B}"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1952D9C5-01C1-411A-BC89-56854DA4DA2C}"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C6CAED59-38F1-441E-886F-B5188309E659}"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E53468FF-CFB6-4CA2-81BD-184AA14AFF32}"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0B711EB9-4E93-4FB6-AAE3-CDE8FE699589}"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C60DDD9A-FB5D-4FF6-89B0-A9AA35D6756A}"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240BE5CD-8983-4831-BED6-FB94F0601485}"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3D3786DE-2F30-40CD-8A1D-34A414CFFA36}"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AFF37E38-4DB1-42E0-921F-2272FAEC061E}"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AA2F143B-68B3-4488-A7D6-0952CCDC21FA}"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9B0B10C8-15A6-4078-9AA9-9F4CD4E49959}" name="Ingredient 1" totalsRowFunction="custom" totalsRowCellStyle="Content normal">
      <totalsRowFormula array="1">Common_InputFunctions.Utility_DisplayArrayInTable(Fertiliser_SourceData.Fertiliser_Products_Data3(), FertiliserProducts[[#Headers],[Company]],61)</totalsRowFormula>
    </tableColumn>
    <tableColumn id="22" xr3:uid="{4B010C85-83E0-4BD6-9F4E-B1EB3E1CAE99}"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46756088-C812-4F9C-A800-F3DAE9FA65EC}"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7C9C61CB-CDBD-4676-831A-4763B6FFCC8C}"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EF451B85-8AF0-4FCB-A465-A5AD9BF0FD9F}"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5920CC95-7502-4BF5-9CA1-ADD82D92357A}"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481E6BB6-2E3B-4658-BAB4-78EB8FF1DD68}"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A9710ECD-9AD0-4399-90BD-96CF1CE4CFA1}"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EC4B569E-3E4F-4B82-B0AF-384083A0C1A4}"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BD68D5D4-A433-4154-9F02-CCA97D72392A}"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45FDA4D0-4010-45DA-84F8-403CF296B210}"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E37E6590-5433-41DD-9749-1629561D7C25}"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B6C31CC9-0E7C-49B7-98A6-B8D2D48DBC12}"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CD439FC4-6D2D-4E3F-9F4A-403E26C9474A}"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086B0792-E9BE-4922-B1A3-2B4FB07556FD}"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364C0761-B1F0-4326-93E0-25B7F7AD3A46}"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EC401506-D787-4894-B598-A7D4C93F5834}"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EF8247DD-D39E-441C-9FEC-1907440D798E}"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F8A7777E-11E0-4143-87AA-80A7D45B4C16}"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A3B54923-12C5-42A9-A5AD-39DE2662398A}" name="Ingredient 10 percent" totalsRow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14EB188-5211-4EBA-9EA8-94658F97D09F}"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4AAEB5F4-42AE-4CE4-9790-0AE1C1EDD972}" name="Fertiliser type f">
      <calculatedColumnFormula array="1">Common_InputFunctions.Utility_DisplayArrayInTable(Fertiliser_SourceData.Fertiliser_FracGASF_Data(), Table_SourceData_Fertiliser_FracGASF[[#Headers],[Fertiliser type f]], 0)</calculatedColumnFormula>
    </tableColumn>
    <tableColumn id="2" xr3:uid="{81ADCE79-0344-4B02-A342-3BD9072A5CF1}" name="FracGASF f" dataDxfId="29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91A4BF88-CFA9-4430-BB06-0D495B3DC703}" name="Table_SourceData_Fertiliser_CropProdSystems" displayName="Table_SourceData_Fertiliser_CropProdSystems" ref="D41:D43" totalsRowShown="0">
  <autoFilter ref="D41:D43" xr:uid="{24F3A11E-40F5-4BB9-BFF4-A71FA2ADA0EF}">
    <filterColumn colId="0" hiddenButton="1"/>
  </autoFilter>
  <tableColumns count="1">
    <tableColumn id="1" xr3:uid="{EB0F4296-3B68-4FC4-B551-FAD07D6E1B0C}" name="Production system">
      <calculatedColumnFormula>#REF!</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7003FB2D-482A-4013-9AE5-59BE57036758}"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5BE1F18-E2C1-401B-B281-60A09279A0FE}" name="Irrigation method"/>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B91BE4FD-5CA0-46A8-847E-C5787582D24B}" name="Table_SourceData_Fertiliser_CropTypes" displayName="Table_SourceData_Fertiliser_CropTypes" ref="F41:F45" totalsRowShown="0">
  <autoFilter ref="F41:F45" xr:uid="{CB5044B5-FA3C-4AA2-B1AB-72F7E61D072F}">
    <filterColumn colId="0" hiddenButton="1"/>
  </autoFilter>
  <tableColumns count="1">
    <tableColumn id="1" xr3:uid="{63408355-FAF3-45FD-BBC1-DAD33FB43DA2}" name="Production system"/>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EDAA9E12-1809-48B6-830B-9282E08742A4}" name="Table_SourceData_OrganicFertiliserTypes" displayName="Table_SourceData_OrganicFertiliserTypes" ref="J41:J46" totalsRowShown="0">
  <autoFilter ref="J41:J46" xr:uid="{B44627B1-537E-4ABC-92C3-57282CEE5B40}">
    <filterColumn colId="0" hiddenButton="1"/>
  </autoFilter>
  <tableColumns count="1">
    <tableColumn id="1" xr3:uid="{0710AA56-109F-420E-B396-EE9EBA44FB45}" name="Organic fertiliser type"/>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F159708B-63D0-4355-9621-88D1E0ED7B46}"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005CEE4-82FC-4E98-A435-67BA923C3FB5}" name="Element">
      <calculatedColumnFormula array="1">Common_InputFunctions.Utility_DisplayArrayInTable(Fertiliser_SourceData.Fertiliser_LimeDolomiteGypsumConstants_Data(), Table_SourceData_Fertiliser_LimeDolomiteConstants[[#Headers],[Element]], 0)</calculatedColumnFormula>
    </tableColumn>
    <tableColumn id="2" xr3:uid="{0F73F33E-A583-4536-9175-0A3E90D36221}" name="P" dataDxfId="29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491EAE6C-2C6C-4F0D-A3B2-0A4D86BD90CC}" name="EF" dataDxfId="29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2066FA9D-F615-41F4-ACEE-64E63C87CD42}" name="Table2" displayName="Table2" ref="K19:L28" totalsRowShown="0" dataDxfId="295" dataCellStyle="Content normal">
  <autoFilter ref="K19:L28" xr:uid="{27B93029-EB1F-4C4A-A946-CD673A8A6C46}">
    <filterColumn colId="0" hiddenButton="1"/>
    <filterColumn colId="1" hiddenButton="1"/>
  </autoFilter>
  <tableColumns count="2">
    <tableColumn id="1" xr3:uid="{72282596-029B-4DB6-B400-D2B43E4BE890}" name="Fertiliser type f" dataDxfId="294" dataCellStyle="Content normal">
      <calculatedColumnFormula array="1">Common_InputFunctions.Utility_DisplayArrayInTable(Fertiliser_SourceData.Fertiliser_FractionNCommonFertilisers_Data(), Table2[[#Headers],[Fertiliser type f]], 0)</calculatedColumnFormula>
    </tableColumn>
    <tableColumn id="2" xr3:uid="{D56174FE-2623-4C4D-9704-167A0EE509AF}" name="FNinorganic f" dataDxfId="29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5E38D14-233B-4D15-AC91-A6F42E4E7EA3}" name="Table28" displayName="Table28" ref="Q19:R28" totalsRowShown="0" dataDxfId="292" dataCellStyle="Content normal">
  <autoFilter ref="Q19:R28" xr:uid="{791CEA59-796C-47AB-86BC-41E8F699030C}">
    <filterColumn colId="0" hiddenButton="1"/>
    <filterColumn colId="1" hiddenButton="1"/>
  </autoFilter>
  <tableColumns count="2">
    <tableColumn id="1" xr3:uid="{D06F0DEA-3AFA-4B7C-B9FC-9510C9C701BD}" name="Fertiliser type f" dataDxfId="291" dataCellStyle="Content normal">
      <calculatedColumnFormula array="1">Common_InputFunctions.Utility_DisplayArrayInTable(Fertiliser_SourceData.Fertiliser_FractionUreaCommonFertilisers_Data(), Table28[[#Headers],[Fertiliser type f]], 0)</calculatedColumnFormula>
    </tableColumn>
    <tableColumn id="2" xr3:uid="{32DEC9B6-C18E-489E-88A4-A4D16E597A7F}" name="FNinorganic f" dataDxfId="29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7B21BE8-985C-41F6-968D-D8D693A08291}"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43EF5DE3-4AA8-402F-AAB1-9759B94AEAEA}"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1EA0F9B-B8AB-4725-8B30-0F24796B04CC}" name="Table_Fuel_EFs_StationaryLiquid" displayName="Table_Fuel_EFs_StationaryLiquid" ref="D53:K77" totalsRowShown="0" headerRowDxfId="289" dataDxfId="28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AA6C03C-3BFE-4762-8043-AF03222CFAF7}" name="Fuel combusted" dataDxfId="287">
      <calculatedColumnFormula array="1">Common_InputFunctions.Utility_DisplayArrayInTable(Fuel_SourceData.Fuel_Scope1Scope3EmissionFactorsStationaryLiquid_Data(), Table_Fuel_EFs_StationaryLiquid[[#Headers],[Fuel combusted]],0)</calculatedColumnFormula>
    </tableColumn>
    <tableColumn id="2" xr3:uid="{DBBA66F7-A811-43E4-AF9C-A66650B4DAC1}" name="Energy Content Factor (GJ per unit of fuel)" dataDxfId="286">
      <calculatedColumnFormula array="1">Common_InputFunctions.Utility_DisplayArrayInTable(Fuel_SourceData.Fuel_Scope1Scope3EmissionFactorsStationaryLiquid_Data(), Table_Fuel_EFs_StationaryLiquid[[#Headers],[Fuel combusted]],0)</calculatedColumnFormula>
    </tableColumn>
    <tableColumn id="3" xr3:uid="{625426D9-F016-475C-8CB4-D53F3F9A0708}" name="Fuel unit" dataDxfId="285">
      <calculatedColumnFormula array="1">Common_InputFunctions.Utility_DisplayArrayInTable(Fuel_SourceData.Fuel_Scope1Scope3EmissionFactorsStationaryLiquid_Data(), Table_Fuel_EFs_StationaryLiquid[[#Headers],[Fuel combusted]],0)</calculatedColumnFormula>
    </tableColumn>
    <tableColumn id="4" xr3:uid="{EA22DBE1-6945-49F6-AB0B-1C28BEB63B4D}" name="Scope 1 Emission Factor (kg CO2 - e / GJ) CO2" dataDxfId="284">
      <calculatedColumnFormula array="1">Common_InputFunctions.Utility_DisplayArrayInTable(Fuel_SourceData.Fuel_Scope1Scope3EmissionFactorsStationaryLiquid_Data(), Table_Fuel_EFs_StationaryLiquid[[#Headers],[Fuel combusted]],0)</calculatedColumnFormula>
    </tableColumn>
    <tableColumn id="5" xr3:uid="{06EA6B00-51A6-40A5-B0E2-401C1C77FF8B}" name="Scope 1 Emission Factor (kg CO2 - e / GJ) CH4" dataDxfId="283">
      <calculatedColumnFormula array="1">Common_InputFunctions.Utility_DisplayArrayInTable(Fuel_SourceData.Fuel_Scope1Scope3EmissionFactorsStationaryLiquid_Data(), Table_Fuel_EFs_StationaryLiquid[[#Headers],[Fuel combusted]],0)</calculatedColumnFormula>
    </tableColumn>
    <tableColumn id="6" xr3:uid="{9EB99B4F-BB73-46A0-B4CF-170FD811F61F}" name="Scope 1 Emission Factor (kg CO2 - e / GJ) N2O" dataDxfId="282">
      <calculatedColumnFormula array="1">Common_InputFunctions.Utility_DisplayArrayInTable(Fuel_SourceData.Fuel_Scope1Scope3EmissionFactorsStationaryLiquid_Data(), Table_Fuel_EFs_StationaryLiquid[[#Headers],[Fuel combusted]],0)</calculatedColumnFormula>
    </tableColumn>
    <tableColumn id="7" xr3:uid="{AA9C2AF4-0BF7-4008-912B-F6A6AE8265D0}" name="Scope 1 Emission Factor (kg CO2 - e / GJ) Combined gases" dataDxfId="281">
      <calculatedColumnFormula array="1">Common_InputFunctions.Utility_DisplayArrayInTable(Fuel_SourceData.Fuel_Scope1Scope3EmissionFactorsStationaryLiquid_Data(), Table_Fuel_EFs_StationaryLiquid[[#Headers],[Fuel combusted]],0)</calculatedColumnFormula>
    </tableColumn>
    <tableColumn id="8" xr3:uid="{4A09F430-F14E-40DD-874F-CEE356001C7F}" name="Scope 3 Emission Factor (kg CO2 - e / GJ)" dataDxfId="28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5B9718F4-381C-4219-8004-828B3D33D7C3}" name="Table_Fuel_EFs_Transport" displayName="Table_Fuel_EFs_Transport" ref="D9:L34" totalsRowShown="0" headerRowDxfId="279" dataDxfId="27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FB9BEA7-441F-460A-8435-DE10A7BB6042}" name="Transport type" dataDxfId="277">
      <calculatedColumnFormula array="1">Common_InputFunctions.Utility_DisplayArrayInTable(Fuel_SourceData.Fuel_Scope1Scope3EmissionFactorsTransport_Data(), Table_Fuel_EFs_Transport[[#Headers],[Transport type]], 0)</calculatedColumnFormula>
    </tableColumn>
    <tableColumn id="2" xr3:uid="{EEC17ECC-05CB-4964-B9A9-9A56581999E2}" name="Fuel combusted" dataDxfId="276">
      <calculatedColumnFormula array="1">Common_InputFunctions.Utility_DisplayArrayInTable(Fuel_SourceData.Fuel_Scope1Scope3EmissionFactorsTransport_Data(), Table_Fuel_EFs_Transport[[#Headers],[Transport type]], 0)</calculatedColumnFormula>
    </tableColumn>
    <tableColumn id="3" xr3:uid="{48B5A66A-FDCD-4D0D-B46F-BC526BA6D13F}" name="Energy Content Factor (GJ per unit of fuel)" dataDxfId="275">
      <calculatedColumnFormula array="1">Common_InputFunctions.Utility_DisplayArrayInTable(Fuel_SourceData.Fuel_Scope1Scope3EmissionFactorsTransport_Data(), Table_Fuel_EFs_Transport[[#Headers],[Transport type]], 0)</calculatedColumnFormula>
    </tableColumn>
    <tableColumn id="4" xr3:uid="{DCA23CD8-846C-421B-9C82-0E8BE0C2DB98}" name="Fuel unit" dataDxfId="274">
      <calculatedColumnFormula array="1">Common_InputFunctions.Utility_DisplayArrayInTable(Fuel_SourceData.Fuel_Scope1Scope3EmissionFactorsTransport_Data(), Table_Fuel_EFs_Transport[[#Headers],[Transport type]], 0)</calculatedColumnFormula>
    </tableColumn>
    <tableColumn id="8" xr3:uid="{6A7031C0-062B-44B0-A7C0-63D6746BD6F3}" name="Scope 1 Emission Factor (kg CO2 - e / GJ) CO2" dataDxfId="273">
      <calculatedColumnFormula array="1">Common_InputFunctions.Utility_DisplayArrayInTable(Fuel_SourceData.Fuel_Scope1Scope3EmissionFactorsTransport_Data(), Table_Fuel_EFs_Transport[[#Headers],[Transport type]], 0)</calculatedColumnFormula>
    </tableColumn>
    <tableColumn id="9" xr3:uid="{B6586960-7DA4-4D22-9DB8-2ED514CC2E26}" name="Scope 1 Emission Factor (kg CO2 - e / GJ) CH4" dataDxfId="272">
      <calculatedColumnFormula array="1">Common_InputFunctions.Utility_DisplayArrayInTable(Fuel_SourceData.Fuel_Scope1Scope3EmissionFactorsTransport_Data(), Table_Fuel_EFs_Transport[[#Headers],[Transport type]], 0)</calculatedColumnFormula>
    </tableColumn>
    <tableColumn id="10" xr3:uid="{4E5091BB-5C4A-4EA0-981A-DBCDDBA6140F}" name="Scope 1 Emission Factor (kg CO2 - e / GJ) N2O" dataDxfId="271">
      <calculatedColumnFormula array="1">Common_InputFunctions.Utility_DisplayArrayInTable(Fuel_SourceData.Fuel_Scope1Scope3EmissionFactorsTransport_Data(), Table_Fuel_EFs_Transport[[#Headers],[Transport type]], 0)</calculatedColumnFormula>
    </tableColumn>
    <tableColumn id="11" xr3:uid="{B4E53F30-D1C3-429E-AF46-97DAD3D544EC}" name="Scope 1 Emission Factor (kg CO2 - e / GJ) Combined gases" dataDxfId="270">
      <calculatedColumnFormula array="1">Common_InputFunctions.Utility_DisplayArrayInTable(Fuel_SourceData.Fuel_Scope1Scope3EmissionFactorsTransport_Data(), Table_Fuel_EFs_Transport[[#Headers],[Transport type]], 0)</calculatedColumnFormula>
    </tableColumn>
    <tableColumn id="12" xr3:uid="{2E8D39F8-5FA4-4686-BBF7-6289FCC0A12B}" name="Scope 3 Emission Factor (kg CO2 - e / GJ)" dataDxfId="26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AEEBB235-F18E-4B3E-99FE-49081B0D0DCD}" name="Table_FuelTypesPerUse" displayName="Table_FuelTypesPerUse" ref="D130:I139" totalsRowShown="0" headerRowDxfId="268" dataDxfId="267">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69584187-881D-4F8C-B16D-65C4F2E4FE9B}" name="Generators" dataDxfId="266"/>
    <tableColumn id="2" xr3:uid="{3CD77CE8-26BA-42B9-8F23-AFF85CFEC26A}" name="Power standalone machinery or heating" dataDxfId="265"/>
    <tableColumn id="3" xr3:uid="{0CD36D3E-302E-435F-A2C1-A2E27E70D8CF}" name="Aviation" dataDxfId="264"/>
    <tableColumn id="5" xr3:uid="{476F57C1-A923-4D99-8C07-25F31B0AE497}" name="Cars and light commercial vehicles" dataDxfId="263"/>
    <tableColumn id="7" xr3:uid="{EFAE8741-089F-4CDC-84F1-EBCA63EBF252}" name="Off-road Agriculture and forestry equipment" dataDxfId="262" dataCellStyle="Content bold"/>
    <tableColumn id="8" xr3:uid="{3B6E8AFC-3218-4303-B45E-157FE479D3F1}" name="Vessels" dataDxfId="261" dataCellStyle="Content bold"/>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DEC5EA04-EE8D-45C2-B7B5-2DE879D1FB6A}" name="Table_Fuel_EFs_StationaryGaseous" displayName="Table_Fuel_EFs_StationaryGaseous" ref="D86:J104" totalsRowShown="0" headerRowDxfId="260" dataDxfId="25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8F690AD-087C-4F1E-B72E-C579CEA936E8}" name="Fuel combusted" dataDxfId="258">
      <calculatedColumnFormula array="1">Common_InputFunctions.Utility_DisplayArrayInTable(Fuel_SourceData.Fuel_Scope1EmissionFactorsStationaryGaseous_Data(), Table_Fuel_EFs_StationaryGaseous[[#Headers],[Fuel combusted]],0)</calculatedColumnFormula>
    </tableColumn>
    <tableColumn id="2" xr3:uid="{9F811141-FE7C-4955-ABD0-0504A23548D6}" name="Energy Content Factor (GJ per unit of fuel)" dataDxfId="257">
      <calculatedColumnFormula array="1">Common_InputFunctions.Utility_DisplayArrayInTable(Fuel_SourceData.Fuel_Scope1EmissionFactorsStationaryGaseous_Data(), Table_Fuel_EFs_StationaryGaseous[[#Headers],[Fuel combusted]],0)</calculatedColumnFormula>
    </tableColumn>
    <tableColumn id="3" xr3:uid="{56D3121C-01C2-4053-B237-F4283DE8575C}" name="Fuel unit" dataDxfId="256">
      <calculatedColumnFormula array="1">Common_InputFunctions.Utility_DisplayArrayInTable(Fuel_SourceData.Fuel_Scope1EmissionFactorsStationaryGaseous_Data(), Table_Fuel_EFs_StationaryGaseous[[#Headers],[Fuel combusted]],0)</calculatedColumnFormula>
    </tableColumn>
    <tableColumn id="4" xr3:uid="{AEF3A16E-076A-4B99-9060-BBDB03985C05}" name="Scope 1 Emission Factor (kg CO2 - e / GJ) CO2" dataDxfId="255">
      <calculatedColumnFormula array="1">Common_InputFunctions.Utility_DisplayArrayInTable(Fuel_SourceData.Fuel_Scope1EmissionFactorsStationaryGaseous_Data(), Table_Fuel_EFs_StationaryGaseous[[#Headers],[Fuel combusted]],0)</calculatedColumnFormula>
    </tableColumn>
    <tableColumn id="5" xr3:uid="{DFDF9F48-E072-4A0B-9AFC-4F220E79CCAD}" name="Scope 1 Emission Factor (kg CO2 - e / GJ) CH4" dataDxfId="254">
      <calculatedColumnFormula array="1">Common_InputFunctions.Utility_DisplayArrayInTable(Fuel_SourceData.Fuel_Scope1EmissionFactorsStationaryGaseous_Data(), Table_Fuel_EFs_StationaryGaseous[[#Headers],[Fuel combusted]],0)</calculatedColumnFormula>
    </tableColumn>
    <tableColumn id="6" xr3:uid="{1EB46C74-5727-46B7-8195-32F6963D8B4B}" name="Scope 1 Emission Factor (kg CO2 - e / GJ) N2O" dataDxfId="253">
      <calculatedColumnFormula array="1">Common_InputFunctions.Utility_DisplayArrayInTable(Fuel_SourceData.Fuel_Scope1EmissionFactorsStationaryGaseous_Data(), Table_Fuel_EFs_StationaryGaseous[[#Headers],[Fuel combusted]],0)</calculatedColumnFormula>
    </tableColumn>
    <tableColumn id="7" xr3:uid="{552BDB9A-2FEB-4FDE-9BD9-4E714D5A6784}" name="Scope 1 Emission Factor (kg CO2 - e / GJ) Combined gases" dataDxfId="25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A407A742-F949-4E4C-832C-17D3BD9A876C}" name="Table_Fuel_EFs_StationaryGaseous34" displayName="Table_Fuel_EFs_StationaryGaseous34" ref="D112:F120" headerRowDxfId="251" totalsRowDxfId="250">
  <autoFilter ref="D112:F120" xr:uid="{7D6CE29D-2354-4FAC-9965-9A66FFA42416}">
    <filterColumn colId="0" hiddenButton="1"/>
    <filterColumn colId="1" hiddenButton="1"/>
    <filterColumn colId="2" hiddenButton="1"/>
  </autoFilter>
  <tableColumns count="3">
    <tableColumn id="1" xr3:uid="{06DD56C2-762E-4939-BA34-BAE6BC9D5D7B}" name="State or territory" totalsRowDxfId="249">
      <calculatedColumnFormula array="1">Common_InputFunctions.Utility_DisplayArrayInTable(Fuel_SourceData.Fuel_Scope3EmissionFactorsStationaryGaseous_Data(), Table_Fuel_EFs_StationaryGaseous34[[#Headers],[State or territory]],0)</calculatedColumnFormula>
    </tableColumn>
    <tableColumn id="2" xr3:uid="{AB79BF9D-EF56-4C22-84AF-4AEC4DDE8E71}" name="Metro" totalsRowDxfId="248">
      <calculatedColumnFormula array="1">Common_InputFunctions.Utility_DisplayArrayInTable(Fuel_SourceData.Fuel_Scope3EmissionFactorsStationaryGaseous_Data(), Table_Fuel_EFs_StationaryGaseous34[[#Headers],[State or territory]],0)</calculatedColumnFormula>
    </tableColumn>
    <tableColumn id="3" xr3:uid="{C6B12073-9CCD-4132-941D-11B6D0D16A2C}" name="Non-metro" totalsRowDxfId="24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BDDB9C74-9006-4A62-8AFB-857D1CEA88E1}"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DF5BC1E0-B626-4BA4-A62F-684C948729F7}" name="Fuel type"/>
    <tableColumn id="2" xr3:uid="{C60E316D-3FD9-4C45-8485-9125E69C947D}" name="Unit"/>
    <tableColumn id="3" xr3:uid="{60175D1E-9023-46EB-8A94-A5CBD7F339F3}" name="Input Unit" dataDxfId="246"/>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A4F53440-F092-40A7-BE7C-91777E35D5F7}"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37B6595-6284-4AC8-B668-F9F8FE8957F2}"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9A934273-1EF2-461B-8F2B-62CE4AEA6507}" name="Fuel type q" dataDxfId="24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C32CFCA0-7ED9-4611-BDC1-912C288CBDD4}" name="ECTrans,q (GJ/kL)" dataDxfId="24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6BF46502-5F1D-4FF5-8769-E0CAB87E04A6}" name="Scope 1 CO2 EFTran,1,tqg (kg CO2-e/GJ)" dataDxfId="24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D2734588-98D7-4613-A9BD-EE4C9CF3DF92}" name="Scope 1 CH4 EFTran,1,tgg (kg CO2-e/GJ)" dataDxfId="24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ACAAE19-C5F6-487B-8C99-12C8F81AA0A1}" name="Scope 1 N2O EFTran,1,tgg (kg CO2-e/GJ)" dataDxfId="24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EBD22F6D-B6CB-46A8-92AA-C6EED8A47566}" name="Scope 3 EFTrans,3,q (kg CO2-e/GJ)" dataDxfId="24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33E01F44-4BC4-4090-A796-16A207972352}" name="Table_SourceData_Scope3_Animals110" displayName="Table_SourceData_Scope3_Animals110"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53D6D2D-006A-45EE-B16C-37EB1B5A8B34}" name="Category" dataDxfId="239" dataCellStyle="Content normal">
      <calculatedColumnFormula array="1">Common_InputFunctions.Utility_DisplayArrayInTable(Scope3_SourceData.Scope3_Livestock_Data(), Table_SourceData_Scope3_Animals110[[#Headers],[Category]], 0, 2)</calculatedColumnFormula>
    </tableColumn>
    <tableColumn id="2" xr3:uid="{FFB97318-A80E-40D9-A011-86AAA3074333}" name="Product" dataDxfId="238" dataCellStyle="Content normal">
      <calculatedColumnFormula array="1">Common_InputFunctions.Utility_DisplayArrayInTable(Scope3_SourceData.Scope3_Livestock_Data(), Table_SourceData_Scope3_Animals110[[#Headers],[Category]], 0, 2)</calculatedColumnFormula>
    </tableColumn>
    <tableColumn id="3" xr3:uid="{1BFE6A54-2793-4453-9F1B-799DEAD76BEF}" name="Region of origin" dataDxfId="237" dataCellStyle="Content normal">
      <calculatedColumnFormula array="1">Common_InputFunctions.Utility_DisplayArrayInTable(Scope3_SourceData.Scope3_Livestock_Data(), Table_SourceData_Scope3_Animals110[[#Headers],[Category]], 0, 2)</calculatedColumnFormula>
    </tableColumn>
    <tableColumn id="8" xr3:uid="{71FB8E98-70BC-4777-B670-F57515E7B8FB}" name="Quantity Unit" dataDxfId="236" dataCellStyle="Content normal">
      <calculatedColumnFormula array="1">Common_InputFunctions.Utility_DisplayArrayInTable(Scope3_SourceData.Scope3_Livestock_Data(), Table_SourceData_Scope3_Animals110[[#Headers],[Category]], 0, 2)</calculatedColumnFormula>
    </tableColumn>
    <tableColumn id="9" xr3:uid="{3B050A40-19DB-4548-B7A2-8B38CAA650C2}" name="Emissions intensity" dataDxfId="235" dataCellStyle="Content normal">
      <calculatedColumnFormula array="1">Common_InputFunctions.Utility_DisplayArrayInTable(Scope3_SourceData.Scope3_Livestock_Data(), Table_SourceData_Scope3_Animals110[[#Headers],[Category]], 0, 2)</calculatedColumnFormula>
    </tableColumn>
    <tableColumn id="10" xr3:uid="{8A3450F0-9C14-49C3-B4AD-1DF21AC0E321}" name="System boundary" dataDxfId="234" dataCellStyle="Content normal">
      <calculatedColumnFormula array="1">Common_InputFunctions.Utility_DisplayArrayInTable(Scope3_SourceData.Scope3_Livestock_Data(), Table_SourceData_Scope3_Animals110[[#Headers],[Category]], 0, 2)</calculatedColumnFormula>
    </tableColumn>
    <tableColumn id="4" xr3:uid="{C0F75DB3-F4B1-477E-8AF2-EEB8C1BF9B7B}" name="Source" dataDxfId="233" dataCellStyle="Content normal"/>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D00F23A0-8AFF-4391-942A-3D4ADA0000CF}"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AD075DD-76B4-4533-9BD1-151211BFCBDE}" name="Category" dataDxfId="232" dataCellStyle="Content normal">
      <calculatedColumnFormula array="1">Common_InputFunctions.Utility_DisplayArrayInTable(Scope3_SourceData.Scope3_Chemicals_Data(), Table_SourceData_Scope3_ChemicalsCleaning[[#Headers],[Category]], 0, 2)</calculatedColumnFormula>
    </tableColumn>
    <tableColumn id="2" xr3:uid="{927A6232-73FE-445F-A789-3F18BB947602}" name="Product" dataDxfId="231" dataCellStyle="Content normal">
      <calculatedColumnFormula array="1">Common_InputFunctions.Utility_DisplayArrayInTable(Scope3_SourceData.Scope3_Chemicals_Data(), Table_SourceData_Scope3_ChemicalsCleaning[[#Headers],[Category]], 0, 2)</calculatedColumnFormula>
    </tableColumn>
    <tableColumn id="3" xr3:uid="{D5131F7F-60E3-401C-9F5E-DCD2D35FDDA3}" name="Region of origin" dataDxfId="230" dataCellStyle="Content normal">
      <calculatedColumnFormula array="1">Common_InputFunctions.Utility_DisplayArrayInTable(Scope3_SourceData.Scope3_Chemicals_Data(), Table_SourceData_Scope3_ChemicalsCleaning[[#Headers],[Category]], 0, 2)</calculatedColumnFormula>
    </tableColumn>
    <tableColumn id="8" xr3:uid="{AA298A28-C82E-4243-A78D-798A746EE296}" name="Quantity Unit" dataDxfId="229" dataCellStyle="Content normal">
      <calculatedColumnFormula array="1">Common_InputFunctions.Utility_DisplayArrayInTable(Scope3_SourceData.Scope3_Chemicals_Data(), Table_SourceData_Scope3_ChemicalsCleaning[[#Headers],[Category]], 0, 2)</calculatedColumnFormula>
    </tableColumn>
    <tableColumn id="9" xr3:uid="{B90C5488-A5D2-4024-ABE3-2273D49FC8C8}" name="Emissions intensity" dataDxfId="228" dataCellStyle="Content normal">
      <calculatedColumnFormula array="1">Common_InputFunctions.Utility_DisplayArrayInTable(Scope3_SourceData.Scope3_Chemicals_Data(), Table_SourceData_Scope3_ChemicalsCleaning[[#Headers],[Category]], 0, 2)</calculatedColumnFormula>
    </tableColumn>
    <tableColumn id="10" xr3:uid="{EBDC80CC-E4D4-4981-9629-49BDEF32751E}" name="System boundary" dataDxfId="227" dataCellStyle="Content normal">
      <calculatedColumnFormula array="1">Common_InputFunctions.Utility_DisplayArrayInTable(Scope3_SourceData.Scope3_Chemicals_Data(), Table_SourceData_Scope3_ChemicalsCleaning[[#Headers],[Category]], 0, 2)</calculatedColumnFormula>
    </tableColumn>
    <tableColumn id="4" xr3:uid="{3AA6264D-C160-4903-A9CF-30B982D07129}" name="Source" dataDxfId="226" dataCellStyle="Content normal"/>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644E4FF8-5608-49B2-9818-D273F711F09F}" name="Table_SourceData_Scope3_Feed" displayName="Table_SourceData_Scope3_Feed" ref="D89:J158" dataDxfId="225"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D0500F4-CD1E-4145-BF7D-56672441C23C}" name="Category" totalsRowFunction="custom" dataDxfId="224" totalsRowDxfId="22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2950A23B-3CDA-431A-9C95-39F88D2D67F2}" name="Product" totalsRowFunction="custom" dataDxfId="222" totalsRowDxfId="22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7D2C4AB1-6C5F-4721-B822-A9EA766C4476}" name="Region of origin" totalsRowFunction="custom" dataDxfId="220" totalsRowDxfId="21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B5DA063F-076C-4157-ACF6-FAEF79B8FB99}" name="Quantity Unit" totalsRowFunction="custom" dataDxfId="218" totalsRowDxfId="21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CFD63B39-8A2E-4662-8A25-B10FC454AB17}" name="Emissions intensity" totalsRowFunction="custom" dataDxfId="216" totalsRowDxfId="21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C2820029-2E2E-4DC2-8F03-421E444FEAF7}" name="System boundary" totalsRowFunction="custom" dataDxfId="214" totalsRowDxfId="21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D365D885-9143-45A4-B410-87C3FB15085D}" name="Source" totalsRowLabel="GHGEI-MIAFF" dataDxfId="212" totalsRowDxfId="211"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B3434085-71EC-46A1-AD1D-3A50675A8420}"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86102FA-B1D5-461E-B4CE-B1D2ECE0C84C}" name="Category">
      <calculatedColumnFormula array="1">Common_InputFunctions.Utility_DisplayArrayInTable(Scope3_SourceData.Scope3_InorganicFertilisers_Data(), Table_SourceData_Scope3_InorganicFertiliser[[#Headers],[Category]], 0, 2)</calculatedColumnFormula>
    </tableColumn>
    <tableColumn id="2" xr3:uid="{4C8E9087-9435-4EE5-9B34-C138B1C4E7DE}" name="Product">
      <calculatedColumnFormula array="1">Common_InputFunctions.Utility_DisplayArrayInTable(Scope3_SourceData.Scope3_InorganicFertilisers_Data(), Table_SourceData_Scope3_InorganicFertiliser[[#Headers],[Category]], 0, 2)</calculatedColumnFormula>
    </tableColumn>
    <tableColumn id="3" xr3:uid="{4063C8E8-59F4-4134-B7AF-93450595D4C6}" name="Region of origin">
      <calculatedColumnFormula array="1">Common_InputFunctions.Utility_DisplayArrayInTable(Scope3_SourceData.Scope3_InorganicFertilisers_Data(), Table_SourceData_Scope3_InorganicFertiliser[[#Headers],[Category]], 0, 2)</calculatedColumnFormula>
    </tableColumn>
    <tableColumn id="4" xr3:uid="{06FB7DB5-757C-45E7-993F-DEBF95DEF963}" name="Chemical compound"/>
    <tableColumn id="5" xr3:uid="{03EA1487-70F2-45AB-9D2A-CFE5215CC34C}" name="Urea source"/>
    <tableColumn id="6" xr3:uid="{1FC0662E-B05B-4F0A-BF56-B54A6A196E72}" name="Ammonia source"/>
    <tableColumn id="7" xr3:uid="{91C5E514-C288-403A-8368-60AA71B169FE}" name="Quantity"/>
    <tableColumn id="8" xr3:uid="{A7A9A27E-6FF6-439A-BAED-79D8729671A9}" name="Quantity Unit">
      <calculatedColumnFormula array="1">Common_InputFunctions.Utility_DisplayArrayInTable(Scope3_SourceData.Scope3_InorganicFertilisers_Data(), Table_SourceData_Scope3_InorganicFertiliser[[#Headers],[Category]], 0, -2)</calculatedColumnFormula>
    </tableColumn>
    <tableColumn id="9" xr3:uid="{BF07BB95-91DF-4F47-8296-622B0DF4A53B}" name="Emissions intensity">
      <calculatedColumnFormula array="1">Common_InputFunctions.Utility_DisplayArrayInTable(Scope3_SourceData.Scope3_InorganicFertilisers_Data(), Table_SourceData_Scope3_InorganicFertiliser[[#Headers],[Category]], 0, -2)</calculatedColumnFormula>
    </tableColumn>
    <tableColumn id="10" xr3:uid="{E09E3060-8288-42EB-B318-83B49B905DE9}" name="System boundary" dataDxfId="210" dataCellStyle="Content normal">
      <calculatedColumnFormula array="1">Common_InputFunctions.Utility_DisplayArrayInTable(Scope3_SourceData.Scope3_InorganicFertilisers_Data(), Table_SourceData_Scope3_InorganicFertiliser[[#Headers],[Category]], 0, -2)</calculatedColumnFormula>
    </tableColumn>
    <tableColumn id="11" xr3:uid="{C022E992-D7BD-43C6-8CCE-48877382DF06}" name="Source" dataDxfId="209" dataCellStyle="Content normal"/>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87CE191C-7C6C-4E62-A1EE-23B2370292D5}" name="Table_SourceData_Scope3_Other" displayName="Table_SourceData_Scope3_Other" ref="D201:J209" totalsRowShown="0" dataDxfId="208"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42A2CEF-A6F0-47D3-B5AC-F1047442937A}" name="Category" dataDxfId="207" dataCellStyle="Content normal">
      <calculatedColumnFormula array="1">Common_InputFunctions.Utility_DisplayArrayInTable(Scope3_SourceData.Scope3_Other_Data(), Table_SourceData_Scope3_Other[[#Headers],[Category]], 0, 2)</calculatedColumnFormula>
    </tableColumn>
    <tableColumn id="2" xr3:uid="{2270A607-FE7B-40E7-A7F3-B4D4B03E0D70}" name="Product" dataDxfId="206" dataCellStyle="Content normal">
      <calculatedColumnFormula array="1">Common_InputFunctions.Utility_DisplayArrayInTable(Scope3_SourceData.Scope3_Other_Data(), Table_SourceData_Scope3_Other[[#Headers],[Category]], 0, 2)</calculatedColumnFormula>
    </tableColumn>
    <tableColumn id="3" xr3:uid="{392014AA-0775-48A0-B7DC-7A6BDD23349B}" name="Region of origin" dataDxfId="205" dataCellStyle="Content normal">
      <calculatedColumnFormula array="1">Common_InputFunctions.Utility_DisplayArrayInTable(Scope3_SourceData.Scope3_Other_Data(), Table_SourceData_Scope3_Other[[#Headers],[Category]], 0, 2)</calculatedColumnFormula>
    </tableColumn>
    <tableColumn id="8" xr3:uid="{C50AA7B1-B45F-4E84-BDDF-8829A3CDCDC0}" name="Quantity Unit" dataDxfId="204" dataCellStyle="Content normal">
      <calculatedColumnFormula array="1">Common_InputFunctions.Utility_DisplayArrayInTable(Scope3_SourceData.Scope3_Other_Data(), Table_SourceData_Scope3_Other[[#Headers],[Category]], 0, 2)</calculatedColumnFormula>
    </tableColumn>
    <tableColumn id="9" xr3:uid="{FDB86E33-E55D-48A5-9B2E-7A00C122987D}" name="Emissions intensity" dataDxfId="203" dataCellStyle="Content normal">
      <calculatedColumnFormula array="1">Common_InputFunctions.Utility_DisplayArrayInTable(Scope3_SourceData.Scope3_Other_Data(), Table_SourceData_Scope3_Other[[#Headers],[Category]], 0, 2)</calculatedColumnFormula>
    </tableColumn>
    <tableColumn id="10" xr3:uid="{534C83AA-5D30-40B8-8867-B03A7228AA57}" name="System boundary" dataDxfId="202" dataCellStyle="Content normal">
      <calculatedColumnFormula array="1">Common_InputFunctions.Utility_DisplayArrayInTable(Scope3_SourceData.Scope3_Other_Data(), Table_SourceData_Scope3_Other[[#Headers],[Category]], 0, 2)</calculatedColumnFormula>
    </tableColumn>
    <tableColumn id="4" xr3:uid="{458E607E-1E0E-45F4-A4E5-D4A4EFFCD9D4}" name="Source" dataDxfId="201"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F040E31A-61A2-44D2-8F59-6E18BD29DE50}" name="Table_SourceData_Scope3_Packaging" displayName="Table_SourceData_Scope3_Packaging" ref="D212:J216" totalsRowShown="0" dataDxfId="200"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3E317B-0D62-47E8-BB22-00FEB069195D}" name="Category" dataDxfId="199" dataCellStyle="Content normal">
      <calculatedColumnFormula array="1">Common_InputFunctions.Utility_DisplayArrayInTable(Scope3_SourceData.Scope3_Packaging_Data(), Table_SourceData_Scope3_Packaging[[#Headers],[Category]], 0, 2)</calculatedColumnFormula>
    </tableColumn>
    <tableColumn id="2" xr3:uid="{DEBBF7C2-BB79-4499-9374-562AF7CD6EB7}" name="Product" dataDxfId="198" dataCellStyle="Content normal">
      <calculatedColumnFormula array="1">Common_InputFunctions.Utility_DisplayArrayInTable(Scope3_SourceData.Scope3_Packaging_Data(), Table_SourceData_Scope3_Packaging[[#Headers],[Category]], 0, 2)</calculatedColumnFormula>
    </tableColumn>
    <tableColumn id="3" xr3:uid="{42E06068-0F88-4043-89C8-C8E393DDDB8E}" name="Region of origin" dataDxfId="197" dataCellStyle="Content normal">
      <calculatedColumnFormula array="1">Common_InputFunctions.Utility_DisplayArrayInTable(Scope3_SourceData.Scope3_Packaging_Data(), Table_SourceData_Scope3_Packaging[[#Headers],[Category]], 0, 2)</calculatedColumnFormula>
    </tableColumn>
    <tableColumn id="8" xr3:uid="{54BF4EA5-D8FA-44FB-895D-B245455B330E}" name="Quantity Unit" dataDxfId="196" dataCellStyle="Content normal">
      <calculatedColumnFormula array="1">Common_InputFunctions.Utility_DisplayArrayInTable(Scope3_SourceData.Scope3_Packaging_Data(), Table_SourceData_Scope3_Packaging[[#Headers],[Category]], 0, 2)</calculatedColumnFormula>
    </tableColumn>
    <tableColumn id="9" xr3:uid="{CE688EE8-7591-48F8-BD5E-8CC4AA40AE77}" name="Emissions intensity" dataDxfId="195" dataCellStyle="Content normal">
      <calculatedColumnFormula array="1">Common_InputFunctions.Utility_DisplayArrayInTable(Scope3_SourceData.Scope3_Packaging_Data(), Table_SourceData_Scope3_Packaging[[#Headers],[Category]], 0, 2)</calculatedColumnFormula>
    </tableColumn>
    <tableColumn id="10" xr3:uid="{100B0094-2C1D-469E-8CD1-59364F040F75}" name="System boundary" dataDxfId="194" dataCellStyle="Content normal">
      <calculatedColumnFormula array="1">Common_InputFunctions.Utility_DisplayArrayInTable(Scope3_SourceData.Scope3_Packaging_Data(), Table_SourceData_Scope3_Packaging[[#Headers],[Category]], 0, 2)</calculatedColumnFormula>
    </tableColumn>
    <tableColumn id="4" xr3:uid="{C8DC4047-2CA2-4C27-B759-0D523437479D}" name="Source" dataDxfId="193" dataCellStyle="Content normal"/>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83427575-295D-4586-9BF4-46F73C1D1046}" name="Table_SourceData_Scope3_Pesticides" displayName="Table_SourceData_Scope3_Pesticides" ref="D219:J231" totalsRowShown="0" dataDxfId="192"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91EBB5A-2816-4D48-8409-4FF3D277592C}" name="Category" dataDxfId="191" dataCellStyle="Content normal">
      <calculatedColumnFormula array="1">Common_InputFunctions.Utility_DisplayArrayInTable(Scope3_SourceData.Scope3_Pesticides_Data(), Table_SourceData_Scope3_Pesticides[[#Headers],[Category]], 0, 2)</calculatedColumnFormula>
    </tableColumn>
    <tableColumn id="2" xr3:uid="{2B698A65-0286-4C0D-A48F-42E1F7EBFE07}" name="Product" dataDxfId="190" dataCellStyle="Content normal">
      <calculatedColumnFormula array="1">Common_InputFunctions.Utility_DisplayArrayInTable(Scope3_SourceData.Scope3_Pesticides_Data(), Table_SourceData_Scope3_Pesticides[[#Headers],[Category]], 0, 2)</calculatedColumnFormula>
    </tableColumn>
    <tableColumn id="3" xr3:uid="{B7015994-5731-4160-91FC-C3AC21734D22}" name="Region of origin" dataDxfId="189" dataCellStyle="Content normal">
      <calculatedColumnFormula array="1">Common_InputFunctions.Utility_DisplayArrayInTable(Scope3_SourceData.Scope3_Pesticides_Data(), Table_SourceData_Scope3_Pesticides[[#Headers],[Category]], 0, 2)</calculatedColumnFormula>
    </tableColumn>
    <tableColumn id="8" xr3:uid="{6ED28727-0A00-48B3-BFB9-988DE473E9BC}" name="Quantity Unit" dataDxfId="188" dataCellStyle="Content normal">
      <calculatedColumnFormula array="1">Common_InputFunctions.Utility_DisplayArrayInTable(Scope3_SourceData.Scope3_Pesticides_Data(), Table_SourceData_Scope3_Pesticides[[#Headers],[Category]], 0, 2)</calculatedColumnFormula>
    </tableColumn>
    <tableColumn id="9" xr3:uid="{49E50DA7-C0E0-4440-BBB9-12AEFF344DDF}" name="Emissions intensity" dataDxfId="187" dataCellStyle="Content normal">
      <calculatedColumnFormula array="1">Common_InputFunctions.Utility_DisplayArrayInTable(Scope3_SourceData.Scope3_Pesticides_Data(), Table_SourceData_Scope3_Pesticides[[#Headers],[Category]], 0, 2)</calculatedColumnFormula>
    </tableColumn>
    <tableColumn id="10" xr3:uid="{8E923CD5-AB8C-433A-AF94-8523F9C8A245}" name="System boundary" dataDxfId="186" dataCellStyle="Content normal">
      <calculatedColumnFormula array="1">Common_InputFunctions.Utility_DisplayArrayInTable(Scope3_SourceData.Scope3_Pesticides_Data(), Table_SourceData_Scope3_Pesticides[[#Headers],[Category]], 0, 2)</calculatedColumnFormula>
    </tableColumn>
    <tableColumn id="4" xr3:uid="{C8440A31-006A-40EF-B4A8-A434A29E8846}" name="Source" dataDxfId="185" dataCellStyle="Content normal"/>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780BDBBB-1214-466C-AD46-80C772401563}" name="Table_SourceData_Scope3_SoilAmeliorants" displayName="Table_SourceData_Scope3_SoilAmeliorants" ref="D234:J237" totalsRowShown="0" dataDxfId="184"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66C3547-3E9F-44A5-BB2B-946534C16FA0}" name="Category" dataDxfId="183" dataCellStyle="Content normal">
      <calculatedColumnFormula array="1">Common_InputFunctions.Utility_DisplayArrayInTable(Scope3_SourceData.Scope3_SoilAmendments_Data(), Table_SourceData_Scope3_SoilAmeliorants[[#Headers],[Category]], 0, 2)</calculatedColumnFormula>
    </tableColumn>
    <tableColumn id="2" xr3:uid="{518202AB-8478-4FD5-892E-7B2372F36CED}" name="Product" dataDxfId="182" dataCellStyle="Content normal">
      <calculatedColumnFormula array="1">Common_InputFunctions.Utility_DisplayArrayInTable(Scope3_SourceData.Scope3_SoilAmendments_Data(), Table_SourceData_Scope3_SoilAmeliorants[[#Headers],[Category]], 0, 2)</calculatedColumnFormula>
    </tableColumn>
    <tableColumn id="3" xr3:uid="{E6E6CADA-4DD2-4EAC-9A56-E68181E9DEBD}" name="Region of origin" dataDxfId="181" dataCellStyle="Content normal">
      <calculatedColumnFormula array="1">Common_InputFunctions.Utility_DisplayArrayInTable(Scope3_SourceData.Scope3_SoilAmendments_Data(), Table_SourceData_Scope3_SoilAmeliorants[[#Headers],[Category]], 0, 2)</calculatedColumnFormula>
    </tableColumn>
    <tableColumn id="8" xr3:uid="{9C159812-9707-434B-BAF8-9368693CECDF}" name="Quantity Unit" dataDxfId="180" dataCellStyle="Content normal">
      <calculatedColumnFormula array="1">Common_InputFunctions.Utility_DisplayArrayInTable(Scope3_SourceData.Scope3_SoilAmendments_Data(), Table_SourceData_Scope3_SoilAmeliorants[[#Headers],[Category]], 0, 2)</calculatedColumnFormula>
    </tableColumn>
    <tableColumn id="9" xr3:uid="{650E17C4-F7F7-4F82-A31F-92E243FBAB29}" name="Emissions intensity" dataDxfId="179" dataCellStyle="Content normal">
      <calculatedColumnFormula array="1">Common_InputFunctions.Utility_DisplayArrayInTable(Scope3_SourceData.Scope3_SoilAmendments_Data(), Table_SourceData_Scope3_SoilAmeliorants[[#Headers],[Category]], 0, 2)</calculatedColumnFormula>
    </tableColumn>
    <tableColumn id="10" xr3:uid="{124F1E29-DA93-4527-94E2-06DE41DEA1EB}" name="System boundary" dataDxfId="178" dataCellStyle="Content normal">
      <calculatedColumnFormula array="1">Common_InputFunctions.Utility_DisplayArrayInTable(Scope3_SourceData.Scope3_SoilAmendments_Data(), Table_SourceData_Scope3_SoilAmeliorants[[#Headers],[Category]], 0, 2)</calculatedColumnFormula>
    </tableColumn>
    <tableColumn id="4" xr3:uid="{E686D40D-FA77-4015-B18A-CB15ADDEAACF}" name="Source" dataDxfId="177" dataCellStyle="Content normal"/>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96BB10C6-2C10-4970-8F1E-697F829E9E50}" name="Table_SourceData_Scope3_ChemicalsPharmacy" displayName="Table_SourceData_Scope3_ChemicalsPharmacy" ref="D82:J86" totalsRowShown="0" dataDxfId="176"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DCB4607-6044-49D0-B412-DA561EF18BEC}" name="Category" dataDxfId="175" dataCellStyle="Content normal">
      <calculatedColumnFormula array="1">Common_InputFunctions.Utility_DisplayArrayInTable(Scope3_SourceData.Scope3_Chemicals_Data(), Table_SourceData_Scope3_ChemicalsPharmacy[[#Headers],[Category]], -3, 2)</calculatedColumnFormula>
    </tableColumn>
    <tableColumn id="2" xr3:uid="{C50EEE19-C217-45E8-9209-A2510A462F22}" name="Product" dataDxfId="174" dataCellStyle="Content normal">
      <calculatedColumnFormula array="1">Common_InputFunctions.Utility_DisplayArrayInTable(Scope3_SourceData.Scope3_Chemicals_Data(), Table_SourceData_Scope3_ChemicalsPharmacy[[#Headers],[Category]], -3, 2)</calculatedColumnFormula>
    </tableColumn>
    <tableColumn id="3" xr3:uid="{082F8EE5-F78B-4FA7-973F-AEDA4264D3CE}" name="Region of origin" dataDxfId="173" dataCellStyle="Content normal">
      <calculatedColumnFormula array="1">Common_InputFunctions.Utility_DisplayArrayInTable(Scope3_SourceData.Scope3_Chemicals_Data(), Table_SourceData_Scope3_ChemicalsPharmacy[[#Headers],[Category]], -3, 2)</calculatedColumnFormula>
    </tableColumn>
    <tableColumn id="8" xr3:uid="{5C807257-E793-4944-A397-2FA80E8B1254}" name="Quantity Unit" dataDxfId="172" dataCellStyle="Content normal">
      <calculatedColumnFormula array="1">Common_InputFunctions.Utility_DisplayArrayInTable(Scope3_SourceData.Scope3_Chemicals_Data(), Table_SourceData_Scope3_ChemicalsPharmacy[[#Headers],[Category]], -3, 2)</calculatedColumnFormula>
    </tableColumn>
    <tableColumn id="9" xr3:uid="{C8CA4E39-4167-44AA-BCF1-53E70601F7BC}" name="Emissions intensity" dataDxfId="171" dataCellStyle="Content normal">
      <calculatedColumnFormula array="1">Common_InputFunctions.Utility_DisplayArrayInTable(Scope3_SourceData.Scope3_Chemicals_Data(), Table_SourceData_Scope3_ChemicalsPharmacy[[#Headers],[Category]], -3, 2)</calculatedColumnFormula>
    </tableColumn>
    <tableColumn id="10" xr3:uid="{73804EF0-CC51-4C89-9C97-DEEAE420E7D5}" name="System boundary" dataDxfId="170" dataCellStyle="Content normal">
      <calculatedColumnFormula array="1">Common_InputFunctions.Utility_DisplayArrayInTable(Scope3_SourceData.Scope3_Chemicals_Data(), Table_SourceData_Scope3_ChemicalsPharmacy[[#Headers],[Category]], -3, 2)</calculatedColumnFormula>
    </tableColumn>
    <tableColumn id="4" xr3:uid="{79A98F53-6E49-48AC-A918-FEAB793B1DA5}" name="Source" dataDxfId="169" dataCellStyle="Content normal"/>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8D07D5D6-9877-4D64-BEB7-66B044AC52C8}" name="Table_SourceData_Scope3_LickBlocks" displayName="Table_SourceData_Scope3_LickBlocks" ref="D167:J170" totalsRowShown="0" headerRowDxfId="168"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08D7AF4-840F-4B50-BD59-E7C8A964C644}" name="Category" dataDxfId="167" dataCellStyle="Content normal">
      <calculatedColumnFormula array="1">Common_InputFunctions.Utility_DisplayArrayInTable(Scope3_SourceData.Scope3_Feed_Data(), Table_SourceData_Scope3_LickBlocks[[#Headers],[Category]], -73, 2)</calculatedColumnFormula>
    </tableColumn>
    <tableColumn id="2" xr3:uid="{E0C2CEF4-C4A0-4C2C-9E18-B7C517824DA0}" name="Product" dataDxfId="166" dataCellStyle="Content normal">
      <calculatedColumnFormula array="1">Common_InputFunctions.Utility_DisplayArrayInTable(Scope3_SourceData.Scope3_Feed_Data(), Table_SourceData_Scope3_LickBlocks[[#Headers],[Category]], -73, 2)</calculatedColumnFormula>
    </tableColumn>
    <tableColumn id="3" xr3:uid="{E01756E5-2638-4B73-AA97-E10D89468128}" name="Region of origin" dataDxfId="165" dataCellStyle="Content normal">
      <calculatedColumnFormula array="1">Common_InputFunctions.Utility_DisplayArrayInTable(Scope3_SourceData.Scope3_Feed_Data(), Table_SourceData_Scope3_LickBlocks[[#Headers],[Category]], -73, 2)</calculatedColumnFormula>
    </tableColumn>
    <tableColumn id="4" xr3:uid="{14550BD4-BBED-438B-81CA-20FEF1E4329A}" name="Quantity Unit" dataDxfId="164" dataCellStyle="Content normal">
      <calculatedColumnFormula array="1">Common_InputFunctions.Utility_DisplayArrayInTable(Scope3_SourceData.Scope3_Feed_Data(), Table_SourceData_Scope3_LickBlocks[[#Headers],[Category]], -73, 2)</calculatedColumnFormula>
    </tableColumn>
    <tableColumn id="5" xr3:uid="{701CCA1D-3925-401B-B46A-273AF89BA4E0}" name="Emissions intensity" dataDxfId="163" dataCellStyle="Content normal">
      <calculatedColumnFormula array="1">Common_InputFunctions.Utility_DisplayArrayInTable(Scope3_SourceData.Scope3_Feed_Data(), Table_SourceData_Scope3_LickBlocks[[#Headers],[Category]], -73, 2)</calculatedColumnFormula>
    </tableColumn>
    <tableColumn id="6" xr3:uid="{F1EBC557-9009-4697-A9CC-62C4FF82A9C2}" name="System boundary" dataDxfId="162" dataCellStyle="Content normal">
      <calculatedColumnFormula array="1">Common_InputFunctions.Utility_DisplayArrayInTable(Scope3_SourceData.Scope3_Feed_Data(), Table_SourceData_Scope3_LickBlocks[[#Headers],[Category]], -73, 2)</calculatedColumnFormula>
    </tableColumn>
    <tableColumn id="7" xr3:uid="{4D3CB9CE-3738-451E-AA7F-CD1D80385B3F}" name="Source" dataDxfId="161" dataCellStyle="Content normal"/>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930AFA0A-739A-450B-9379-56FDE3BE9EF1}" name="Table_SourceData_Scope3_MixedRations" displayName="Table_SourceData_Scope3_MixedRations" ref="D161:J165" totalsRowShown="0" headerRowDxfId="160"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3198B30-5DC3-46CE-A231-EDE92BE80940}" name="Category" dataDxfId="159" dataCellStyle="Content normal">
      <calculatedColumnFormula array="1">Common_InputFunctions.Utility_DisplayArrayInTable(Scope3_SourceData.Scope3_Feed_Data(), Table_SourceData_Scope3_MixedRations[[#Headers],[Category]], -66, 2)</calculatedColumnFormula>
    </tableColumn>
    <tableColumn id="2" xr3:uid="{596624AA-561E-43E0-8EA5-6579C89E4D53}" name="Product" dataDxfId="158" dataCellStyle="Content normal">
      <calculatedColumnFormula array="1">Common_InputFunctions.Utility_DisplayArrayInTable(Scope3_SourceData.Scope3_Feed_Data(), Table_SourceData_Scope3_MixedRations[[#Headers],[Category]], -66, 2)</calculatedColumnFormula>
    </tableColumn>
    <tableColumn id="3" xr3:uid="{15D95398-96D4-4104-85A8-70B2875A9D2C}" name="Region of origin" dataDxfId="157" dataCellStyle="Content normal">
      <calculatedColumnFormula array="1">Common_InputFunctions.Utility_DisplayArrayInTable(Scope3_SourceData.Scope3_Feed_Data(), Table_SourceData_Scope3_MixedRations[[#Headers],[Category]], -66, 2)</calculatedColumnFormula>
    </tableColumn>
    <tableColumn id="4" xr3:uid="{F500DB6B-B08D-4A43-A957-2397B2DC9108}" name="Quantity Unit" dataDxfId="156" dataCellStyle="Content normal">
      <calculatedColumnFormula array="1">Common_InputFunctions.Utility_DisplayArrayInTable(Scope3_SourceData.Scope3_Feed_Data(), Table_SourceData_Scope3_MixedRations[[#Headers],[Category]], -66, 2)</calculatedColumnFormula>
    </tableColumn>
    <tableColumn id="5" xr3:uid="{0ABFD002-87D3-4893-8AB5-74767F1E772E}" name="Emissions intensity" dataDxfId="155" dataCellStyle="Content normal">
      <calculatedColumnFormula array="1">Common_InputFunctions.Utility_DisplayArrayInTable(Scope3_SourceData.Scope3_Feed_Data(), Table_SourceData_Scope3_MixedRations[[#Headers],[Category]], -66, 2)</calculatedColumnFormula>
    </tableColumn>
    <tableColumn id="6" xr3:uid="{8873AF5B-C009-4243-91CE-4DA691AF063F}" name="System boundary" dataDxfId="154" dataCellStyle="Content normal">
      <calculatedColumnFormula array="1">Common_InputFunctions.Utility_DisplayArrayInTable(Scope3_SourceData.Scope3_Feed_Data(), Table_SourceData_Scope3_MixedRations[[#Headers],[Category]], -66, 2)</calculatedColumnFormula>
    </tableColumn>
    <tableColumn id="7" xr3:uid="{1CC1D676-8D82-4362-9D84-8A804CC94683}" name="Source" dataDxfId="153" dataCellStyle="Content normal"/>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FD8D0C7C-BA40-4E67-84F3-D54BF697F12B}"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2A34B438-09E4-4550-8190-B2F4BB563A73}" name="Product">
      <calculatedColumnFormula>Table_SourceData_Scope3_FishFeedAndBait[[#This Row],[Product]]</calculatedColumnFormula>
    </tableColumn>
    <tableColumn id="2" xr3:uid="{08ED2A91-AE95-476E-8A97-BC553BA22FD6}"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CE400117-49C8-4AF7-81D9-EDA8D9D3E789}"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5644E581-949A-40C4-ACF3-DD370E415A8C}" name="Product">
      <calculatedColumnFormula>Table_SourceData_Scope3_Feed[[#This Row],[Product]]</calculatedColumnFormula>
    </tableColumn>
    <tableColumn id="2" xr3:uid="{8AC9999A-E0BA-40F5-864E-4C571E2A6327}" name="Region">
      <calculatedColumnFormula>Table_SourceData_Scope3_Feed[[#This Row],[Region of origin]]</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3E9B9D4F-530F-4407-B4B9-E8334CE22E72}" name="Table_ProductRegions_Maizegrain" displayName="Table_ProductRegions_Maizegrain" ref="L97:M104" totalsRowShown="0" headerRowDxfId="152" headerRowCellStyle="Content normal">
  <autoFilter ref="L97:M104" xr:uid="{70F320A7-5DBE-4A83-91E4-C9B3BDA564BD}">
    <filterColumn colId="0" hiddenButton="1"/>
    <filterColumn colId="1" hiddenButton="1"/>
  </autoFilter>
  <tableColumns count="2">
    <tableColumn id="1" xr3:uid="{088D64E2-AB72-43F0-BEDE-317F97EB5C53}" name="Product">
      <calculatedColumnFormula>Table_SourceData_Scope3_Feed[[#This Row],[Product]]</calculatedColumnFormula>
    </tableColumn>
    <tableColumn id="2" xr3:uid="{5C8B1204-E5F7-4423-805A-C8E3DA341939}" name="Region">
      <calculatedColumnFormula>Table_SourceData_Scope3_Feed[[#This Row],[Region of origin]]</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9B6A3614-641B-4927-9557-BD647A38EF41}" name="Table_ProductRegions_Sorghumgrain" displayName="Table_ProductRegions_Sorghumgrain" ref="O104:P109" totalsRowShown="0" headerRowDxfId="151" headerRowCellStyle="Content normal">
  <autoFilter ref="O104:P109" xr:uid="{90205417-8A77-41A3-A4E2-624BD92B7269}">
    <filterColumn colId="0" hiddenButton="1"/>
    <filterColumn colId="1" hiddenButton="1"/>
  </autoFilter>
  <tableColumns count="2">
    <tableColumn id="1" xr3:uid="{7B96AAA5-3A30-4E4C-8D2A-7CFA8239DC40}" name="Product">
      <calculatedColumnFormula>Table_SourceData_Scope3_Feed[[#This Row],[Product]]</calculatedColumnFormula>
    </tableColumn>
    <tableColumn id="2" xr3:uid="{3D496726-37BA-4A57-AE87-FB1AB528F59A}" name="Region">
      <calculatedColumnFormula>Table_SourceData_Scope3_Feed[[#This Row],[Region of origin]]</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8E2AC8AF-1B3A-485A-83FA-C657D08D884A}" name="Table_ProductRegions_Wheatgrain" displayName="Table_ProductRegions_Wheatgrain" ref="L109:M117" totalsRowShown="0" headerRowDxfId="150" headerRowCellStyle="Content normal">
  <autoFilter ref="L109:M117" xr:uid="{9DD7D3AD-59A1-48FC-B80D-99C25A2A79F5}">
    <filterColumn colId="0" hiddenButton="1"/>
    <filterColumn colId="1" hiddenButton="1"/>
  </autoFilter>
  <tableColumns count="2">
    <tableColumn id="1" xr3:uid="{08113F04-07E1-443E-9981-79A0E7621F1D}" name="Product">
      <calculatedColumnFormula>Table_SourceData_Scope3_Feed[[#This Row],[Product]]</calculatedColumnFormula>
    </tableColumn>
    <tableColumn id="2" xr3:uid="{894E3500-7D9D-4BCE-8B4D-8311104B2BCD}" name="Region">
      <calculatedColumnFormula>Table_SourceData_Scope3_Feed[[#This Row],[Region of origin]]</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98EFA484-CE9A-4E76-BB7F-EE7075FCEC0A}"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EE27414F-525C-4986-8384-A0522EEAFDD5}" name="Product">
      <calculatedColumnFormula>Table_SourceData_Scope3_Feed[[#This Row],[Product]]</calculatedColumnFormula>
    </tableColumn>
    <tableColumn id="2" xr3:uid="{A41DC09B-017F-4864-BDEF-39E43426BED6}" name="Region">
      <calculatedColumnFormula>Table_SourceData_Scope3_Feed[[#This Row],[Region of origin]]</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DD036D6-3026-48A3-B442-0A39671645B3}"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F844AF71-2CD5-4A0A-A2D8-858E5CDDD97A}" name="Product">
      <calculatedColumnFormula>Table_SourceData_Scope3_Feed[[#This Row],[Product]]</calculatedColumnFormula>
    </tableColumn>
    <tableColumn id="2" xr3:uid="{15E43152-7142-4193-8792-38609289739D}" name="Region">
      <calculatedColumnFormula>Table_SourceData_Scope3_Feed[[#This Row],[Region of origin]]</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142E5130-AA56-40BE-8346-1F56F408EEA7}"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8FFF8494-0CD1-40DA-A558-14B65F11A4A5}" name="Product">
      <calculatedColumnFormula>Table_SourceData_Scope3_Feed[[#This Row],[Product]]</calculatedColumnFormula>
    </tableColumn>
    <tableColumn id="2" xr3:uid="{C0DC4DF1-542D-4BB0-88A5-0A8A0F7F6164}" name="Region">
      <calculatedColumnFormula>Table_SourceData_Scope3_Feed[[#This Row],[Region of origin]]</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80DA22A-B7FE-406F-B117-201D2149EE4D}"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CA3C899B-3698-477F-AF26-218BA9C1E72B}" name="Product">
      <calculatedColumnFormula>Table_SourceData_Scope3_Feed[[#This Row],[Product]]</calculatedColumnFormula>
    </tableColumn>
    <tableColumn id="2" xr3:uid="{AE741C8F-0797-4285-9B05-6849D03687EC}" name="Region">
      <calculatedColumnFormula>Table_SourceData_Scope3_Feed[[#This Row],[Region of origin]]</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36F354BD-ADF8-40B9-AAF6-9E0EEB71F7EC}"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EFB7FC85-8A4E-4EAF-B0E7-23DB79FB930E}" name="Product">
      <calculatedColumnFormula>Table_SourceData_Scope3_Feed[[#This Row],[Product]]</calculatedColumnFormula>
    </tableColumn>
    <tableColumn id="2" xr3:uid="{39A1A5C0-8FE3-402D-B2F4-E55F85799369}" name="Region">
      <calculatedColumnFormula>Table_SourceData_Scope3_Feed[[#This Row],[Region of origin]]</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7A5BF3F-700F-4F9C-83C1-20B266C68E7F}" name="Table_ProductRegions_Canolameal" displayName="Table_ProductRegions_Canolameal" ref="L150:M151" totalsRowShown="0" headerRowDxfId="149" headerRowCellStyle="Content normal" dataCellStyle="Content normal">
  <autoFilter ref="L150:M151" xr:uid="{58F78B6F-294E-4D4E-8E3B-BFE4FA85583E}">
    <filterColumn colId="0" hiddenButton="1"/>
    <filterColumn colId="1" hiddenButton="1"/>
  </autoFilter>
  <tableColumns count="2">
    <tableColumn id="1" xr3:uid="{A26C4263-87FC-44CE-93E6-65700030A5B2}" name="Product" dataCellStyle="Content normal">
      <calculatedColumnFormula>Table_SourceData_Scope3_Feed[[#This Row],[Product]]</calculatedColumnFormula>
    </tableColumn>
    <tableColumn id="2" xr3:uid="{EEA6F1A1-7EEF-4D48-9350-B9B1BB06B774}"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C6CC5F85-17B7-45AC-ACCF-B9D576E9E65D}"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C84B747D-D69A-471A-97C6-89AF074626EA}" name="Product">
      <calculatedColumnFormula>Table_SourceData_Scope3_Feed[[#This Row],[Product]]</calculatedColumnFormula>
    </tableColumn>
    <tableColumn id="2" xr3:uid="{A5EA8FCB-8C23-44C5-914E-AABF11F9E2FF}" name="Region">
      <calculatedColumnFormula>Table_SourceData_Scope3_Feed[[#This Row],[Region of origin]]</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99F76C67-AEBC-4BE3-966D-751A3A633CEC}"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7515AF05-3A66-46F1-AB0A-4487774A2D18}" name="Product">
      <calculatedColumnFormula>Table_SourceData_Scope3_Feed[[#This Row],[Product]]</calculatedColumnFormula>
    </tableColumn>
    <tableColumn id="2" xr3:uid="{C45E70FC-0097-4528-8660-A50DF9368D52}" name="Region">
      <calculatedColumnFormula>Table_SourceData_Scope3_Feed[[#This Row],[Region of origin]]</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6E3EB204-2818-48CF-9FBF-2DF76DF47D56}"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4495F9A5-03D9-46A9-A1AC-703AC2D42172}" name="Product">
      <calculatedColumnFormula>Table_SourceData_Scope3_Feed[[#This Row],[Product]]</calculatedColumnFormula>
    </tableColumn>
    <tableColumn id="2" xr3:uid="{4E9DF0A6-B048-4280-93C8-E8A0633EF46B}" name="Region">
      <calculatedColumnFormula>Table_SourceData_Scope3_Feed[[#This Row],[Region of origin]]</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3D572E51-1116-4236-9927-935989EFFC54}"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0BD9C619-FA1B-463F-BDDC-830D1835E4A2}" name="Product">
      <calculatedColumnFormula>Table_SourceData_Scope3_Feed[[#This Row],[Product]]</calculatedColumnFormula>
    </tableColumn>
    <tableColumn id="2" xr3:uid="{D0A7D418-C391-4C40-B882-37E2FE8A61D8}" name="Region">
      <calculatedColumnFormula>Table_SourceData_Scope3_Feed[[#This Row],[Region of origin]]</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D06B6952-D2AC-492D-B6F1-99D145F7E205}"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88114F69-5340-477F-8764-AA3098E7D6A0}" name="Product">
      <calculatedColumnFormula>Table_SourceData_Scope3_Feed[[#This Row],[Product]]</calculatedColumnFormula>
    </tableColumn>
    <tableColumn id="2" xr3:uid="{0C8B217C-935A-48A9-90C1-BE9EC8FE33A1}" name="Region">
      <calculatedColumnFormula>Table_SourceData_Scope3_Feed[[#This Row],[Region of origin]]</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C8DA0D8B-6C32-460A-AA49-317E8E539549}"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216452B7-0A1C-43C9-AC2E-68E62453E1B2}" name="Product">
      <calculatedColumnFormula>Table_SourceData_Scope3_Feed[[#This Row],[Product]]</calculatedColumnFormula>
    </tableColumn>
    <tableColumn id="2" xr3:uid="{AAE2ACD6-5EDB-4A87-B7C2-2D495B989665}" name="Region">
      <calculatedColumnFormula>Table_SourceData_Scope3_Feed[[#This Row],[Region of origin]]</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2FE98B82-6B56-4817-9B77-3877591627FB}"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1EABE7B5-E585-4D45-BD7D-96207C6D2F50}" name="Product">
      <calculatedColumnFormula>Table_SourceData_Scope3_Feed[[#This Row],[Product]]</calculatedColumnFormula>
    </tableColumn>
    <tableColumn id="2" xr3:uid="{27EEA1B0-3DC5-4053-897E-9535A5EACA59}" name="Region">
      <calculatedColumnFormula>Table_SourceData_Scope3_Feed[[#This Row],[Region of origin]]</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5963456F-DA8D-4EDA-B861-8A96198366EE}" name="Table_ProductRegions_Beefcattle139" displayName="Table_ProductRegions_Beefcattle139" ref="L33:M49" totalsRowShown="0">
  <autoFilter ref="L33:M49" xr:uid="{77539992-728B-4655-965B-FB28372E4BBC}">
    <filterColumn colId="0" hiddenButton="1"/>
    <filterColumn colId="1" hiddenButton="1"/>
  </autoFilter>
  <tableColumns count="2">
    <tableColumn id="1" xr3:uid="{0307DC46-9572-40B9-8D86-7DC1B000BCEA}" name="Region"/>
    <tableColumn id="2" xr3:uid="{40C56353-614F-4E7D-8376-8F07BF689E85}" name="Scope3 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BC644734-B622-441D-8260-604FAEAF014B}" name="Table_SourceData_Scope3_FishFeedAndBait" displayName="Table_SourceData_Scope3_FishFeedAndBait" ref="D241:J247" totalsRowShown="0" dataDxfId="148"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57091DDC-F922-4240-B76E-1ACD9994F81E}" name="Category" dataDxfId="147" dataCellStyle="Content normal">
      <calculatedColumnFormula array="1">Common_InputFunctions.Utility_DisplayArrayInTable(Scope3_SourceData.Scope3_FishFeedAndBait_Data(), Table_SourceData_Scope3_FishFeedAndBait[[#Headers],[Category]], 0, 1)</calculatedColumnFormula>
    </tableColumn>
    <tableColumn id="1" xr3:uid="{A5A5C077-87B7-4DC9-B200-17C77549081A}" name="Product" dataDxfId="146" dataCellStyle="Content normal">
      <calculatedColumnFormula array="1">Common_InputFunctions.Utility_DisplayArrayInTable(Scope3_SourceData.Scope3_FishFeedAndBait_Data(), Table_SourceData_Scope3_FishFeedAndBait[[#Headers],[Category]], 0, 1)</calculatedColumnFormula>
    </tableColumn>
    <tableColumn id="2" xr3:uid="{CBC018EA-972C-4828-ABC7-93FE3D632157}" name="Region of origin" dataDxfId="145" dataCellStyle="Content normal">
      <calculatedColumnFormula array="1">Common_InputFunctions.Utility_DisplayArrayInTable(Scope3_SourceData.Scope3_FishFeedAndBait_Data(), Table_SourceData_Scope3_FishFeedAndBait[[#Headers],[Category]], 0, 1)</calculatedColumnFormula>
    </tableColumn>
    <tableColumn id="3" xr3:uid="{913EEB83-3BF0-4971-8255-7BBE49E6413B}" name="Quantity Unit" dataDxfId="144" dataCellStyle="Content normal">
      <calculatedColumnFormula array="1">Common_InputFunctions.Utility_DisplayArrayInTable(Scope3_SourceData.Scope3_FishFeedAndBait_Data(), Table_SourceData_Scope3_FishFeedAndBait[[#Headers],[Category]], 0, 1)</calculatedColumnFormula>
    </tableColumn>
    <tableColumn id="4" xr3:uid="{1978D1F9-D6D8-4FDE-A5C4-097738F4EC27}" name="Emissions intensity" dataDxfId="143" dataCellStyle="Content normal">
      <calculatedColumnFormula array="1">Common_InputFunctions.Utility_DisplayArrayInTable(Scope3_SourceData.Scope3_FishFeedAndBait_Data(), Table_SourceData_Scope3_FishFeedAndBait[[#Headers],[Category]], 0, 1)</calculatedColumnFormula>
    </tableColumn>
    <tableColumn id="5" xr3:uid="{7FA064FA-ECD4-4426-A8B3-5AAB0B0F84EC}" name="System boundary" dataDxfId="142" dataCellStyle="Content normal">
      <calculatedColumnFormula array="1">Common_InputFunctions.Utility_DisplayArrayInTable(Scope3_SourceData.Scope3_FishFeedAndBait_Data(), Table_SourceData_Scope3_FishFeedAndBait[[#Headers],[Category]], 0, 1)</calculatedColumnFormula>
    </tableColumn>
    <tableColumn id="8" xr3:uid="{17F72BF0-7B36-4BAB-99A0-C494A0EE90A7}" name="Source" dataDxfId="141" dataCellStyle="Content normal"/>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1A2FDF16-FD3C-4701-A407-5FA6D6DDAE42}"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E01149C2-4353-4015-B40F-18AB1D8FAD82}"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ED587C36-FDB3-4657-8EDD-FFD1CD8AB514}" name="Waste type w" dataDxfId="14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C33CEC4D-1989-45A0-8E26-BAF8080F5553}" name="EFwt" dataDxfId="13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160CB309-19C3-463D-AED0-CA7F32A87A02}" name="EF source" dataDxfId="13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1E6D663A-9C4B-4D0E-8B88-46BA2E0D8B97}"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46585916-96C7-4485-BFF7-077F423EC0FB}"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81873B7-AF85-4DD2-BD4D-D87AB2129039}" name="VTMw" dataDxfId="137"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ED4487F6-11C4-4C43-9FEE-9DF8542A2F67}" name="Table_WasteTypes_Landfill" displayName="Table_WasteTypes_Landfill" ref="I16:I27" totalsRowShown="0">
  <autoFilter ref="I16:I27" xr:uid="{99B942E3-1D24-4166-921C-DCC10960718D}">
    <filterColumn colId="0" hiddenButton="1"/>
  </autoFilter>
  <tableColumns count="1">
    <tableColumn id="1" xr3:uid="{1FE7AF67-2FCF-4FD1-8926-C50C3C603C8D}"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7D06259-C3BE-4371-A696-6039E9EF410C}" name="Table_WasteTypes_Incineration" displayName="Table_WasteTypes_Incineration" ref="K16:K26" totalsRowShown="0" headerRowDxfId="136" headerRowCellStyle="Content normal" dataCellStyle="Content normal">
  <autoFilter ref="K16:K26" xr:uid="{9A900595-7035-4239-9059-ACC16835BF72}">
    <filterColumn colId="0" hiddenButton="1"/>
  </autoFilter>
  <tableColumns count="1">
    <tableColumn id="1" xr3:uid="{833169F7-BB4D-47A8-978B-9B3BFFB1CB5E}" name="Waste type w" dataCellStyle="Content normal">
      <calculatedColumnFormula>E29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5AA855EE-7B74-48FF-817A-2CCB234C9824}" name="Table_WasteTypes_Composting" displayName="Table_WasteTypes_Composting" ref="M16:M21" totalsRowShown="0" headerRowDxfId="135" headerRowCellStyle="Content normal" dataCellStyle="Content normal">
  <autoFilter ref="M16:M21" xr:uid="{5C8D39D3-1330-49EB-B431-1B2B8C8238DC}">
    <filterColumn colId="0" hiddenButton="1"/>
  </autoFilter>
  <tableColumns count="1">
    <tableColumn id="1" xr3:uid="{24042243-347F-45A6-8DB4-A33207131C04}" name="Waste type w" totalsRowDxfId="134" dataCellStyle="Content normal">
      <calculatedColumnFormula>E40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67A5FDE0-ED6E-4209-8A60-F8979D1301E5}" name="Table_WasteTypes_Anaerobicdigestion" displayName="Table_WasteTypes_Anaerobicdigestion" ref="O16:O21" totalsRowShown="0" headerRowDxfId="133" headerRowCellStyle="Content normal" dataCellStyle="Content normal">
  <autoFilter ref="O16:O21" xr:uid="{331EC43E-DF68-429F-A2A4-58BFE6216EC3}">
    <filterColumn colId="0" hiddenButton="1"/>
  </autoFilter>
  <tableColumns count="1">
    <tableColumn id="1" xr3:uid="{0C5CD51C-039F-4665-8B6B-E3570EBA9927}" name="Waste type w" totalsRowDxfId="132" dataCellStyle="Content normal">
      <calculatedColumnFormula>E46</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720952-9573-49DC-AE17-42B5E4717C7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C6BB80F-2FBD-4189-9CFF-6AB5D66A7738}" name="State/Territory">
      <calculatedColumnFormula array="1">Common_InputFunctions.Utility_DisplayArrayInTable(Common_SourceData.Common_SourceData_AustralianStatesTerritories_Data(),Table_AustralianStates[[#Headers],[State/Territory]],0)</calculatedColumnFormula>
    </tableColumn>
    <tableColumn id="2" xr3:uid="{0C42CDB9-C65B-407F-867C-B8581218C179}" name="Common Name">
      <calculatedColumnFormula array="1">Common_InputFunctions.Utility_DisplayArrayInTable(Common_SourceData.Common_SourceData_AustralianStatesTerritories_Data(),Table_AustralianStates[[#Headers],[State/Territory]],0)</calculatedColumnFormula>
    </tableColumn>
    <tableColumn id="3" xr3:uid="{393D1B98-31B0-48DC-BEE3-2D1FF09DAD5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5347D19-8517-44DD-A1D0-08213C68A9AD}" name="Table_WASA4Areas" displayName="Table_WASA4Areas" ref="D20:D30" totalsRowShown="0">
  <autoFilter ref="D20:D30" xr:uid="{5FA81339-C6C8-4D36-BEEA-6C4AEDD9E676}">
    <filterColumn colId="0" hiddenButton="1"/>
  </autoFilter>
  <tableColumns count="1">
    <tableColumn id="1" xr3:uid="{B79AC01B-AD9D-42AB-AE54-83A8143EDB2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43446F9-8BAA-41C9-9D82-4D4B2E3388F4}" name="Table_GWPData" displayName="Table_GWPData" ref="D36:E43" totalsRowShown="0">
  <autoFilter ref="D36:E43" xr:uid="{B8E87A66-3E41-4AD3-925D-01EE21B43D7A}">
    <filterColumn colId="0" hiddenButton="1"/>
    <filterColumn colId="1" hiddenButton="1"/>
  </autoFilter>
  <tableColumns count="2">
    <tableColumn id="1" xr3:uid="{3B2AA825-0B55-4971-BB6C-BE8CA13C072B}" name="Gas">
      <calculatedColumnFormula array="1">Common_InputFunctions.Utility_DisplayArrayInTable(Common_SourceData.Common_SourceData_GWP_Data(), Table_GWPData[[#Headers],[Gas]], 0)</calculatedColumnFormula>
    </tableColumn>
    <tableColumn id="2" xr3:uid="{91B57224-483E-453D-8C90-2289203554C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82ED490-9500-460F-B609-3C1110E2B69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B93A9B8-28D8-4CC1-BCA3-DBC30FFF7CC8}" name="Gas">
      <calculatedColumnFormula array="1">Common_InputFunctions.Utility_DisplayArrayInTable(Common_SourceData.Common_SourceData_ConvertGasElementalToMolecular_Data(),Table_GasToMolecularConversionFactor[[#Headers],[Gas]], 0)</calculatedColumnFormula>
    </tableColumn>
    <tableColumn id="5" xr3:uid="{3A0B26F5-7F8E-4633-B799-B9F17383CD69}" name="Conversion factor">
      <calculatedColumnFormula array="1">Common_InputFunctions.Utility_DisplayArrayInTable(Common_SourceData.Common_SourceData_ConvertGasElementalToMolecular_Data(),Table_GasToMolecularConversionFactor[[#Headers],[Gas]], 0)</calculatedColumnFormula>
    </tableColumn>
    <tableColumn id="2" xr3:uid="{AF072F9B-4B19-411A-9998-A3D08C62C42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20CDD08-9BCA-4B6F-B811-FDAD125373B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14E2E0C-882D-4C71-9209-12865667B0B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EC03F0C-FF22-407F-9796-8168294B5EE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8BB8466-D7CA-45B4-AC88-D0751E36E8E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C1C41D4-653F-4E49-A6A7-F05E5236EF25}" name="MAT"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3" xr3:uid="{5379A94F-0EDF-4426-9BFA-DAED807DA7C1}" name="MAP"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4" xr3:uid="{E6A06D4F-4AAA-4F0C-A247-F00F53686281}" name="Frost days per year"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5" xr3:uid="{08EBF8F6-53FE-4006-A4C0-B098DC45673D}" name="Elevation"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6" xr3:uid="{BCB4110B-8D19-4649-B51F-2612B4C23752}" name="MAP:PET"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7" xr3:uid="{B42B2105-CFEB-4AEB-8E2F-43F80732FDA0}" name="Min temp"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8" xr3:uid="{B73F0F92-06DA-4E97-8F81-DF24FF23C6AE}" name="Max temp"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9" xr3:uid="{CD8AF126-C330-4BBD-AEF8-CD0E4D054E3D}" name="Min rainfall"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0" xr3:uid="{532985AB-0B3A-47DF-B0D6-F257A88ADB07}" name="Max rainfall"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1" xr3:uid="{75116F98-219B-4E23-B88C-05E5BE44A8C8}" name="Min frost days"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5" xr3:uid="{EB3A0B83-1556-4A52-B561-F1C477FE82A3}" name="Max frost days"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12" xr3:uid="{A0C8EF52-24EB-49B7-A21E-AE71B166B735}" name="Min elevation"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16" xr3:uid="{3D0F61E1-59E6-4B05-80AC-67F9B04BF0B0}" name="Max elevation"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13" xr3:uid="{E1D367ED-4C69-451C-A4C2-A7D9D04C2C00}" name="Min MAP:PET"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17" xr3:uid="{A16257E5-CB70-4141-ADFC-9F07F40D4D6E}" name="Max MAP:PET" totalsRowDxfId="11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B1FBBD1-DF6D-4ABA-9661-65271F24FFF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8989BD9-AEF4-497A-9908-F768654AAB3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A19B872-FB37-48B8-9489-88BEBF884297}" name="Wet or Dry Zone" totalsRowDxfId="11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5C3254F-969E-4F23-BFEE-B8B2D8E7D6C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39EA7CD-71E1-4988-984B-15DB8D0DE01A}" name="Temperature Zone">
      <calculatedColumnFormula array="1">Common_InputFunctions.Utility_DisplayArrayInTable(Common_SourceData.Common_SourceData_TemperatureZones_Data(),Table_SourceData_TemperatureZones[[#Headers],[Temperature Zone]],0)</calculatedColumnFormula>
    </tableColumn>
    <tableColumn id="2" xr3:uid="{D9D81061-255F-491A-8C85-8C6425E90E49}" name="MAT">
      <calculatedColumnFormula array="1">Common_InputFunctions.Utility_DisplayArrayInTable(Common_SourceData.Common_SourceData_TemperatureZones_Data(),Table_SourceData_TemperatureZones[[#Headers],[Temperature Zone]],0)</calculatedColumnFormula>
    </tableColumn>
    <tableColumn id="3" xr3:uid="{116CB086-2F02-436C-BE8C-4F10687F05A2}" name="Min MAT">
      <calculatedColumnFormula array="1">Common_InputFunctions.Utility_DisplayArrayInTable(Common_SourceData.Common_SourceData_TemperatureZones_Data(),Table_SourceData_TemperatureZones[[#Headers],[Temperature Zone]],0)</calculatedColumnFormula>
    </tableColumn>
    <tableColumn id="4" xr3:uid="{175827B5-1C09-4025-B7A6-78EA00E8A22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7E4EC19-12EC-4534-BA6E-FF6E8E98912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8236EFA-AD23-4F28-8BB9-36AD6FB48737}" name="Rainfall Zone">
      <calculatedColumnFormula array="1">Common_InputFunctions.Utility_DisplayArrayInTable(Common_SourceData.Common_SourceData_RainfallZones_Data(),Table_SourceData_RainfallZones[[#Headers],[Rainfall Zone]],0)</calculatedColumnFormula>
    </tableColumn>
    <tableColumn id="2" xr3:uid="{053CE2E4-656E-4DF0-80E9-713C86453636}" name="Annual rainfall">
      <calculatedColumnFormula array="1">Common_InputFunctions.Utility_DisplayArrayInTable(Common_SourceData.Common_SourceData_RainfallZones_Data(),Table_SourceData_RainfallZones[[#Headers],[Rainfall Zone]],0)</calculatedColumnFormula>
    </tableColumn>
    <tableColumn id="3" xr3:uid="{6ABAD44B-42E6-49C9-9D06-E4D927E3FC2D}" name="Min rainfall">
      <calculatedColumnFormula array="1">Common_InputFunctions.Utility_DisplayArrayInTable(Common_SourceData.Common_SourceData_RainfallZones_Data(),Table_SourceData_RainfallZones[[#Headers],[Rainfall Zone]],0)</calculatedColumnFormula>
    </tableColumn>
    <tableColumn id="4" xr3:uid="{8128E778-32A6-40F5-B3FF-A36C733C0FD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F183465-FC50-4283-BE83-5B1A778BA6B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258EA5E-29F0-4F71-9EF2-63A68C24D6E6}" name="Leaching Zone">
      <calculatedColumnFormula array="1">Common_InputFunctions.Utility_DisplayArrayInTable(Common_SourceData.Common_SourceData_LeachingZones_Data(), Table_SourceData_LeachingZones[[#Headers],[Leaching Zone]], 0)</calculatedColumnFormula>
    </tableColumn>
    <tableColumn id="2" xr3:uid="{16A007DF-3E06-4D5C-99FC-2FA1A74E795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AE32112-65CD-4D1B-A9A2-15A68D3200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CB32AE6-7894-4FCA-9F6C-07F05AB46621}" name="Data source">
      <calculatedColumnFormula array="1">Common_InputFunctions.Utility_DisplayArrayInTable(Common_SourceData.Common_SourceData_DataScores_Scope3_Data(), Table_SourceData_DataScores_Scope3[[#Headers],[Data source]], 0)</calculatedColumnFormula>
    </tableColumn>
    <tableColumn id="2" xr3:uid="{85604825-49E8-43B9-909C-18E46E7DEC2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BBF5D-DA92-4264-AD9D-9F5CFFF15CAA}" name="Table_SourceData_FracWET" displayName="Table_SourceData_FracWET" ref="D134:E136" totalsRowShown="0">
  <autoFilter ref="D134:E136" xr:uid="{308E99BE-FE1F-47A4-B2CA-97217277C4E9}">
    <filterColumn colId="0" hiddenButton="1"/>
    <filterColumn colId="1" hiddenButton="1"/>
  </autoFilter>
  <tableColumns count="2">
    <tableColumn id="1" xr3:uid="{CF98DBD3-9591-417B-965C-0B525EC6DBAE}" name="Is in leaching zone">
      <calculatedColumnFormula array="1">Common_InputFunctions.Utility_DisplayArrayInTable(Common_SourceData.Common_SourceData_FracWET_Data(),Table_SourceData_FracWET[[#Headers],[Is in leaching zone]],0)</calculatedColumnFormula>
    </tableColumn>
    <tableColumn id="2" xr3:uid="{5336914D-9858-44A0-8BB8-74081214E619}" name="FracWET" dataDxfId="11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18488E-2D7D-439C-B8D2-56CA39859E5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A639D26-E0EC-42F1-AA33-B27EA51FDEC7}" name="Production system j">
      <calculatedColumnFormula array="1">Common_InputFunctions.Utility_DisplayArrayInTable(Common_SourceData.Common_SourceData_EFN2O_Data(), Table_SourceData_Common_EFN2O[[#Headers],[Production system j]], 0)</calculatedColumnFormula>
    </tableColumn>
    <tableColumn id="2" xr3:uid="{A9523266-7CD1-4931-9A5C-A497FD079104}" name="EFN2O">
      <calculatedColumnFormula array="1">Common_InputFunctions.Utility_DisplayArrayInTable(Common_SourceData.Common_SourceData_EFN2O_Data(), Table_SourceData_Common_EFN2O[[#Headers],[Production system j]], 0)</calculatedColumnFormula>
    </tableColumn>
    <tableColumn id="3" xr3:uid="{5D50F0E2-2A38-4AB7-9374-699B662BC3E8}" name="Production system only">
      <calculatedColumnFormula array="1">Common_InputFunctions.Utility_DisplayArrayInTable(Common_SourceData.Common_SourceData_EFN2O_Data(), Table_SourceData_Common_EFN2O[[#Headers],[Production system j]], 0)</calculatedColumnFormula>
    </tableColumn>
    <tableColumn id="4" xr3:uid="{00101D00-D208-4EC9-8026-CD6B2675535F}" name="Irrigation method">
      <calculatedColumnFormula array="1">Common_InputFunctions.Utility_DisplayArrayInTable(Common_SourceData.Common_SourceData_EFN2O_Data(), Table_SourceData_Common_EFN2O[[#Headers],[Production system j]], 0)</calculatedColumnFormula>
    </tableColumn>
    <tableColumn id="5" xr3:uid="{F756819C-2D33-45FF-B6CB-8674C3BC3A7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13356D3-62E2-43A6-B994-DF33A725CC9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2CF089F-9220-4CAC-9C36-4B26C49BA6D7}" name="Irrigation type i">
      <calculatedColumnFormula array="1">Common_InputFunctions.Utility_DisplayArrayInTable(Common_SourceData.Common_SourceData_FracWETIrrigation_Data(), Table_SourceData_FracWETIrrigation[[#Headers],[Irrigation type i]], 0)</calculatedColumnFormula>
    </tableColumn>
    <tableColumn id="2" xr3:uid="{F21CFD53-D797-4F63-871C-90B319E85125}" name="FracWET" dataDxfId="11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2BC3359-B887-4B92-BA60-37C0DF4B482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28C5760-728E-4EE9-AFCB-5C464A6A12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2F4118D-7FF1-4279-9E30-379764DA8CBD}" name="EFPRP" dataDxfId="11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27A6E9A-B90C-453F-809E-9BF272D1F90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CB58693-2CD1-4651-AFBC-81E165DF5F4B}" name="Month">
      <calculatedColumnFormula array="1">Common_InputFunctions.Utility_DisplayArrayInTable(Common_SourceData.Common_SourceData_MonthsToSeasons_Data(), Table_SourceData_Common_MonthToSeason[[#Headers],[Month]], 0)</calculatedColumnFormula>
    </tableColumn>
    <tableColumn id="2" xr3:uid="{E2330CF6-9F69-47B0-88DB-D3C86E1928ED}" name="Season" dataDxfId="11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3FDB8C6-8199-4079-A733-9CABFC45C77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1F7059D-1B40-4000-8EBB-FAFE398EB87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AEC9A89-0D07-41DF-86F4-B26E31E88835}" name="MAT (ºC)"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6F91884-5AF4-447A-8520-68A37028F0F0}" name="Anaerobic lagoon"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5B15192-3151-43E0-97CA-541421A207F6}" name="Digester / covered lagoons"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598F438-3373-4E2C-8BF3-CB86BAEB79C0}" name="Liquid systems"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F6AD1AB-0114-4923-B5EF-4DCE74757E4C}" name="Daily spread"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FD3FE3A-59E1-4EE8-A27D-E212869F1CAD}" name="Composting (passive windrow)"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6D44CDF-4B93-4D5F-BEC5-B67FBB794EB6}" name="Solid storage"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FC413AF-8D15-4345-BAD0-EEE54875709E}" name="Pit storage"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790608F-2E65-437F-8796-CC39216C5B45}" name="Deep litter"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2EC7D1A-E957-4AB9-8493-A794424A2347}" name="Poultry manure with bedding"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945446A-E7FC-48E3-9216-2B02178DD373}" name="Poultry manure without bedding"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B0473E9-EA83-4451-9EFA-5B9B54991D93}" name="Direct processing"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2C54652-DFAC-452A-8C36-450CDF488E63}" name="Direct application"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85298AB-9442-4C84-B82C-B84C6E9730EE}" name="Pasture range and paddock"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B2CE94B-AD18-40F0-A08E-BDB803D88F8F}" name="MAT raw"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7485C14-9323-435F-B0B7-47C0D0D9537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406DCD-6ABE-4B56-BF50-D3BC23E1941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71BCC44-6C22-4C4F-915C-2193AD5D8685}" name="EFNi &amp; EFN2Oi" dataDxfId="9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650809D-8099-4FBA-B745-76E447C33E18}"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FC6515F2-F743-4534-9BA5-E78D8E2F4021}" name="User friendly description" dataDxfId="95" dataCellStyle="Content normal"/>
    <tableColumn id="2" xr3:uid="{FB5C0130-8C56-4920-AC12-9A8601CC1D07}" name="Description" dataDxfId="94" dataCellStyle="Content normal"/>
    <tableColumn id="1" xr3:uid="{0A459D12-E751-4E2E-8CE5-4EF42557A83B}" name="ID"/>
    <tableColumn id="3" xr3:uid="{A0E1B015-C463-41C0-A994-92DCD94CC175}" name="Scor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D28BB68-385A-4176-892F-EF130CB60F30}"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84845BE1-D964-448F-8FDA-ADC321E2D81D}" name="User friendly description" dataDxfId="93" dataCellStyle="Content normal"/>
    <tableColumn id="1" xr3:uid="{34EC183C-370B-4DFE-9065-4F9ACAA38F60}" name="Description"/>
    <tableColumn id="2" xr3:uid="{107DA8AE-2247-4881-880C-EEBC8C15B8B3}" name="ID"/>
    <tableColumn id="3" xr3:uid="{AA26A711-CA9E-45E6-A092-5D0A4E1B94B8}" name="Score"/>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011D9C8-D9BF-4EC1-8EE4-9FD3825918F4}"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BA922920-2934-4E0E-AE24-99194D9AB260}" name="User friendly description" dataDxfId="92" dataCellStyle="Content normal"/>
    <tableColumn id="1" xr3:uid="{BFFF9069-1343-490C-B526-48F6B2753CEC}" name="Description"/>
    <tableColumn id="2" xr3:uid="{BD5206D4-06B4-453B-8520-FEAEDFA43CF6}" name="ID"/>
    <tableColumn id="3" xr3:uid="{C6F41987-4496-4931-B11B-073A5D1BCE2E}" name="Score"/>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7FCB4AD-32D8-44C1-AD86-01B250CA056A}"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A94E71AD-9B2C-4435-97A1-F274F1BE2322}" name="User friendly description" dataDxfId="91" dataCellStyle="Content normal"/>
    <tableColumn id="1" xr3:uid="{A275EC0A-2497-4B55-93B7-86FE5C31EA4B}" name="Description"/>
    <tableColumn id="2" xr3:uid="{040B03E7-03D1-4742-A40A-05FC6DF73B1F}" name="ID"/>
    <tableColumn id="3" xr3:uid="{3189ACBE-E25E-4F4A-A8F4-71E3D4EB3829}"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5" Type="http://schemas.openxmlformats.org/officeDocument/2006/relationships/table" Target="../tables/table7.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0.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26" Type="http://schemas.openxmlformats.org/officeDocument/2006/relationships/table" Target="../tables/table52.xml"/><Relationship Id="rId3" Type="http://schemas.openxmlformats.org/officeDocument/2006/relationships/table" Target="../tables/table29.xml"/><Relationship Id="rId21" Type="http://schemas.openxmlformats.org/officeDocument/2006/relationships/table" Target="../tables/table47.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5" Type="http://schemas.openxmlformats.org/officeDocument/2006/relationships/table" Target="../tables/table51.xml"/><Relationship Id="rId2" Type="http://schemas.openxmlformats.org/officeDocument/2006/relationships/table" Target="../tables/table28.xml"/><Relationship Id="rId16" Type="http://schemas.openxmlformats.org/officeDocument/2006/relationships/table" Target="../tables/table42.xml"/><Relationship Id="rId20" Type="http://schemas.openxmlformats.org/officeDocument/2006/relationships/table" Target="../tables/table46.xml"/><Relationship Id="rId1" Type="http://schemas.openxmlformats.org/officeDocument/2006/relationships/table" Target="../tables/table27.xml"/><Relationship Id="rId6" Type="http://schemas.openxmlformats.org/officeDocument/2006/relationships/table" Target="../tables/table32.xml"/><Relationship Id="rId11" Type="http://schemas.openxmlformats.org/officeDocument/2006/relationships/table" Target="../tables/table37.xml"/><Relationship Id="rId24" Type="http://schemas.openxmlformats.org/officeDocument/2006/relationships/table" Target="../tables/table50.xml"/><Relationship Id="rId5" Type="http://schemas.openxmlformats.org/officeDocument/2006/relationships/table" Target="../tables/table31.xml"/><Relationship Id="rId15" Type="http://schemas.openxmlformats.org/officeDocument/2006/relationships/table" Target="../tables/table41.xml"/><Relationship Id="rId23" Type="http://schemas.openxmlformats.org/officeDocument/2006/relationships/table" Target="../tables/table49.xml"/><Relationship Id="rId10" Type="http://schemas.openxmlformats.org/officeDocument/2006/relationships/table" Target="../tables/table36.xml"/><Relationship Id="rId19" Type="http://schemas.openxmlformats.org/officeDocument/2006/relationships/table" Target="../tables/table45.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 Id="rId22" Type="http://schemas.openxmlformats.org/officeDocument/2006/relationships/table" Target="../tables/table48.xml"/><Relationship Id="rId27" Type="http://schemas.openxmlformats.org/officeDocument/2006/relationships/table" Target="../tables/table53.xml"/></Relationships>
</file>

<file path=xl/worksheets/_rels/sheet41.xml.rels><?xml version="1.0" encoding="UTF-8" standalone="yes"?>
<Relationships xmlns="http://schemas.openxmlformats.org/package/2006/relationships"><Relationship Id="rId8" Type="http://schemas.openxmlformats.org/officeDocument/2006/relationships/table" Target="../tables/table60.xml"/><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table" Target="../tables/table54.xml"/><Relationship Id="rId1" Type="http://schemas.openxmlformats.org/officeDocument/2006/relationships/printerSettings" Target="../printerSettings/printerSettings26.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 Id="rId9" Type="http://schemas.openxmlformats.org/officeDocument/2006/relationships/table" Target="../tables/table61.xml"/></Relationships>
</file>

<file path=xl/worksheets/_rels/sheet42.xml.rels><?xml version="1.0" encoding="UTF-8" standalone="yes"?>
<Relationships xmlns="http://schemas.openxmlformats.org/package/2006/relationships"><Relationship Id="rId3" Type="http://schemas.openxmlformats.org/officeDocument/2006/relationships/table" Target="../tables/table63.xml"/><Relationship Id="rId7" Type="http://schemas.openxmlformats.org/officeDocument/2006/relationships/table" Target="../tables/table67.xml"/><Relationship Id="rId2" Type="http://schemas.openxmlformats.org/officeDocument/2006/relationships/table" Target="../tables/table62.xml"/><Relationship Id="rId1" Type="http://schemas.openxmlformats.org/officeDocument/2006/relationships/printerSettings" Target="../printerSettings/printerSettings27.bin"/><Relationship Id="rId6" Type="http://schemas.openxmlformats.org/officeDocument/2006/relationships/table" Target="../tables/table66.xml"/><Relationship Id="rId5" Type="http://schemas.openxmlformats.org/officeDocument/2006/relationships/table" Target="../tables/table65.xml"/><Relationship Id="rId4" Type="http://schemas.openxmlformats.org/officeDocument/2006/relationships/table" Target="../tables/table64.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table" Target="../tables/table68.xml"/></Relationships>
</file>

<file path=xl/worksheets/_rels/sheet44.xml.rels><?xml version="1.0" encoding="UTF-8" standalone="yes"?>
<Relationships xmlns="http://schemas.openxmlformats.org/package/2006/relationships"><Relationship Id="rId8" Type="http://schemas.openxmlformats.org/officeDocument/2006/relationships/table" Target="../tables/table76.xml"/><Relationship Id="rId3" Type="http://schemas.openxmlformats.org/officeDocument/2006/relationships/table" Target="../tables/table71.xml"/><Relationship Id="rId7" Type="http://schemas.openxmlformats.org/officeDocument/2006/relationships/table" Target="../tables/table75.xml"/><Relationship Id="rId12" Type="http://schemas.openxmlformats.org/officeDocument/2006/relationships/table" Target="../tables/table80.xml"/><Relationship Id="rId2" Type="http://schemas.openxmlformats.org/officeDocument/2006/relationships/table" Target="../tables/table70.xml"/><Relationship Id="rId1" Type="http://schemas.openxmlformats.org/officeDocument/2006/relationships/printerSettings" Target="../printerSettings/printerSettings28.bin"/><Relationship Id="rId6" Type="http://schemas.openxmlformats.org/officeDocument/2006/relationships/table" Target="../tables/table74.xml"/><Relationship Id="rId11" Type="http://schemas.openxmlformats.org/officeDocument/2006/relationships/table" Target="../tables/table79.xml"/><Relationship Id="rId5" Type="http://schemas.openxmlformats.org/officeDocument/2006/relationships/table" Target="../tables/table73.xml"/><Relationship Id="rId10" Type="http://schemas.openxmlformats.org/officeDocument/2006/relationships/table" Target="../tables/table78.xml"/><Relationship Id="rId4" Type="http://schemas.openxmlformats.org/officeDocument/2006/relationships/table" Target="../tables/table72.xml"/><Relationship Id="rId9" Type="http://schemas.openxmlformats.org/officeDocument/2006/relationships/table" Target="../tables/table77.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83.xml"/><Relationship Id="rId7" Type="http://schemas.openxmlformats.org/officeDocument/2006/relationships/table" Target="../tables/table87.xml"/><Relationship Id="rId2" Type="http://schemas.openxmlformats.org/officeDocument/2006/relationships/table" Target="../tables/table82.xml"/><Relationship Id="rId1" Type="http://schemas.openxmlformats.org/officeDocument/2006/relationships/table" Target="../tables/table81.xml"/><Relationship Id="rId6" Type="http://schemas.openxmlformats.org/officeDocument/2006/relationships/table" Target="../tables/table86.xml"/><Relationship Id="rId5" Type="http://schemas.openxmlformats.org/officeDocument/2006/relationships/table" Target="../tables/table85.xml"/><Relationship Id="rId4" Type="http://schemas.openxmlformats.org/officeDocument/2006/relationships/table" Target="../tables/table84.xml"/></Relationships>
</file>

<file path=xl/worksheets/_rels/sheet46.xml.rels><?xml version="1.0" encoding="UTF-8" standalone="yes"?>
<Relationships xmlns="http://schemas.openxmlformats.org/package/2006/relationships"><Relationship Id="rId8" Type="http://schemas.openxmlformats.org/officeDocument/2006/relationships/table" Target="../tables/table95.xml"/><Relationship Id="rId13" Type="http://schemas.openxmlformats.org/officeDocument/2006/relationships/table" Target="../tables/table100.xml"/><Relationship Id="rId18" Type="http://schemas.openxmlformats.org/officeDocument/2006/relationships/table" Target="../tables/table105.xml"/><Relationship Id="rId26" Type="http://schemas.openxmlformats.org/officeDocument/2006/relationships/table" Target="../tables/table113.xml"/><Relationship Id="rId3" Type="http://schemas.openxmlformats.org/officeDocument/2006/relationships/table" Target="../tables/table90.xml"/><Relationship Id="rId21" Type="http://schemas.openxmlformats.org/officeDocument/2006/relationships/table" Target="../tables/table108.xml"/><Relationship Id="rId7" Type="http://schemas.openxmlformats.org/officeDocument/2006/relationships/table" Target="../tables/table94.xml"/><Relationship Id="rId12" Type="http://schemas.openxmlformats.org/officeDocument/2006/relationships/table" Target="../tables/table99.xml"/><Relationship Id="rId17" Type="http://schemas.openxmlformats.org/officeDocument/2006/relationships/table" Target="../tables/table104.xml"/><Relationship Id="rId25" Type="http://schemas.openxmlformats.org/officeDocument/2006/relationships/table" Target="../tables/table112.xml"/><Relationship Id="rId2" Type="http://schemas.openxmlformats.org/officeDocument/2006/relationships/table" Target="../tables/table89.xml"/><Relationship Id="rId16" Type="http://schemas.openxmlformats.org/officeDocument/2006/relationships/table" Target="../tables/table103.xml"/><Relationship Id="rId20" Type="http://schemas.openxmlformats.org/officeDocument/2006/relationships/table" Target="../tables/table107.xml"/><Relationship Id="rId29" Type="http://schemas.openxmlformats.org/officeDocument/2006/relationships/table" Target="../tables/table116.xml"/><Relationship Id="rId1" Type="http://schemas.openxmlformats.org/officeDocument/2006/relationships/table" Target="../tables/table88.xml"/><Relationship Id="rId6" Type="http://schemas.openxmlformats.org/officeDocument/2006/relationships/table" Target="../tables/table93.xml"/><Relationship Id="rId11" Type="http://schemas.openxmlformats.org/officeDocument/2006/relationships/table" Target="../tables/table98.xml"/><Relationship Id="rId24" Type="http://schemas.openxmlformats.org/officeDocument/2006/relationships/table" Target="../tables/table111.xml"/><Relationship Id="rId5" Type="http://schemas.openxmlformats.org/officeDocument/2006/relationships/table" Target="../tables/table92.xml"/><Relationship Id="rId15" Type="http://schemas.openxmlformats.org/officeDocument/2006/relationships/table" Target="../tables/table102.xml"/><Relationship Id="rId23" Type="http://schemas.openxmlformats.org/officeDocument/2006/relationships/table" Target="../tables/table110.xml"/><Relationship Id="rId28" Type="http://schemas.openxmlformats.org/officeDocument/2006/relationships/table" Target="../tables/table115.xml"/><Relationship Id="rId10" Type="http://schemas.openxmlformats.org/officeDocument/2006/relationships/table" Target="../tables/table97.xml"/><Relationship Id="rId19" Type="http://schemas.openxmlformats.org/officeDocument/2006/relationships/table" Target="../tables/table106.xml"/><Relationship Id="rId31" Type="http://schemas.openxmlformats.org/officeDocument/2006/relationships/table" Target="../tables/table118.xml"/><Relationship Id="rId4" Type="http://schemas.openxmlformats.org/officeDocument/2006/relationships/table" Target="../tables/table91.xml"/><Relationship Id="rId9" Type="http://schemas.openxmlformats.org/officeDocument/2006/relationships/table" Target="../tables/table96.xml"/><Relationship Id="rId14" Type="http://schemas.openxmlformats.org/officeDocument/2006/relationships/table" Target="../tables/table101.xml"/><Relationship Id="rId22" Type="http://schemas.openxmlformats.org/officeDocument/2006/relationships/table" Target="../tables/table109.xml"/><Relationship Id="rId27" Type="http://schemas.openxmlformats.org/officeDocument/2006/relationships/table" Target="../tables/table114.xml"/><Relationship Id="rId30" Type="http://schemas.openxmlformats.org/officeDocument/2006/relationships/table" Target="../tables/table117.xml"/></Relationships>
</file>

<file path=xl/worksheets/_rels/sheet47.xml.rels><?xml version="1.0" encoding="UTF-8" standalone="yes"?>
<Relationships xmlns="http://schemas.openxmlformats.org/package/2006/relationships"><Relationship Id="rId3" Type="http://schemas.openxmlformats.org/officeDocument/2006/relationships/table" Target="../tables/table120.xml"/><Relationship Id="rId7" Type="http://schemas.openxmlformats.org/officeDocument/2006/relationships/table" Target="../tables/table124.xml"/><Relationship Id="rId2" Type="http://schemas.openxmlformats.org/officeDocument/2006/relationships/table" Target="../tables/table119.xml"/><Relationship Id="rId1" Type="http://schemas.openxmlformats.org/officeDocument/2006/relationships/printerSettings" Target="../printerSettings/printerSettings29.bin"/><Relationship Id="rId6" Type="http://schemas.openxmlformats.org/officeDocument/2006/relationships/table" Target="../tables/table123.xml"/><Relationship Id="rId5" Type="http://schemas.openxmlformats.org/officeDocument/2006/relationships/table" Target="../tables/table122.xml"/><Relationship Id="rId4" Type="http://schemas.openxmlformats.org/officeDocument/2006/relationships/table" Target="../tables/table121.xml"/></Relationships>
</file>

<file path=xl/worksheets/_rels/sheet48.xml.rels><?xml version="1.0" encoding="UTF-8" standalone="yes"?>
<Relationships xmlns="http://schemas.openxmlformats.org/package/2006/relationships"><Relationship Id="rId8" Type="http://schemas.openxmlformats.org/officeDocument/2006/relationships/table" Target="../tables/table131.xml"/><Relationship Id="rId13" Type="http://schemas.openxmlformats.org/officeDocument/2006/relationships/table" Target="../tables/table136.xml"/><Relationship Id="rId18" Type="http://schemas.openxmlformats.org/officeDocument/2006/relationships/table" Target="../tables/table141.xml"/><Relationship Id="rId3" Type="http://schemas.openxmlformats.org/officeDocument/2006/relationships/table" Target="../tables/table126.xml"/><Relationship Id="rId21" Type="http://schemas.openxmlformats.org/officeDocument/2006/relationships/table" Target="../tables/table144.xml"/><Relationship Id="rId7" Type="http://schemas.openxmlformats.org/officeDocument/2006/relationships/table" Target="../tables/table130.xml"/><Relationship Id="rId12" Type="http://schemas.openxmlformats.org/officeDocument/2006/relationships/table" Target="../tables/table135.xml"/><Relationship Id="rId17" Type="http://schemas.openxmlformats.org/officeDocument/2006/relationships/table" Target="../tables/table140.xml"/><Relationship Id="rId2" Type="http://schemas.openxmlformats.org/officeDocument/2006/relationships/table" Target="../tables/table125.xml"/><Relationship Id="rId16" Type="http://schemas.openxmlformats.org/officeDocument/2006/relationships/table" Target="../tables/table139.xml"/><Relationship Id="rId20" Type="http://schemas.openxmlformats.org/officeDocument/2006/relationships/table" Target="../tables/table143.xml"/><Relationship Id="rId1" Type="http://schemas.openxmlformats.org/officeDocument/2006/relationships/printerSettings" Target="../printerSettings/printerSettings30.bin"/><Relationship Id="rId6" Type="http://schemas.openxmlformats.org/officeDocument/2006/relationships/table" Target="../tables/table129.xml"/><Relationship Id="rId11" Type="http://schemas.openxmlformats.org/officeDocument/2006/relationships/table" Target="../tables/table134.xml"/><Relationship Id="rId5" Type="http://schemas.openxmlformats.org/officeDocument/2006/relationships/table" Target="../tables/table128.xml"/><Relationship Id="rId15" Type="http://schemas.openxmlformats.org/officeDocument/2006/relationships/table" Target="../tables/table138.xml"/><Relationship Id="rId10" Type="http://schemas.openxmlformats.org/officeDocument/2006/relationships/table" Target="../tables/table133.xml"/><Relationship Id="rId19" Type="http://schemas.openxmlformats.org/officeDocument/2006/relationships/table" Target="../tables/table142.xml"/><Relationship Id="rId4" Type="http://schemas.openxmlformats.org/officeDocument/2006/relationships/table" Target="../tables/table127.xml"/><Relationship Id="rId9" Type="http://schemas.openxmlformats.org/officeDocument/2006/relationships/table" Target="../tables/table132.xml"/><Relationship Id="rId14" Type="http://schemas.openxmlformats.org/officeDocument/2006/relationships/table" Target="../tables/table137.xml"/><Relationship Id="rId22" Type="http://schemas.openxmlformats.org/officeDocument/2006/relationships/table" Target="../tables/table1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60"/>
  <sheetViews>
    <sheetView zoomScaleNormal="100" workbookViewId="0">
      <pane xSplit="1" topLeftCell="B1" activePane="topRight" state="frozen"/>
      <selection pane="topRight" activeCell="A59" sqref="A59"/>
    </sheetView>
  </sheetViews>
  <sheetFormatPr defaultRowHeight="20" x14ac:dyDescent="0.25" customHeight="1"/>
  <cols>
    <col min="1" max="1" width="36.7109375" customWidth="1"/>
  </cols>
  <sheetData>
    <row r="1" spans="1:1" ht="30" x14ac:dyDescent="0.35" customHeight="1">
      <c r="A1" s="10" t="e" vm="1">
        <v>#VALUE!</v>
      </c>
    </row>
    <row r="3" spans="1:1" ht="20" x14ac:dyDescent="0.25" customHeight="1">
      <c r="A3" s="262" t="str">
        <f>HYPERLINK("#'Home'!A1", "Home")</f>
        <v>Home</v>
      </c>
    </row>
    <row r="4" spans="1:1" ht="20" x14ac:dyDescent="0.25" customHeight="1">
      <c r="A4" s="5" t="str">
        <f>HYPERLINK("#'Results - Activity period'!A1", "Results - Activity period")</f>
        <v>Results - Activity period</v>
      </c>
    </row>
    <row r="5" spans="1:1" ht="20" x14ac:dyDescent="0.25" customHeight="1">
      <c r="A5" s="5" t="str">
        <f>HYPERLINK("#'Results - Product EI'!A1", "Results - Product Emissions Intensity")</f>
        <v>Results - Product Emissions Intensity</v>
      </c>
    </row>
    <row r="8" spans="1:1" x14ac:dyDescent="0.25" ht="20" customHeight="1">
      <c r="A8" s="7" t="s">
        <v>0</v>
      </c>
    </row>
    <row r="9" spans="1:1" ht="20" x14ac:dyDescent="0.25" customHeight="1">
      <c r="A9" s="5" t="str">
        <f>HYPERLINK("#'Input - Enterprise'!A1", "Enterprise")</f>
        <v>Enterprise</v>
      </c>
    </row>
    <row r="10" spans="1:1" ht="20" x14ac:dyDescent="0.25" customHeight="1">
      <c r="A10" s="5" t="str">
        <f>HYPERLINK("#'Input - Site'!A1", "Site")</f>
        <v>Site</v>
      </c>
    </row>
    <row r="11" spans="1:1" ht="20" x14ac:dyDescent="0.25" customHeight="1">
      <c r="A11" s="5" t="str">
        <f>HYPERLINK("#'Input - Pasture Beef'!A1", "Pasture Beef")</f>
        <v>Pasture Beef</v>
      </c>
    </row>
    <row r="12" spans="1:1" ht="20" x14ac:dyDescent="0.25" customHeight="1">
      <c r="A12" s="5" t="str">
        <f>HYPERLINK("#'Input - Livestock sales'!A1", "Livestock sales")</f>
        <v>Livestock sales</v>
      </c>
    </row>
    <row r="13" spans="1:1" ht="20" x14ac:dyDescent="0.25" customHeight="1">
      <c r="A13" s="5" t="str">
        <f>HYPERLINK("#'Input - Beef cattle purchases'!A1", "Beef cattle purchases")</f>
        <v>Beef cattle purchases</v>
      </c>
    </row>
    <row r="14" spans="1:1" ht="20" x14ac:dyDescent="0.25" customHeight="1">
      <c r="A14" s="5" t="str">
        <f>HYPERLINK("#'Input - Pasture'!A1", "Pasture")</f>
        <v>Pasture</v>
      </c>
    </row>
    <row r="15" spans="1:1" ht="20" x14ac:dyDescent="0.25" customHeight="1">
      <c r="A15" s="5" t="str">
        <f>HYPERLINK("#'Input - Fert Prod System'!A1", "Fert Prod System")</f>
        <v>Fert Prod System</v>
      </c>
    </row>
    <row r="16" spans="1:1" ht="20" x14ac:dyDescent="0.25" customHeight="1">
      <c r="A16" s="5" t="str">
        <f>HYPERLINK("#'Input - Fertiliser'!A1", "Fertiliser")</f>
        <v>Fertiliser</v>
      </c>
    </row>
    <row r="17" spans="1:1" ht="20" x14ac:dyDescent="0.25" customHeight="1">
      <c r="A17" s="5" t="str">
        <f>HYPERLINK("#'Input - Fuel'!A1", "Fuel")</f>
        <v>Fuel</v>
      </c>
    </row>
    <row r="18" spans="1:1" ht="20" x14ac:dyDescent="0.25" customHeight="1">
      <c r="A18" s="5" t="str">
        <f>HYPERLINK("#'Input - Electricity'!A1", "Electricity")</f>
        <v>Electricity</v>
      </c>
    </row>
    <row r="19" spans="1:1" ht="20" x14ac:dyDescent="0.25" customHeight="1">
      <c r="A19" s="5" t="str">
        <f>HYPERLINK("#'Input - Common farm inputs'!A1", "Common farm inputs")</f>
        <v>Common farm inputs</v>
      </c>
    </row>
    <row r="20" spans="1:1" ht="20" x14ac:dyDescent="0.25" customHeight="1">
      <c r="A20" s="5" t="str">
        <f>HYPERLINK("#'Input - Crop pasture farm input'!A1", "Crop pasture farm input")</f>
        <v>Crop pasture farm input</v>
      </c>
    </row>
    <row r="21" spans="1:1" ht="20" x14ac:dyDescent="0.25" customHeight="1">
      <c r="A21" s="5" t="str">
        <f>HYPERLINK("#'Input - Livestock farm Inputs'!A1", "Livestock farm Inputs")</f>
        <v>Livestock farm Inputs</v>
      </c>
    </row>
    <row r="22" spans="1:1" ht="20" x14ac:dyDescent="0.25" customHeight="1">
      <c r="A22" s="5" t="str">
        <f>HYPERLINK("#'Input - Freight'!A1", "Freight")</f>
        <v>Freight</v>
      </c>
    </row>
    <row r="23" spans="1:1" ht="20" x14ac:dyDescent="0.25" customHeight="1">
      <c r="A23" s="5" t="str">
        <f>HYPERLINK("#'Input - Solid waste'!A1", "Solid waste")</f>
        <v>Solid waste</v>
      </c>
    </row>
    <row r="24" spans="1:1" ht="20" x14ac:dyDescent="0.25" customHeight="1">
      <c r="A24" s="5" t="str">
        <f>HYPERLINK("#'Input - Manure sent off-site'!A1", "Manure sent off-site")</f>
        <v>Manure sent off-site</v>
      </c>
    </row>
    <row r="25" spans="1:1" ht="20" x14ac:dyDescent="0.25" customHeight="1">
      <c r="A25" s="5" t="str">
        <f>HYPERLINK("#'Input - Data quality'!A1", "Data quality")</f>
        <v>Data quality</v>
      </c>
    </row>
    <row r="28" spans="1:1" x14ac:dyDescent="0.25" ht="20" customHeight="1">
      <c r="A28" s="6" t="s">
        <v>2</v>
      </c>
    </row>
    <row r="29" spans="1:1" ht="20" x14ac:dyDescent="0.25" customHeight="1">
      <c r="A29" s="5" t="str">
        <f>HYPERLINK("#'3.2.1.1-2 Enteric Methane'!A1", "3.2.1.1-2 Enteric Methane")</f>
        <v>3.2.1.1-2 Enteric Methane</v>
      </c>
    </row>
    <row r="30" spans="1:1" ht="20" x14ac:dyDescent="0.25" customHeight="1">
      <c r="A30" s="5" t="str">
        <f>HYPERLINK("#'4.2.1.1-2 Methane'!A1", "4.2.1.1-2 Manure methane")</f>
        <v>4.2.1.1-2 Manure methane</v>
      </c>
    </row>
    <row r="31" spans="1:1" ht="20" x14ac:dyDescent="0.25" customHeight="1">
      <c r="A31" s="5" t="str">
        <f>HYPERLINK("#'4.2.1.3-4 Soil direct N20'!A1", "4.2.1.3-4 Soil direct N2O")</f>
        <v>4.2.1.3-4 Soil direct N2O</v>
      </c>
    </row>
    <row r="32" spans="1:1" ht="20" x14ac:dyDescent="0.25" customHeight="1">
      <c r="A32" s="5" t="str">
        <f>HYPERLINK("#'4.2.1.5-6 Soil Atmos Dep'!A1", "4.2.1.5-6 Soil atm. deposition")</f>
        <v>4.2.1.5-6 Soil atm. deposition</v>
      </c>
    </row>
    <row r="33" spans="1:1" ht="20" x14ac:dyDescent="0.25" customHeight="1">
      <c r="A33" s="5" t="str">
        <f>HYPERLINK("#'4.2.1.7-8 Soil leach runoff'!A1", "4.2.1.7-8 Soil leach &amp; runoff")</f>
        <v>4.2.1.7-8 Soil leach &amp; runoff</v>
      </c>
    </row>
    <row r="34" spans="1:1" ht="20" x14ac:dyDescent="0.25" customHeight="1">
      <c r="A34" s="5" t="str">
        <f>HYPERLINK("#'5.1.1.1-2 Inorganic fert N2O'!A1", "5.1.1.1-2 Inorganic fert N2O")</f>
        <v>5.1.1.1-2 Inorganic fert N2O</v>
      </c>
    </row>
    <row r="35" spans="1:1" ht="20" x14ac:dyDescent="0.25" customHeight="1">
      <c r="A35" s="5" t="str">
        <f>HYPERLINK("#'5.1.1.3-4 Inorganic fert CO2'!A1", "5.1.1.3-4 Inorganic fert CO2")</f>
        <v>5.1.1.3-4 Inorganic fert CO2</v>
      </c>
    </row>
    <row r="36" spans="1:1" ht="20" x14ac:dyDescent="0.25" customHeight="1">
      <c r="A36" s="5" t="str">
        <f>HYPERLINK("#'5.2.1.1-2 Organic Fert N2O'!A1", "5.2.1.1-2 Organic fert N2O")</f>
        <v>5.2.1.1-2 Organic fert N2O</v>
      </c>
    </row>
    <row r="37" spans="1:1" ht="20" x14ac:dyDescent="0.25" customHeight="1">
      <c r="A37" s="5" t="str">
        <f>HYPERLINK("#'5.3.1.1-2 Lime CO2'!A1", "5.3.1.1-2 Lime CO2")</f>
        <v>5.3.1.1-2 Lime CO2</v>
      </c>
    </row>
    <row r="38" spans="1:1" ht="20" x14ac:dyDescent="0.25" customHeight="1">
      <c r="A38" s="5" t="str">
        <f>HYPERLINK("#'5.4.1.1-4 Atmos deposition'!A1", "5.4.1.1-4 Atmos. deposition")</f>
        <v>5.4.1.1-4 Atmos. deposition</v>
      </c>
    </row>
    <row r="39" spans="1:1" ht="20" x14ac:dyDescent="0.25" customHeight="1">
      <c r="A39" s="5" t="str">
        <f>HYPERLINK("#'5.5.1.1-2 Leaching and runoff'!A1", "5.5.1.1-2 Leaching &amp; runoff")</f>
        <v>5.5.1.1-2 Leaching &amp; runoff</v>
      </c>
    </row>
    <row r="40" spans="1:1" ht="20" x14ac:dyDescent="0.25" customHeight="1">
      <c r="A40" s="5" t="str">
        <f>HYPERLINK("#'6.2.1.1-2 Pasture residue N2O'!A1", "6.2.1.1-2 Pasture residue N2O")</f>
        <v>6.2.1.1-2 Pasture residue N2O</v>
      </c>
    </row>
    <row r="41" spans="1:1" ht="20" x14ac:dyDescent="0.25" customHeight="1">
      <c r="A41" s="5" t="str">
        <f>HYPERLINK("#'6.3.1.1-2 Leach runoff pasture'!A1", "6.3.1.1-2 Leach &amp; runoff (pasture)")</f>
        <v>6.3.1.1-2 Leach &amp; runoff (pasture)</v>
      </c>
    </row>
    <row r="42" spans="1:1" ht="20" x14ac:dyDescent="0.25" customHeight="1">
      <c r="A42" s="5" t="str">
        <f>HYPERLINK("#'8.1.1.1-2 Transport fuel'!A1", "8.1.1.1-2 Transport fuel")</f>
        <v>8.1.1.1-2 Transport fuel</v>
      </c>
    </row>
    <row r="43" spans="1:1" ht="20" x14ac:dyDescent="0.25" customHeight="1">
      <c r="A43" s="5" t="str">
        <f>HYPERLINK("#'8.2.1.1-2 Stationary fuel'!A1", "8.2.1.1-2 Stationary fuel")</f>
        <v>8.2.1.1-2 Stationary fuel</v>
      </c>
    </row>
    <row r="44" spans="1:1" ht="20" x14ac:dyDescent="0.25" customHeight="1">
      <c r="A44" s="5" t="str">
        <f>HYPERLINK("#'10.1.1-2 Solid waste treatment'!A1", "10.1.1.1-2 Solid waste")</f>
        <v>10.1.1.1-2 Solid waste</v>
      </c>
    </row>
    <row r="45" spans="1:1" ht="20" x14ac:dyDescent="0.25" customHeight="1">
      <c r="A45" s="5" t="str">
        <f>HYPERLINK("#'14.1.1-2 Purchased electricity'!A1", "14.1.1-2 Purchased electricity")</f>
        <v>14.1.1-2 Purchased electricity</v>
      </c>
    </row>
    <row r="46" spans="1:1" ht="20" x14ac:dyDescent="0.25" customHeight="1">
      <c r="A46" s="5" t="str">
        <f>HYPERLINK("#'15 Scope 3'!A1", "15 Scope 3")</f>
        <v>15 Scope 3</v>
      </c>
    </row>
    <row r="47" spans="1:1" ht="20" x14ac:dyDescent="0.25" customHeight="1">
      <c r="A47" s="5" t="str">
        <f>HYPERLINK("#'Calcs - Manure sent off-site'!A1", "Calcs - Manure sent off-site")</f>
        <v>Calcs - Manure sent off-site</v>
      </c>
    </row>
    <row r="50" spans="1:1" x14ac:dyDescent="0.25" ht="20" customHeight="1">
      <c r="A50" s="85" t="s">
        <v>1</v>
      </c>
    </row>
    <row r="51" spans="1:1" ht="20" x14ac:dyDescent="0.25" customHeight="1">
      <c r="A51" s="5" t="str">
        <f>HYPERLINK("#'Constants - Pasture Beef'!A1", "Constants - Pasture Beef")</f>
        <v>Constants - Pasture Beef</v>
      </c>
    </row>
    <row r="52" spans="1:1" ht="20" x14ac:dyDescent="0.25" customHeight="1">
      <c r="A52" s="5" t="str">
        <f>HYPERLINK("#'Constants - Ag Residue'!A1", "Constants - Ag residue")</f>
        <v>Constants - Ag residue</v>
      </c>
    </row>
    <row r="53" spans="1:1" ht="20" x14ac:dyDescent="0.25" customHeight="1">
      <c r="A53" s="5" t="str">
        <f>HYPERLINK("#'Constants - Common Livestock'!A1", "Constants - Common Livestock")</f>
        <v>Constants - Common Livestock</v>
      </c>
    </row>
    <row r="54" spans="1:1" ht="20" x14ac:dyDescent="0.25" customHeight="1">
      <c r="A54" s="5" t="str">
        <f>HYPERLINK("#'Constants - Electricity'!A1", "Constants - Electricity")</f>
        <v>Constants - Electricity</v>
      </c>
    </row>
    <row r="55" spans="1:1" ht="20" x14ac:dyDescent="0.25" customHeight="1">
      <c r="A55" s="5" t="str">
        <f>HYPERLINK("#'Constants - Fertiliser'!A1", "Constants - Fertiliser")</f>
        <v>Constants - Fertiliser</v>
      </c>
    </row>
    <row r="56" spans="1:1" ht="20" x14ac:dyDescent="0.25" customHeight="1">
      <c r="A56" s="5" t="str">
        <f>HYPERLINK("#'Constants - Fuel'!A1", "Constants - Fuel")</f>
        <v>Constants - Fuel</v>
      </c>
    </row>
    <row r="57" spans="1:1" ht="20" x14ac:dyDescent="0.25" customHeight="1">
      <c r="A57" s="5" t="str">
        <f>HYPERLINK("#'Constants - Scope 3'!A1", "Constants - Scope 3")</f>
        <v>Constants - Scope 3</v>
      </c>
    </row>
    <row r="58" spans="1:1" ht="20" x14ac:dyDescent="0.25" customHeight="1">
      <c r="A58" s="5" t="str">
        <f>HYPERLINK("#'Constants - Solid Waste'!A1", "Constants - Solid Waste")</f>
        <v>Constants - Solid Waste</v>
      </c>
    </row>
    <row r="59" spans="1:1" ht="20" x14ac:dyDescent="0.25" customHeight="1">
      <c r="A59" s="5" t="str">
        <f>HYPERLINK("#'Constants - Common'!A1", "Constants - Common")</f>
        <v>Constants - Common</v>
      </c>
    </row>
    <row r="60" spans="1:1" ht="20" x14ac:dyDescent="0.25" customHeight="1">
      <c r="A60"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75"/>
  <sheetViews>
    <sheetView showGridLines="0" topLeftCell="A46" zoomScaleNormal="100" workbookViewId="0">
      <pane xSplit="1" topLeftCell="B1" activePane="topRight" state="frozen"/>
      <selection pane="topRight" activeCell="F67" sqref="F67"/>
    </sheetView>
  </sheetViews>
  <sheetFormatPr defaultRowHeight="20" x14ac:dyDescent="0.25" customHeight="1"/>
  <cols>
    <col min="1" max="1" width="36.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s="10" customFormat="1" ht="30" customHeight="1" x14ac:dyDescent="0.35">
      <c r="A1" s="10" t="e" vm="1">
        <v>#VALUE!</v>
      </c>
      <c r="C1" s="92" t="s">
        <v>280</v>
      </c>
      <c r="D1" s="92"/>
      <c r="E1" s="92"/>
      <c r="F1" s="92"/>
      <c r="G1" s="92"/>
      <c r="H1" s="92"/>
      <c r="I1" s="92"/>
      <c r="J1" s="92"/>
      <c r="K1" s="92"/>
    </row>
    <row r="2" spans="1:11" s="3" customFormat="1" ht="20" customHeight="1" x14ac:dyDescent="0.25">
      <c r="A2"/>
    </row>
    <row r="3" spans="1:11" ht="20" customHeight="1" x14ac:dyDescent="0.25">
      <c r="A3" s="5" t="str">
        <f>HYPERLINK("#'Home'!A1", "Home")</f>
        <v>Home</v>
      </c>
    </row>
    <row r="4" spans="1:11" ht="20" customHeight="1" x14ac:dyDescent="0.25">
      <c r="A4" s="262" t="str">
        <f>HYPERLINK("#'Results - Activity period'!A1", "Results - Activity period")</f>
        <v>Results - Activity period</v>
      </c>
      <c r="D4" s="2" t="str">
        <f>"Emissions breakdown for activities running between " &amp; TEXT(X_Cell_Site_StartDate, "d mmmm yyyy") &amp; " and " &amp; TEXT(X_Cell_Site_EndDate, "d mmmm yyyy")</f>
        <v>Emissions breakdown for activities running between 0 January 1900 and 30 December 1900</v>
      </c>
    </row>
    <row r="5" spans="1:11" ht="20" customHeight="1" x14ac:dyDescent="0.25">
      <c r="A5" s="5" t="str">
        <f>HYPERLINK("#'Results - Product EI'!A1", "Results - Product Emissions Intensity")</f>
        <v>Results - Product Emissions Intensity</v>
      </c>
    </row>
    <row r="6" spans="1:11" ht="20" customHeight="1" x14ac:dyDescent="0.25">
      <c r="D6" s="79" t="s">
        <v>297</v>
      </c>
    </row>
    <row r="7" spans="1:11" ht="20" customHeight="1" x14ac:dyDescent="0.25"/>
    <row r="8" spans="1:11" ht="20" customHeight="1" x14ac:dyDescent="0.25">
      <c r="A8" s="7" t="s">
        <v>0</v>
      </c>
      <c r="D8" s="11" t="s">
        <v>3</v>
      </c>
      <c r="E8" s="11" t="s">
        <v>7</v>
      </c>
      <c r="F8" s="11" t="s">
        <v>8</v>
      </c>
      <c r="G8" s="11" t="s">
        <v>4</v>
      </c>
      <c r="H8" s="11" t="s">
        <v>9</v>
      </c>
      <c r="I8" s="11" t="s">
        <v>10</v>
      </c>
      <c r="J8" s="11"/>
    </row>
    <row r="9" spans="1:11" ht="20" customHeight="1" x14ac:dyDescent="0.25">
      <c r="A9" s="5" t="str">
        <f>HYPERLINK("#'Input - Enterprise'!A1", "Enterprise")</f>
        <v>Enterprise</v>
      </c>
      <c r="D9" s="1" t="s">
        <v>141</v>
      </c>
      <c r="E9" s="1" t="e" cm="1">
        <f t="array" aca="1" ref="E9" ca="1">VEERG_3_2_1_1__1_TotalAnnualMethaneFromEntericFermentation_Result_Method1</f>
        <v>#N/A</v>
      </c>
      <c r="F9" s="1" t="e" cm="1">
        <f t="array" aca="1" ref="F9" ca="1">VEERG_3_2_1_1__1_TotalAnnualMethaneFromEntericFermentation_Result_Method2</f>
        <v>#N/A</v>
      </c>
      <c r="G9" s="9" t="s">
        <v>5</v>
      </c>
      <c r="H9" s="1" t="e" cm="1">
        <f t="array" aca="1" ref="H9" ca="1">Common_Equations.Common_ConvertCH4ToCO2e(E9,_xlfn.XLOOKUP("CH4", Table_GWPData[Gas],Table_GWPData[CO2-e factor]))</f>
        <v>#N/A</v>
      </c>
      <c r="I9" s="1" t="e" cm="1">
        <f t="array" aca="1" ref="I9" ca="1">Common_Equations.Common_ConvertCH4ToCO2e(F9,_xlfn.XLOOKUP("CH4", Table_GWPData[Gas],Table_GWPData[CO2-e factor]))</f>
        <v>#N/A</v>
      </c>
      <c r="J9" s="9" t="s">
        <v>6</v>
      </c>
    </row>
    <row r="10" spans="1:11" ht="20" customHeight="1" x14ac:dyDescent="0.25">
      <c r="A10" s="5" t="str">
        <f>HYPERLINK("#'Input - Site'!A1", "Site")</f>
        <v>Site</v>
      </c>
      <c r="D10" s="1" t="s">
        <v>11</v>
      </c>
      <c r="E10" s="1" t="e" cm="1">
        <f t="array" aca="1" ref="E10" ca="1">VEERG_4_2_1_1__1_TotalAnnualMethaneProductionFromManureManagement_Result_Method1</f>
        <v>#N/A</v>
      </c>
      <c r="F10" s="1" t="e" cm="1">
        <f t="array" aca="1" ref="F10" ca="1">VEERG_4_2_1_1__1_TotalAnnualMethaneProductionFromManureManagement_Result_Method2</f>
        <v>#N/A</v>
      </c>
      <c r="G10" s="9" t="s">
        <v>5</v>
      </c>
      <c r="H10" s="1" t="e" cm="1">
        <f t="array" aca="1" ref="H10" ca="1">Common_Equations.Common_ConvertCH4ToCO2e(E10,_xlfn.XLOOKUP("CH4", Table_GWPData[Gas],Table_GWPData[CO2-e factor]))</f>
        <v>#N/A</v>
      </c>
      <c r="I10" s="1" t="e" cm="1">
        <f t="array" aca="1" ref="I10" ca="1">Common_Equations.Common_ConvertCH4ToCO2e(F10,_xlfn.XLOOKUP("CH4", Table_GWPData[Gas],Table_GWPData[CO2-e factor]))</f>
        <v>#N/A</v>
      </c>
      <c r="J10" s="9" t="s">
        <v>6</v>
      </c>
    </row>
    <row r="11" spans="1:11" ht="20" customHeight="1" x14ac:dyDescent="0.25">
      <c r="A11" s="5" t="str">
        <f>HYPERLINK("#'Input - Pasture Beef'!A1", "Pasture Beef")</f>
        <v>Pasture Beef</v>
      </c>
      <c r="D11" s="1" t="s">
        <v>13</v>
      </c>
      <c r="E11" s="1" t="e" cm="1">
        <f t="array" aca="1" ref="E11" ca="1">VEERG_4_2_1_3__1_DirectNitrousOxideEmissionsOnPasture_Result_Method1</f>
        <v>#N/A</v>
      </c>
      <c r="F11" s="1" t="e" cm="1">
        <f t="array" aca="1" ref="F11" ca="1">VEERG_4_2_1_3__1_DirectNitrousOxideEmissionsOnPasture_Result_Method2</f>
        <v>#N/A</v>
      </c>
      <c r="G11" s="9" t="s">
        <v>12</v>
      </c>
      <c r="H11" s="1" t="e" cm="1">
        <f t="array" aca="1" ref="H11" ca="1">Common_Equations.Common_ConvertN2OToCO2e(E11,_xlfn.XLOOKUP("N2O", Table_GWPData[Gas],Table_GWPData[CO2-e factor]))</f>
        <v>#N/A</v>
      </c>
      <c r="I11" s="1" t="e" cm="1">
        <f t="array" aca="1" ref="I11" ca="1">Common_Equations.Common_ConvertN2OToCO2e(F11,_xlfn.XLOOKUP("N2O", Table_GWPData[Gas],Table_GWPData[CO2-e factor]))</f>
        <v>#N/A</v>
      </c>
      <c r="J11" s="9" t="s">
        <v>6</v>
      </c>
    </row>
    <row r="12" spans="1:11" ht="20" customHeight="1" x14ac:dyDescent="0.25">
      <c r="A12" s="5" t="str">
        <f>HYPERLINK("#'Input - Livestock sales'!A1", "Livestock sales")</f>
        <v>Livestock sales</v>
      </c>
      <c r="D12" s="1" t="s">
        <v>14</v>
      </c>
      <c r="E12" s="1" t="e" cm="1">
        <f t="array" aca="1" ref="E12" ca="1">VEERG_4_2_1_5__1_AtmosphericDepositionEmissionsFromUrineAndDungOnPasture_Result_Method1</f>
        <v>#N/A</v>
      </c>
      <c r="F12" s="1" t="e" cm="1">
        <f t="array" aca="1" ref="F12" ca="1">VEERG_4_2_1_5__1_AtmosphericDepositionEmissionsFromUrineAndDungOnPasture_Result_Method2</f>
        <v>#N/A</v>
      </c>
      <c r="G12" s="9" t="s">
        <v>12</v>
      </c>
      <c r="H12" s="1" t="e" cm="1">
        <f t="array" aca="1" ref="H12" ca="1">Common_Equations.Common_ConvertN2OToCO2e(E12,_xlfn.XLOOKUP("N2O", Table_GWPData[Gas],Table_GWPData[CO2-e factor]))</f>
        <v>#N/A</v>
      </c>
      <c r="I12" s="1" t="e" cm="1">
        <f t="array" aca="1" ref="I12" ca="1">Common_Equations.Common_ConvertN2OToCO2e(F12,_xlfn.XLOOKUP("N2O", Table_GWPData[Gas],Table_GWPData[CO2-e factor]))</f>
        <v>#N/A</v>
      </c>
      <c r="J12" s="9" t="s">
        <v>6</v>
      </c>
    </row>
    <row r="13" spans="1:11" ht="20" customHeight="1" x14ac:dyDescent="0.25">
      <c r="A13" s="5" t="str">
        <f>HYPERLINK("#'Input - Beef cattle purchases'!A1", "Beef cattle purchases")</f>
        <v>Beef cattle purchases</v>
      </c>
      <c r="D13" s="1" t="s">
        <v>15</v>
      </c>
      <c r="E13" s="1" t="e" cm="1">
        <f t="array" aca="1" ref="E13" ca="1">VEERG_4_2_1_7__1_LeachingAndRunoffEmissionsFromUrineAndDungOnPasture_Result_Method1</f>
        <v>#N/A</v>
      </c>
      <c r="F13" s="1" t="e" cm="1">
        <f t="array" aca="1" ref="F13" ca="1">VEERG_4_2_1_7__1_LeachingAndRunoffEmissionsFromUrineAndDungOnPasture_Result_Method2</f>
        <v>#N/A</v>
      </c>
      <c r="G13" s="9" t="s">
        <v>12</v>
      </c>
      <c r="H13" s="1" t="e" cm="1">
        <f t="array" aca="1" ref="H13" ca="1">Common_Equations.Common_ConvertN2OToCO2e(E13,_xlfn.XLOOKUP("N2O", Table_GWPData[Gas],Table_GWPData[CO2-e factor]))</f>
        <v>#N/A</v>
      </c>
      <c r="I13" s="1" t="e" cm="1">
        <f t="array" aca="1" ref="I13" ca="1">Common_Equations.Common_ConvertN2OToCO2e(F13,_xlfn.XLOOKUP("N2O", Table_GWPData[Gas],Table_GWPData[CO2-e factor]))</f>
        <v>#N/A</v>
      </c>
      <c r="J13" s="9" t="s">
        <v>6</v>
      </c>
    </row>
    <row r="14" spans="1:11" ht="20" customHeight="1" x14ac:dyDescent="0.25">
      <c r="A14" s="5" t="str">
        <f>HYPERLINK("#'Input - Pasture'!A1", "Pasture")</f>
        <v>Pasture</v>
      </c>
      <c r="D14" s="1" t="s">
        <v>142</v>
      </c>
      <c r="E14" s="1" t="e" cm="1">
        <f t="array" ref="E14">VEERG_5_1_1_1__1_InorganicFertiliserApplicationN2OEmissions_Result_Method1</f>
        <v>#N/A</v>
      </c>
      <c r="F14" s="1" t="e" cm="1">
        <f t="array" ref="F14">VEERG_5_1_1_1__1_InorganicFertiliserApplicationN2OEmissions_Result_Method2</f>
        <v>#N/A</v>
      </c>
      <c r="G14" s="9" t="s">
        <v>12</v>
      </c>
      <c r="H14" s="1" t="e" cm="1">
        <f t="array" ref="H14">Common_Equations.Common_ConvertN2OToCO2e(E14,_xlfn.XLOOKUP("N2O", Table_GWPData[Gas],Table_GWPData[CO2-e factor]))</f>
        <v>#N/A</v>
      </c>
      <c r="I14" s="1" t="e" cm="1">
        <f t="array" ref="I14">Common_Equations.Common_ConvertN2OToCO2e(F14,_xlfn.XLOOKUP("N2O", Table_GWPData[Gas],Table_GWPData[CO2-e factor]))</f>
        <v>#N/A</v>
      </c>
      <c r="J14" s="9" t="s">
        <v>6</v>
      </c>
    </row>
    <row r="15" spans="1:11" ht="20" customHeight="1" x14ac:dyDescent="0.25">
      <c r="A15" s="5" t="str">
        <f>HYPERLINK("#'Input - Fert Prod System'!A1", "Fert Prod System")</f>
        <v>Fert Prod System</v>
      </c>
      <c r="D15" s="1" t="s">
        <v>143</v>
      </c>
      <c r="E15" s="1" cm="1">
        <f t="array" ref="E15">VEERG_5_1_1_3__1_InorganicFertiliserApplicationCO2Emissions_Result_Method1</f>
        <v>0</v>
      </c>
      <c r="F15" s="1">
        <f>E15</f>
        <v>0</v>
      </c>
      <c r="G15" s="9" t="s">
        <v>133</v>
      </c>
      <c r="H15" s="1">
        <f>E15</f>
        <v>0</v>
      </c>
      <c r="I15" s="1">
        <f>F15</f>
        <v>0</v>
      </c>
      <c r="J15" s="9" t="s">
        <v>6</v>
      </c>
    </row>
    <row r="16" spans="1:11" ht="20" customHeight="1" x14ac:dyDescent="0.25">
      <c r="A16" s="5" t="str">
        <f>HYPERLINK("#'Input - Fertiliser'!A1", "Fertiliser")</f>
        <v>Fertiliser</v>
      </c>
      <c r="D16" s="1" t="s">
        <v>144</v>
      </c>
      <c r="E16" s="1" cm="1">
        <f t="array" ref="E16">VEERG_5_2_1_1__2_MassOfNitrogenInOrganicFertiliser_Result_Method1</f>
        <v>0</v>
      </c>
      <c r="F16" s="1">
        <f>E16</f>
        <v>0</v>
      </c>
      <c r="G16" s="9" t="s">
        <v>12</v>
      </c>
      <c r="H16" s="1" cm="1">
        <f t="array" ref="H16">Common_Equations.Common_ConvertN2OToCO2e(E16,_xlfn.XLOOKUP("N2O", Table_GWPData[Gas],Table_GWPData[CO2-e factor]))</f>
        <v>0</v>
      </c>
      <c r="I16" s="1" cm="1">
        <f t="array" ref="I16">Common_Equations.Common_ConvertN2OToCO2e(F16,_xlfn.XLOOKUP("N2O", Table_GWPData[Gas],Table_GWPData[CO2-e factor]))</f>
        <v>0</v>
      </c>
      <c r="J16" s="9" t="s">
        <v>6</v>
      </c>
    </row>
    <row r="17" spans="1:10" ht="20" customHeight="1" x14ac:dyDescent="0.25">
      <c r="A17" s="5" t="str">
        <f>HYPERLINK("#'Input - Fuel'!A1", "Fuel")</f>
        <v>Fuel</v>
      </c>
      <c r="D17" s="1" t="s">
        <v>145</v>
      </c>
      <c r="E17" s="1" cm="1">
        <f t="array" ref="E17">VEERG_5_3_1_1__1_LimeApplicationCO2Emissions_Result_Method1</f>
        <v>0</v>
      </c>
      <c r="F17" s="1">
        <f>E17</f>
        <v>0</v>
      </c>
      <c r="G17" s="9" t="s">
        <v>133</v>
      </c>
      <c r="H17" s="1">
        <f>E17</f>
        <v>0</v>
      </c>
      <c r="I17" s="1">
        <f>F17</f>
        <v>0</v>
      </c>
      <c r="J17" s="9" t="s">
        <v>6</v>
      </c>
    </row>
    <row r="18" spans="1:10" ht="20" customHeight="1" x14ac:dyDescent="0.25">
      <c r="A18" s="5" t="str">
        <f>HYPERLINK("#'Input - Electricity'!A1", "Electricity")</f>
        <v>Electricity</v>
      </c>
      <c r="D18" s="1" t="s">
        <v>146</v>
      </c>
      <c r="E18" s="1" t="e" cm="1">
        <f t="array" ref="E18">VEERG_5_4_1_3__1_OrganicFertiliserAtmosphericDepositionN2OEmissions_Result_Method1</f>
        <v>#N/A</v>
      </c>
      <c r="F18" s="1" t="e">
        <f>E18</f>
        <v>#N/A</v>
      </c>
      <c r="G18" s="9" t="s">
        <v>12</v>
      </c>
      <c r="H18" s="1" t="e" cm="1">
        <f t="array" ref="H18">Common_Equations.Common_ConvertN2OToCO2e(E18,_xlfn.XLOOKUP("N2O", Table_GWPData[Gas],Table_GWPData[CO2-e factor]))</f>
        <v>#N/A</v>
      </c>
      <c r="I18" s="1" t="e" cm="1">
        <f t="array" ref="I18">Common_Equations.Common_ConvertN2OToCO2e(F18,_xlfn.XLOOKUP("N2O", Table_GWPData[Gas],Table_GWPData[CO2-e factor]))</f>
        <v>#N/A</v>
      </c>
      <c r="J18" s="9" t="s">
        <v>6</v>
      </c>
    </row>
    <row r="19" spans="1:10" ht="20" customHeight="1" x14ac:dyDescent="0.25">
      <c r="A19" s="5" t="str">
        <f>HYPERLINK("#'Input - Common farm inputs'!A1", "Common farm inputs")</f>
        <v>Common farm inputs</v>
      </c>
      <c r="D19" s="1" t="s">
        <v>147</v>
      </c>
      <c r="E19" s="1" cm="1">
        <f t="array" ref="E19">VEERG_5_5_1_1__1_FertiliserLeachingAndRunoffN2OEmissions_result_Method1</f>
        <v>0</v>
      </c>
      <c r="F19" s="1">
        <f>E19</f>
        <v>0</v>
      </c>
      <c r="G19" s="9" t="s">
        <v>12</v>
      </c>
      <c r="H19" s="1" cm="1">
        <f t="array" ref="H19">Common_Equations.Common_ConvertN2OToCO2e(E19,_xlfn.XLOOKUP("N2O", Table_GWPData[Gas],Table_GWPData[CO2-e factor]))</f>
        <v>0</v>
      </c>
      <c r="I19" s="1" cm="1">
        <f t="array" ref="I19">Common_Equations.Common_ConvertN2OToCO2e(F19,_xlfn.XLOOKUP("N2O", Table_GWPData[Gas],Table_GWPData[CO2-e factor]))</f>
        <v>0</v>
      </c>
      <c r="J19" s="9" t="s">
        <v>6</v>
      </c>
    </row>
    <row r="20" spans="1:10" ht="20" customHeight="1" x14ac:dyDescent="0.25">
      <c r="A20" s="5" t="str">
        <f>HYPERLINK("#'Input - Crop pasture farm input'!A1", "Crop pasture farm input")</f>
        <v>Crop pasture farm input</v>
      </c>
      <c r="D20" s="1" t="s">
        <v>148</v>
      </c>
      <c r="E20" s="1" cm="1">
        <f t="array" ref="E20">VEERG_6_2_1_1__1__NitrousOxideEmissionsFromPastureResidues_Result_Method1</f>
        <v>0</v>
      </c>
      <c r="F20" s="1" t="e" cm="1">
        <f t="array" ref="F20">VEERG_6_2_1_1__1__NitrousOxideEmissionsFromPastureResidues_Result_Method2</f>
        <v>#N/A</v>
      </c>
      <c r="G20" s="9" t="s">
        <v>12</v>
      </c>
      <c r="H20" s="1" cm="1">
        <f t="array" ref="H20">Common_Equations.Common_ConvertN2OToCO2e(E20,_xlfn.XLOOKUP("N2O", Table_GWPData[Gas],Table_GWPData[CO2-e factor]))</f>
        <v>0</v>
      </c>
      <c r="I20" s="1" t="e" cm="1">
        <f t="array" ref="I20">Common_Equations.Common_ConvertN2OToCO2e(F20,_xlfn.XLOOKUP("N2O", Table_GWPData[Gas],Table_GWPData[CO2-e factor]))</f>
        <v>#N/A</v>
      </c>
      <c r="J20" s="9" t="s">
        <v>6</v>
      </c>
    </row>
    <row r="21" spans="1:10" ht="20" customHeight="1" x14ac:dyDescent="0.25">
      <c r="A21" s="5" t="str">
        <f>HYPERLINK("#'Input - Livestock farm Inputs'!A1", "Livestock farm Inputs")</f>
        <v>Livestock farm Inputs</v>
      </c>
      <c r="D21" s="1" t="s">
        <v>149</v>
      </c>
      <c r="E21" s="1" cm="1">
        <f t="array" ref="E21">VEERG_6_3_1_1__1__LeachingAndRunoffEmissionsCropAndPastureResidue_PastureOnly_Result_Method1</f>
        <v>0</v>
      </c>
      <c r="F21" s="1" t="e" cm="1">
        <f t="array" ref="F21">VEERG_6_3_1_1__1__LeachingAndRunoffEmissionsCropAndPastureResidue_PastureOnly_Result_Method2</f>
        <v>#N/A</v>
      </c>
      <c r="G21" s="9" t="s">
        <v>12</v>
      </c>
      <c r="H21" s="1" cm="1">
        <f t="array" ref="H21">Common_Equations.Common_ConvertN2OToCO2e(E21,_xlfn.XLOOKUP("N2O", Table_GWPData[Gas],Table_GWPData[CO2-e factor]))</f>
        <v>0</v>
      </c>
      <c r="I21" s="1" t="e" cm="1">
        <f t="array" ref="I21">Common_Equations.Common_ConvertN2OToCO2e(F21,_xlfn.XLOOKUP("N2O", Table_GWPData[Gas],Table_GWPData[CO2-e factor]))</f>
        <v>#N/A</v>
      </c>
      <c r="J21" s="9" t="s">
        <v>6</v>
      </c>
    </row>
    <row r="22" spans="1:10" ht="20" customHeight="1" x14ac:dyDescent="0.25">
      <c r="A22" s="5" t="str">
        <f>HYPERLINK("#'Input - Freight'!A1", "Freight")</f>
        <v>Freight</v>
      </c>
      <c r="D22" s="1" t="s">
        <v>150</v>
      </c>
      <c r="E22" s="1" cm="1">
        <f t="array" ref="E22">VEERG_8_1_1_1__1_FuelCombustionTransport_Result_CO2</f>
        <v>0</v>
      </c>
      <c r="F22" s="1">
        <f>E22</f>
        <v>0</v>
      </c>
      <c r="G22" s="9" t="s">
        <v>133</v>
      </c>
      <c r="H22" s="1">
        <f>E22</f>
        <v>0</v>
      </c>
      <c r="I22" s="1">
        <f>F22</f>
        <v>0</v>
      </c>
      <c r="J22" s="9" t="s">
        <v>6</v>
      </c>
    </row>
    <row r="23" spans="1:10" ht="20" customHeight="1" x14ac:dyDescent="0.25">
      <c r="A23" s="5" t="str">
        <f>HYPERLINK("#'Input - Solid waste'!A1", "Solid waste")</f>
        <v>Solid waste</v>
      </c>
      <c r="D23" s="1" t="s">
        <v>152</v>
      </c>
      <c r="E23" s="1" cm="1">
        <f t="array" ref="E23">VEERG_8_1_1_1__1_FuelCombustionTransport_Result_CH4</f>
        <v>0</v>
      </c>
      <c r="F23" s="1">
        <f>E23</f>
        <v>0</v>
      </c>
      <c r="G23" s="9" t="s">
        <v>5</v>
      </c>
      <c r="H23" s="1" cm="1">
        <f t="array" ref="H23">Common_Equations.Common_ConvertCH4ToCO2e(E23,_xlfn.XLOOKUP("CH4", Table_GWPData[Gas],Table_GWPData[CO2-e factor]))</f>
        <v>0</v>
      </c>
      <c r="I23" s="1" cm="1">
        <f t="array" ref="I23">Common_Equations.Common_ConvertCH4ToCO2e(F23,_xlfn.XLOOKUP("CH4", Table_GWPData[Gas],Table_GWPData[CO2-e factor]))</f>
        <v>0</v>
      </c>
      <c r="J23" s="9" t="s">
        <v>6</v>
      </c>
    </row>
    <row r="24" spans="1:10" ht="20" customHeight="1" x14ac:dyDescent="0.25">
      <c r="A24" s="5" t="str">
        <f>HYPERLINK("#'Input - Manure sent off-site'!A1", "Manure sent off-site")</f>
        <v>Manure sent off-site</v>
      </c>
      <c r="D24" s="1" t="s">
        <v>151</v>
      </c>
      <c r="E24" s="1" cm="1">
        <f t="array" ref="E24">VEERG_8_1_1_1__1_FuelCombustionTransport_Result_N2O</f>
        <v>0</v>
      </c>
      <c r="F24" s="1">
        <f>E24</f>
        <v>0</v>
      </c>
      <c r="G24" s="9" t="s">
        <v>12</v>
      </c>
      <c r="H24" s="1" cm="1">
        <f t="array" ref="H24">Common_Equations.Common_ConvertN2OToCO2e(E24,_xlfn.XLOOKUP("N2O", Table_GWPData[Gas],Table_GWPData[CO2-e factor]))</f>
        <v>0</v>
      </c>
      <c r="I24" s="1" cm="1">
        <f t="array" ref="I24">Common_Equations.Common_ConvertN2OToCO2e(F24,_xlfn.XLOOKUP("N2O", Table_GWPData[Gas],Table_GWPData[CO2-e factor]))</f>
        <v>0</v>
      </c>
      <c r="J24" s="9" t="s">
        <v>6</v>
      </c>
    </row>
    <row r="25" spans="1:10" ht="20" customHeight="1" x14ac:dyDescent="0.25">
      <c r="A25" s="5" t="str">
        <f>HYPERLINK("#'Input - Data quality'!A1", "Data quality")</f>
        <v>Data quality</v>
      </c>
      <c r="D25" s="1" t="s">
        <v>153</v>
      </c>
      <c r="E25" s="1" cm="1">
        <f t="array" ref="E25">VEERG_8_2_1_1__1_FuelCombustionStationary_Result_CO2</f>
        <v>0</v>
      </c>
      <c r="F25" s="1">
        <f>E25</f>
        <v>0</v>
      </c>
      <c r="G25" s="9" t="s">
        <v>133</v>
      </c>
      <c r="H25" s="1">
        <f>E25</f>
        <v>0</v>
      </c>
      <c r="I25" s="1">
        <f>F25</f>
        <v>0</v>
      </c>
      <c r="J25" s="9" t="s">
        <v>6</v>
      </c>
    </row>
    <row r="26" spans="1:10" ht="20" customHeight="1" x14ac:dyDescent="0.25">
      <c r="D26" s="1" t="s">
        <v>154</v>
      </c>
      <c r="E26" s="1" cm="1">
        <f t="array" ref="E26">VEERG_8_2_1_1__1_FuelCombustionStationary_Result_CH4</f>
        <v>0</v>
      </c>
      <c r="F26" s="1">
        <f t="shared" ref="F26:F27" si="0">E26</f>
        <v>0</v>
      </c>
      <c r="G26" s="9" t="s">
        <v>5</v>
      </c>
      <c r="H26" s="1" cm="1">
        <f t="array" ref="H26">Common_Equations.Common_ConvertCH4ToCO2e(E26,_xlfn.XLOOKUP("CH4", Table_GWPData[Gas],Table_GWPData[CO2-e factor]))</f>
        <v>0</v>
      </c>
      <c r="I26" s="1" cm="1">
        <f t="array" ref="I26">Common_Equations.Common_ConvertCH4ToCO2e(F26,_xlfn.XLOOKUP("CH4", Table_GWPData[Gas],Table_GWPData[CO2-e factor]))</f>
        <v>0</v>
      </c>
      <c r="J26" s="9" t="s">
        <v>6</v>
      </c>
    </row>
    <row r="27" spans="1:10" ht="20" customHeight="1" x14ac:dyDescent="0.25">
      <c r="D27" s="1" t="s">
        <v>155</v>
      </c>
      <c r="E27" s="1" cm="1">
        <f t="array" ref="E27">VEERG_8_2_1_1__1_FuelCombustionStationary_Result_N2O</f>
        <v>0</v>
      </c>
      <c r="F27" s="1">
        <f t="shared" si="0"/>
        <v>0</v>
      </c>
      <c r="G27" s="9" t="s">
        <v>12</v>
      </c>
      <c r="H27" s="1" cm="1">
        <f t="array" ref="H27">Common_Equations.Common_ConvertN2OToCO2e(E27,_xlfn.XLOOKUP("N2O", Table_GWPData[Gas],Table_GWPData[CO2-e factor]))</f>
        <v>0</v>
      </c>
      <c r="I27" s="1" cm="1">
        <f t="array" ref="I27">Common_Equations.Common_ConvertN2OToCO2e(F27,_xlfn.XLOOKUP("N2O", Table_GWPData[Gas],Table_GWPData[CO2-e factor]))</f>
        <v>0</v>
      </c>
      <c r="J27" s="9" t="s">
        <v>6</v>
      </c>
    </row>
    <row r="28" spans="1:10" ht="20" customHeight="1" x14ac:dyDescent="0.25">
      <c r="A28" s="6" t="s">
        <v>2</v>
      </c>
      <c r="D28" s="90" t="s">
        <v>293</v>
      </c>
      <c r="E28" s="91"/>
      <c r="F28" s="91"/>
      <c r="G28" s="91"/>
      <c r="H28" s="90" t="e">
        <f ca="1">SUM(H9:H27)</f>
        <v>#N/A</v>
      </c>
      <c r="I28" s="90" t="e">
        <f ca="1">SUM(I9:I27)</f>
        <v>#N/A</v>
      </c>
      <c r="J28" s="95" t="s">
        <v>6</v>
      </c>
    </row>
    <row r="29" spans="1:10" ht="20" customHeight="1" x14ac:dyDescent="0.25">
      <c r="A29" s="5" t="str">
        <f>HYPERLINK("#'3.2.1.1-2 Enteric Methane'!A1", "3.2.1.1-2 Enteric Methane")</f>
        <v>3.2.1.1-2 Enteric Methane</v>
      </c>
    </row>
    <row r="30" spans="1:10" ht="20" customHeight="1" x14ac:dyDescent="0.25">
      <c r="A30" s="5" t="str">
        <f>HYPERLINK("#'4.2.1.1-2 Methane'!A1", "4.2.1.1-2 Manure methane")</f>
        <v>4.2.1.1-2 Manure methane</v>
      </c>
    </row>
    <row r="31" spans="1:10" ht="20" customHeight="1" x14ac:dyDescent="0.25">
      <c r="A31" s="5" t="str">
        <f>HYPERLINK("#'4.2.1.3-4 Soil direct N20'!A1", "4.2.1.3-4 Soil direct N2O")</f>
        <v>4.2.1.3-4 Soil direct N2O</v>
      </c>
      <c r="D31" s="79" t="s">
        <v>294</v>
      </c>
    </row>
    <row r="32" spans="1:10" ht="20" customHeight="1" x14ac:dyDescent="0.25">
      <c r="A32" s="5" t="str">
        <f>HYPERLINK("#'4.2.1.5-6 Soil Atmos Dep'!A1", "4.2.1.5-6 Soil atm. deposition")</f>
        <v>4.2.1.5-6 Soil atm. deposition</v>
      </c>
    </row>
    <row r="33" spans="1:10" ht="20" customHeight="1" x14ac:dyDescent="0.25">
      <c r="A33" s="5" t="str">
        <f>HYPERLINK("#'4.2.1.7-8 Soil leach runoff'!A1", "4.2.1.7-8 Soil leach &amp; runoff")</f>
        <v>4.2.1.7-8 Soil leach &amp; runoff</v>
      </c>
      <c r="D33" s="11" t="s">
        <v>295</v>
      </c>
      <c r="E33" s="11" t="s">
        <v>7</v>
      </c>
      <c r="F33" s="11" t="s">
        <v>8</v>
      </c>
      <c r="G33" s="11" t="s">
        <v>4</v>
      </c>
      <c r="H33" s="11" t="s">
        <v>9</v>
      </c>
      <c r="I33" s="11" t="s">
        <v>10</v>
      </c>
      <c r="J33" s="11"/>
    </row>
    <row r="34" spans="1:10" ht="20" customHeight="1" x14ac:dyDescent="0.25">
      <c r="A34" s="5" t="str">
        <f>HYPERLINK("#'5.1.1.1-2 Inorganic fert N2O'!A1", "5.1.1.1-2 Inorganic fert N2O")</f>
        <v>5.1.1.1-2 Inorganic fert N2O</v>
      </c>
      <c r="D34" s="1" t="str" cm="1">
        <f t="array" ref="D34">"14.1.1-2 Purchased electricity " &amp; IF(X_Cell_Electricity_CalculationMethod="Location-based (simpler)", "(Location-based)", "(Market-based)")</f>
        <v>14.1.1-2 Purchased electricity (Market-based)</v>
      </c>
      <c r="E34" s="1" cm="1">
        <f t="array" ref="E34">IF(X_Cell_Electricity_CalculationMethod="Location-based (simpler)", VEERG_14_1_1__1_LocationBasedScopeElectricityEmissions_Result_Method1, VEERG_14_1_2__1_MarketBasedScopeElectricityEmissionsVariation_Result_Method1)</f>
        <v>0</v>
      </c>
      <c r="F34" s="1">
        <f>E34</f>
        <v>0</v>
      </c>
      <c r="G34" s="9" t="s">
        <v>6</v>
      </c>
      <c r="H34" s="1">
        <f>E34</f>
        <v>0</v>
      </c>
      <c r="I34" s="1">
        <f>F34</f>
        <v>0</v>
      </c>
      <c r="J34" s="9" t="s">
        <v>6</v>
      </c>
    </row>
    <row r="35" spans="1:10" ht="20" customHeight="1" x14ac:dyDescent="0.25">
      <c r="A35" s="5" t="str">
        <f>HYPERLINK("#'5.1.1.3-4 Inorganic fert CO2'!A1", "5.1.1.3-4 Inorganic fert CO2")</f>
        <v>5.1.1.3-4 Inorganic fert CO2</v>
      </c>
      <c r="D35" s="90" t="s">
        <v>296</v>
      </c>
      <c r="E35" s="91"/>
      <c r="F35" s="91"/>
      <c r="G35" s="91"/>
      <c r="H35" s="90">
        <f>SUM(H34:H34)</f>
        <v>0</v>
      </c>
      <c r="I35" s="90">
        <f>SUM(I34:I34)</f>
        <v>0</v>
      </c>
      <c r="J35" s="95" t="s">
        <v>6</v>
      </c>
    </row>
    <row r="36" spans="1:10" ht="20" customHeight="1" x14ac:dyDescent="0.25">
      <c r="A36" s="5" t="str">
        <f>HYPERLINK("#'5.2.1.1-2 Organic Fert N2O'!A1", "5.2.1.1-2 Organic fert N2O")</f>
        <v>5.2.1.1-2 Organic fert N2O</v>
      </c>
    </row>
    <row r="37" spans="1:10" ht="20" customHeight="1" x14ac:dyDescent="0.25">
      <c r="A37" s="5" t="str">
        <f>HYPERLINK("#'5.3.1.1-2 Lime CO2'!A1", "5.3.1.1-2 Lime CO2")</f>
        <v>5.3.1.1-2 Lime CO2</v>
      </c>
    </row>
    <row r="38" spans="1:10" ht="20" customHeight="1" x14ac:dyDescent="0.25">
      <c r="A38" s="5" t="str">
        <f>HYPERLINK("#'5.4.1.1-4 Atmos deposition'!A1", "5.4.1.1-4 Atmos. deposition")</f>
        <v>5.4.1.1-4 Atmos. deposition</v>
      </c>
      <c r="D38" s="79" t="s">
        <v>298</v>
      </c>
    </row>
    <row r="39" spans="1:10" ht="20" customHeight="1" x14ac:dyDescent="0.25">
      <c r="A39" s="5" t="str">
        <f>HYPERLINK("#'5.5.1.1-2 Leaching and runoff'!A1", "5.5.1.1-2 Leaching &amp; runoff")</f>
        <v>5.5.1.1-2 Leaching &amp; runoff</v>
      </c>
      <c r="D39" s="11" t="s">
        <v>299</v>
      </c>
      <c r="E39" s="11" t="s">
        <v>7</v>
      </c>
      <c r="F39" s="11" t="s">
        <v>8</v>
      </c>
      <c r="G39" s="11" t="s">
        <v>4</v>
      </c>
      <c r="H39" s="11" t="s">
        <v>9</v>
      </c>
      <c r="I39" s="11" t="s">
        <v>10</v>
      </c>
      <c r="J39" s="11"/>
    </row>
    <row r="40" spans="1:10" ht="20" customHeight="1" x14ac:dyDescent="0.25">
      <c r="A40" s="5" t="str">
        <f>HYPERLINK("#'6.2.1.1-2 Pasture residue N2O'!A1", "6.2.1.1-2 Pasture residue N2O")</f>
        <v>6.2.1.1-2 Pasture residue N2O</v>
      </c>
      <c r="D40" s="1" t="s">
        <v>300</v>
      </c>
      <c r="E40" s="1" cm="1">
        <f t="array" ref="E40">VEERG_15_1_1_1__1_EmissionsFromPurchasedLivestock_Result_Method1</f>
        <v>0</v>
      </c>
      <c r="F40" s="1" cm="1">
        <f t="array" ref="F40">VEERG_15_1_1_1__1_EmissionsFromPurchasedLivestock_Result_Method2</f>
        <v>0</v>
      </c>
      <c r="G40" s="9" t="s">
        <v>6</v>
      </c>
      <c r="H40" s="1">
        <f>E40</f>
        <v>0</v>
      </c>
      <c r="I40" s="1">
        <f>F40</f>
        <v>0</v>
      </c>
      <c r="J40" s="9" t="s">
        <v>6</v>
      </c>
    </row>
    <row r="41" spans="1:10" ht="20" customHeight="1" x14ac:dyDescent="0.25">
      <c r="A41" s="5" t="str">
        <f>HYPERLINK("#'6.3.1.1-2 Leach runoff pasture'!A1", "6.3.1.1-2 Leach &amp; runoff (pasture)")</f>
        <v>6.3.1.1-2 Leach &amp; runoff (pasture)</v>
      </c>
      <c r="D41" s="1" t="s">
        <v>301</v>
      </c>
      <c r="E41" s="1" cm="1">
        <f t="array" ref="E41">VEERG_15_2_1_1__1_EmissionsFromPurchasedFeed_Result_Method1</f>
        <v>0</v>
      </c>
      <c r="F41" s="1" cm="1">
        <f t="array" ref="F41">VEERG_15_2_1_1__1_EmissionsFromPurchasedFeed_Result_Method2</f>
        <v>0</v>
      </c>
      <c r="G41" s="9" t="s">
        <v>6</v>
      </c>
      <c r="H41" s="1">
        <f t="shared" ref="H41:H52" si="1">E41</f>
        <v>0</v>
      </c>
      <c r="I41" s="1">
        <f t="shared" ref="I41:I52" si="2">F41</f>
        <v>0</v>
      </c>
      <c r="J41" s="9" t="s">
        <v>6</v>
      </c>
    </row>
    <row r="42" spans="1:10" ht="20" customHeight="1" x14ac:dyDescent="0.25">
      <c r="A42" s="5" t="str">
        <f>HYPERLINK("#'8.1.1.1-2 Transport fuel'!A1", "8.1.1.1-2 Transport fuel")</f>
        <v>8.1.1.1-2 Transport fuel</v>
      </c>
      <c r="D42" s="1" t="s">
        <v>302</v>
      </c>
      <c r="E42" s="1" cm="1">
        <f t="array" ref="E42">VEERG_15_3_1_1__1_EmissionsFromPurchasedMineralSupplements_Result_Method1</f>
        <v>0</v>
      </c>
      <c r="F42" s="1" cm="1">
        <f t="array" ref="F42">VEERG_15_3_1_1__1_EmissionsFromPurchasedMineralSupplements_Result_Method2</f>
        <v>0</v>
      </c>
      <c r="G42" s="9" t="s">
        <v>6</v>
      </c>
      <c r="H42" s="1">
        <f t="shared" si="1"/>
        <v>0</v>
      </c>
      <c r="I42" s="1">
        <f t="shared" si="2"/>
        <v>0</v>
      </c>
      <c r="J42" s="9" t="s">
        <v>6</v>
      </c>
    </row>
    <row r="43" spans="1:10" ht="20" customHeight="1" x14ac:dyDescent="0.25">
      <c r="A43" s="5" t="str">
        <f>HYPERLINK("#'8.2.1.1-2 Stationary fuel'!A1", "8.2.1.1-2 Stationary fuel")</f>
        <v>8.2.1.1-2 Stationary fuel</v>
      </c>
      <c r="D43" s="1" t="s">
        <v>303</v>
      </c>
      <c r="E43" s="1" cm="1">
        <f t="array" ref="E43">VEERG_15_4_1_1__2_EmissionsFromPurchasedFertiliserComponentsVariation_Result_Method1</f>
        <v>0</v>
      </c>
      <c r="F43" s="1" cm="1">
        <f t="array" ref="F43">VEERG_15_4_1_1__2_EmissionsFromPurchasedFertiliserComponentsVariation_Result_Method2</f>
        <v>0</v>
      </c>
      <c r="G43" s="9" t="s">
        <v>6</v>
      </c>
      <c r="H43" s="1">
        <f t="shared" si="1"/>
        <v>0</v>
      </c>
      <c r="I43" s="1">
        <f t="shared" si="2"/>
        <v>0</v>
      </c>
      <c r="J43" s="9" t="s">
        <v>6</v>
      </c>
    </row>
    <row r="44" spans="1:10" ht="20" customHeight="1" x14ac:dyDescent="0.25">
      <c r="A44" s="5" t="str">
        <f>HYPERLINK("#'10.1.1-2 Solid waste treatment'!A1", "10.1.1.1-2 Solid waste")</f>
        <v>10.1.1.1-2 Solid waste</v>
      </c>
      <c r="D44" s="1" t="s">
        <v>304</v>
      </c>
      <c r="E44" s="1" cm="1">
        <f t="array" ref="E44">VEERG_15_5_1_1__1_EmissionsFromPurchasedAgrichemicals_Result_Method1</f>
        <v>0</v>
      </c>
      <c r="F44" s="1" cm="1">
        <f t="array" ref="F44">VEERG_15_5_1_1__1_EmissionsFromPurchasedAgrichemicals_Result_Method2</f>
        <v>0</v>
      </c>
      <c r="G44" s="9" t="s">
        <v>6</v>
      </c>
      <c r="H44" s="1">
        <f t="shared" si="1"/>
        <v>0</v>
      </c>
      <c r="I44" s="1">
        <f t="shared" si="2"/>
        <v>0</v>
      </c>
      <c r="J44" s="9" t="s">
        <v>6</v>
      </c>
    </row>
    <row r="45" spans="1:10" ht="20" customHeight="1" x14ac:dyDescent="0.25">
      <c r="A45" s="5" t="str">
        <f>HYPERLINK("#'14.1.1-2 Purchased electricity'!A1", "14.1.1-2 Purchased electricity")</f>
        <v>14.1.1-2 Purchased electricity</v>
      </c>
      <c r="D45" s="1" t="s">
        <v>305</v>
      </c>
      <c r="E45" s="1" cm="1">
        <f t="array" ref="E45">VEERG_15_6_1_1__1_EmissionsFromPurchasedLime_Result_Method1</f>
        <v>0</v>
      </c>
      <c r="F45" s="1" cm="1">
        <f t="array" ref="F45">VEERG_15_6_1_1__1_EmissionsFromPurchasedLime_Result_Method2</f>
        <v>0</v>
      </c>
      <c r="G45" s="9" t="s">
        <v>6</v>
      </c>
      <c r="H45" s="1">
        <f t="shared" si="1"/>
        <v>0</v>
      </c>
      <c r="I45" s="1">
        <f t="shared" si="2"/>
        <v>0</v>
      </c>
      <c r="J45" s="9" t="s">
        <v>6</v>
      </c>
    </row>
    <row r="46" spans="1:10" ht="20" customHeight="1" x14ac:dyDescent="0.25">
      <c r="A46" s="5" t="str">
        <f>HYPERLINK("#'15 Scope 3'!A1", "15 Scope 3")</f>
        <v>15 Scope 3</v>
      </c>
      <c r="D46" s="1" t="s">
        <v>306</v>
      </c>
      <c r="E46" s="1" t="str" cm="1">
        <f t="array" ref="E46">VEERG_15_7_1_1__1_EmissionsFromPurchasedServices_Result_Method1</f>
        <v>No data</v>
      </c>
      <c r="F46" s="1" cm="1">
        <f t="array" ref="F46">VEERG_15_7_1_1__1_EmissionsFromPurchasedServices_Result_Method2</f>
        <v>0</v>
      </c>
      <c r="G46" s="9" t="s">
        <v>6</v>
      </c>
      <c r="H46" s="1" t="str">
        <f t="shared" si="1"/>
        <v>No data</v>
      </c>
      <c r="I46" s="1">
        <f t="shared" si="2"/>
        <v>0</v>
      </c>
      <c r="J46" s="9" t="s">
        <v>6</v>
      </c>
    </row>
    <row r="47" spans="1:10" ht="20" customHeight="1" x14ac:dyDescent="0.25">
      <c r="A47" s="5" t="str">
        <f>HYPERLINK("#'Calcs - Manure sent off-site'!A1", "Calcs - Manure sent off-site")</f>
        <v>Calcs - Manure sent off-site</v>
      </c>
      <c r="D47" s="1" t="s">
        <v>307</v>
      </c>
      <c r="E47" s="1" cm="1">
        <f t="array" ref="E47">VEERG_15_10_1_1__1_OtherPurchasedGoodsAndServices_CleaningChemicals_Result_Method1</f>
        <v>0</v>
      </c>
      <c r="F47" s="1" cm="1">
        <f t="array" ref="F47">VEERG_15_10_1_1__1_OtherPurchasedGoodsAndServices_CleaningChemicals_Result_Method2</f>
        <v>0</v>
      </c>
      <c r="G47" s="9" t="s">
        <v>6</v>
      </c>
      <c r="H47" s="1">
        <f t="shared" si="1"/>
        <v>0</v>
      </c>
      <c r="I47" s="1">
        <f t="shared" si="2"/>
        <v>0</v>
      </c>
      <c r="J47" s="9" t="s">
        <v>6</v>
      </c>
    </row>
    <row r="48" spans="1:10" ht="20" customHeight="1" x14ac:dyDescent="0.25">
      <c r="D48" s="1" t="s">
        <v>308</v>
      </c>
      <c r="E48" s="1" cm="1">
        <f t="array" ref="E48">VEERG_15_10_1_1__1_OtherPurchasedGoodsAndServices_PharmacyChemicals_Result_Method1</f>
        <v>0</v>
      </c>
      <c r="F48" s="1" cm="1">
        <f t="array" ref="F48">VEERG_15_10_1_1__1_OtherPurchasedGoodsAndServices_PharmacyChemicals_Result_Method2</f>
        <v>0</v>
      </c>
      <c r="G48" s="9" t="s">
        <v>6</v>
      </c>
      <c r="H48" s="1">
        <f t="shared" si="1"/>
        <v>0</v>
      </c>
      <c r="I48" s="1">
        <f t="shared" si="2"/>
        <v>0</v>
      </c>
      <c r="J48" s="9" t="s">
        <v>6</v>
      </c>
    </row>
    <row r="49" spans="1:10" ht="20" customHeight="1" x14ac:dyDescent="0.25">
      <c r="D49" s="1" t="s">
        <v>309</v>
      </c>
      <c r="E49" s="1" cm="1">
        <f t="array" ref="E49">VEERG_15_10_1_1__1_OtherPurchasedGoodsAndServices_Misc_Result_Method1</f>
        <v>0</v>
      </c>
      <c r="F49" s="1" cm="1">
        <f t="array" ref="F49">VEERG_15_10_1_1__1_OtherPurchasedGoodsAndServices_Misc_Result_Method2</f>
        <v>0</v>
      </c>
      <c r="G49" s="9" t="s">
        <v>6</v>
      </c>
      <c r="H49" s="1">
        <f t="shared" si="1"/>
        <v>0</v>
      </c>
      <c r="I49" s="1">
        <f t="shared" si="2"/>
        <v>0</v>
      </c>
      <c r="J49" s="9" t="s">
        <v>6</v>
      </c>
    </row>
    <row r="50" spans="1:10" ht="20" customHeight="1" x14ac:dyDescent="0.25">
      <c r="A50" s="85" t="s">
        <v>1</v>
      </c>
      <c r="D50" s="1" t="s">
        <v>310</v>
      </c>
      <c r="E50" s="1" t="str" cm="1">
        <f t="array" ref="E50">VEERG_15_10_1_1__1_OtherPurchasedGoodsAndServices_Uncategorised_Result_Method1</f>
        <v>No data</v>
      </c>
      <c r="F50" s="1" cm="1">
        <f t="array" ref="F50">VEERG_15_10_1_1__1_OtherPurchasedGoodsAndServices_Uncategorised_Result_Method2</f>
        <v>0</v>
      </c>
      <c r="G50" s="9" t="s">
        <v>6</v>
      </c>
      <c r="H50" s="1" t="str">
        <f t="shared" si="1"/>
        <v>No data</v>
      </c>
      <c r="I50" s="1">
        <f t="shared" si="2"/>
        <v>0</v>
      </c>
      <c r="J50" s="9" t="s">
        <v>6</v>
      </c>
    </row>
    <row r="51" spans="1:10" ht="20" customHeight="1" x14ac:dyDescent="0.25">
      <c r="A51" s="5" t="str">
        <f>HYPERLINK("#'Constants - Pasture Beef'!A1", "Constants - Pasture Beef")</f>
        <v>Constants - Pasture Beef</v>
      </c>
      <c r="D51" s="1" t="s">
        <v>311</v>
      </c>
      <c r="E51" s="1" cm="1">
        <f t="array" ref="E51">VEERG_15_11_1_1__1_TotalUpstreamEmissionsFromFuel_Result</f>
        <v>0</v>
      </c>
      <c r="F51" s="1">
        <f>E51</f>
        <v>0</v>
      </c>
      <c r="G51" s="9" t="s">
        <v>6</v>
      </c>
      <c r="H51" s="1">
        <f t="shared" si="1"/>
        <v>0</v>
      </c>
      <c r="I51" s="1">
        <f t="shared" si="2"/>
        <v>0</v>
      </c>
      <c r="J51" s="9" t="s">
        <v>6</v>
      </c>
    </row>
    <row r="52" spans="1:10" ht="20" customHeight="1" x14ac:dyDescent="0.25">
      <c r="A52" s="5" t="str">
        <f>HYPERLINK("#'Constants - Ag Residue'!A1", "Constants - Ag residue")</f>
        <v>Constants - Ag residue</v>
      </c>
      <c r="D52" s="1" t="str" cm="1">
        <f t="array" ref="D52">"15.12.1.1 Purchased electricity " &amp; IF(X_Cell_Electricity_CalculationMethod="Location-based (simpler)", "(Location-based)", "(Market-based)")</f>
        <v>15.12.1.1 Purchased electricity (Market-based)</v>
      </c>
      <c r="E52" s="1" t="e" cm="1">
        <f t="array" ref="E52">IF(X_Cell_Electricity_CalculationMethod="Location-based (simpler)", VEERG_15_12_1_1__1_UpstreamPurchasedElectricityLocationBased_Result, VEERG_15_12_1_1__1_UpstreamPurchasedElectricityMarketBased_Result)</f>
        <v>#NAME?</v>
      </c>
      <c r="F52" s="1" t="e">
        <f>E52</f>
        <v>#NAME?</v>
      </c>
      <c r="G52" s="9" t="s">
        <v>6</v>
      </c>
      <c r="H52" s="1" t="e">
        <f t="shared" si="1"/>
        <v>#NAME?</v>
      </c>
      <c r="I52" s="1" t="e">
        <f t="shared" si="2"/>
        <v>#NAME?</v>
      </c>
      <c r="J52" s="9" t="s">
        <v>6</v>
      </c>
    </row>
    <row r="53" spans="1:10" ht="20" customHeight="1" x14ac:dyDescent="0.25">
      <c r="A53" s="5" t="str">
        <f>HYPERLINK("#'Constants - Common Livestock'!A1", "Constants - Common Livestock")</f>
        <v>Constants - Common Livestock</v>
      </c>
      <c r="D53" s="1" t="s">
        <v>312</v>
      </c>
      <c r="E53" s="1" t="str" cm="1">
        <f t="array" ref="E53">VEERG_15_14_1_1__1_EmbeddedEmissionsFromUpstreamFreight_Incoming_Result_Method1</f>
        <v>No data</v>
      </c>
      <c r="F53" s="1" cm="1">
        <f t="array" ref="F53">VEERG_15_14_1_1__1_EmbeddedEmissionsFromUpstreamFreight_Incoming_Result_Method2</f>
        <v>0</v>
      </c>
      <c r="G53" s="9" t="s">
        <v>6</v>
      </c>
      <c r="H53" s="1" t="str">
        <f>E53</f>
        <v>No data</v>
      </c>
      <c r="I53" s="1">
        <f>F53</f>
        <v>0</v>
      </c>
      <c r="J53" s="9" t="s">
        <v>6</v>
      </c>
    </row>
    <row r="54" spans="1:10" ht="20" customHeight="1" x14ac:dyDescent="0.25">
      <c r="A54" s="5" t="str">
        <f>HYPERLINK("#'Constants - Electricity'!A1", "Constants - Electricity")</f>
        <v>Constants - Electricity</v>
      </c>
      <c r="D54" s="1" t="s">
        <v>313</v>
      </c>
      <c r="E54" s="1" cm="1">
        <f t="array" ref="E54">VEERG_10_1_1_1__1_EmissionsFromWasteManagement_Scope3_Result_Method1</f>
        <v>0</v>
      </c>
      <c r="F54" s="1">
        <f>E54</f>
        <v>0</v>
      </c>
      <c r="G54" s="9" t="s">
        <v>6</v>
      </c>
      <c r="H54" s="1">
        <f t="shared" ref="H54:H55" si="3">E54</f>
        <v>0</v>
      </c>
      <c r="I54" s="1">
        <f t="shared" ref="I54:I55" si="4">F54</f>
        <v>0</v>
      </c>
      <c r="J54" s="9" t="s">
        <v>6</v>
      </c>
    </row>
    <row r="55" spans="1:10" ht="20" customHeight="1" x14ac:dyDescent="0.25">
      <c r="A55" s="5" t="str">
        <f>HYPERLINK("#'Constants - Fertiliser'!A1", "Constants - Fertiliser")</f>
        <v>Constants - Fertiliser</v>
      </c>
      <c r="D55" s="1" t="s">
        <v>314</v>
      </c>
      <c r="E55" s="1" t="str" cm="1">
        <f t="array" ref="E55">VEERG_15_14_1_1__1_EmbeddedEmissionsFromUpstreamFreight_Outgoing_Result_Method1</f>
        <v>No data</v>
      </c>
      <c r="F55" s="1" cm="1">
        <f t="array" ref="F55">VEERG_15_14_1_1__1_EmbeddedEmissionsFromUpstreamFreight_Outgoing_Result_Method2</f>
        <v>0</v>
      </c>
      <c r="G55" s="9" t="s">
        <v>6</v>
      </c>
      <c r="H55" s="1" t="str">
        <f t="shared" si="3"/>
        <v>No data</v>
      </c>
      <c r="I55" s="1">
        <f t="shared" si="4"/>
        <v>0</v>
      </c>
      <c r="J55" s="9" t="s">
        <v>6</v>
      </c>
    </row>
    <row r="56" spans="1:10" ht="20" customHeight="1" x14ac:dyDescent="0.25">
      <c r="A56" s="5" t="str">
        <f>HYPERLINK("#'Constants - Fuel'!A1", "Constants - Fuel")</f>
        <v>Constants - Fuel</v>
      </c>
      <c r="D56" s="90" t="s">
        <v>315</v>
      </c>
      <c r="E56" s="91"/>
      <c r="F56" s="91"/>
      <c r="G56" s="91"/>
      <c r="H56" s="90" t="e">
        <f>SUM(H40:H55)</f>
        <v>#NAME?</v>
      </c>
      <c r="I56" s="90" t="e">
        <f>SUM(I40:I55)</f>
        <v>#NAME?</v>
      </c>
      <c r="J56" s="95" t="s">
        <v>6</v>
      </c>
    </row>
    <row r="57" spans="1:10" ht="20" customHeight="1" x14ac:dyDescent="0.25">
      <c r="A57" s="5" t="str">
        <f>HYPERLINK("#'Constants - Scope 3'!A1", "Constants - Scope 3")</f>
        <v>Constants - Scope 3</v>
      </c>
    </row>
    <row r="58" spans="1:10" ht="20" customHeight="1" x14ac:dyDescent="0.25">
      <c r="A58" s="5" t="str">
        <f>HYPERLINK("#'Constants - Solid Waste'!A1", "Constants - Solid Waste")</f>
        <v>Constants - Solid Waste</v>
      </c>
    </row>
    <row r="59" spans="1:10" ht="20" customHeight="1" x14ac:dyDescent="0.25">
      <c r="A59" s="5" t="str">
        <f>HYPERLINK("#'Constants - Common'!A1", "Constants - Common")</f>
        <v>Constants - Common</v>
      </c>
      <c r="D59" s="79" t="str">
        <f>"Carbon removals from plantings for the activity period " &amp; TEXT(X_Cell_Site_StartDate, "d mmmm yyyy") &amp; " and " &amp; TEXT(X_Cell_Site_EndDate, "d mmmm yyyy")</f>
        <v>Carbon removals from plantings for the activity period 0 January 1900 and 30 December 1900</v>
      </c>
    </row>
    <row r="60" spans="1:10" ht="20" customHeight="1" x14ac:dyDescent="0.25">
      <c r="A60" s="5" t="str">
        <f>HYPERLINK("#'Acknowledgements'!A1", "Acknowledgements")</f>
        <v>Acknowledgements</v>
      </c>
    </row>
    <row r="61" spans="1:10" ht="20" customHeight="1" x14ac:dyDescent="0.25">
      <c r="D61" s="90" t="s">
        <v>290</v>
      </c>
      <c r="E61" s="91">
        <f>SUM(Table_Input_Enterprise_PlantingRemovals[Removal allocated to this enterprise])</f>
        <v>0</v>
      </c>
      <c r="F61" s="95" t="s">
        <v>133</v>
      </c>
    </row>
    <row r="62" spans="1:10" ht="20" customHeight="1" x14ac:dyDescent="0.25"/>
    <row r="63" spans="1:10" ht="20" customHeight="1" x14ac:dyDescent="0.25"/>
    <row r="64" spans="1:10" ht="20" customHeight="1" x14ac:dyDescent="0.25">
      <c r="D64" s="79" t="str">
        <f>"Net emissions for the activity period " &amp; TEXT(X_Cell_Site_StartDate, "d mmmm yyyy") &amp; " and " &amp; TEXT(X_Cell_Site_EndDate, "d mmmm yyyy")</f>
        <v>Net emissions for the activity period 0 January 1900 and 30 December 1900</v>
      </c>
    </row>
    <row r="65" spans="4:7" ht="20" customHeight="1" x14ac:dyDescent="0.25"/>
    <row r="66" spans="4:7" ht="20" customHeight="1" x14ac:dyDescent="0.25">
      <c r="D66" s="11"/>
      <c r="E66" s="11" t="s">
        <v>136</v>
      </c>
      <c r="F66" s="11" t="s">
        <v>137</v>
      </c>
    </row>
    <row r="67" spans="4:7" ht="20" customHeight="1" x14ac:dyDescent="0.25">
      <c r="D67" s="88" t="s">
        <v>1208</v>
      </c>
      <c r="E67" s="89" t="e">
        <f ca="1">Result_Enterprise_Scope1_Method1+Result_Enterprise_Scope2_Method1+Result_Enterprise_Scope3_Method1</f>
        <v>#N/A</v>
      </c>
      <c r="F67" s="89" t="e">
        <f ca="1">Result_Enterprise_Scope1_Method2+Result_Enterprise_Scope2_Method2+Result_Enterprise_Scope3_Method2</f>
        <v>#N/A</v>
      </c>
      <c r="G67" s="96" t="s">
        <v>292</v>
      </c>
    </row>
    <row r="68" spans="4:7" ht="20" customHeight="1" x14ac:dyDescent="0.25">
      <c r="D68" s="88" t="s">
        <v>291</v>
      </c>
      <c r="E68" s="89" t="e">
        <f ca="1">Result_Enterprise_Scope1_Method1-Result_Enterprise_Removals</f>
        <v>#N/A</v>
      </c>
      <c r="F68" s="89" t="e">
        <f ca="1">Result_Enterprise_Scope1_Method2-Result_Enterprise_Removals</f>
        <v>#N/A</v>
      </c>
      <c r="G68" s="96" t="s">
        <v>292</v>
      </c>
    </row>
    <row r="69" spans="4:7" ht="20" customHeight="1" x14ac:dyDescent="0.25"/>
    <row r="70" spans="4:7" ht="20" customHeight="1" x14ac:dyDescent="0.25"/>
    <row r="71" spans="4:7" ht="20" customHeight="1" x14ac:dyDescent="0.25"/>
    <row r="72" spans="4:7" ht="20" customHeight="1" x14ac:dyDescent="0.25"/>
    <row r="73" spans="4:7" ht="20" customHeight="1" x14ac:dyDescent="0.25"/>
    <row r="74" spans="4:7" ht="20" customHeight="1" x14ac:dyDescent="0.25"/>
    <row r="75" spans="4:7" ht="20"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731B-2C8B-468C-A81B-20D996BF6F6B}">
  <sheetPr>
    <tabColor rgb="FF0C769E"/>
  </sheetPr>
  <dimension ref="A1:R60"/>
  <sheetViews>
    <sheetView showGridLines="0" topLeftCell="A18" zoomScaleNormal="100" workbookViewId="0">
      <pane xSplit="1" topLeftCell="B1" activePane="topRight" state="frozen"/>
      <selection pane="topRight" activeCell="A25" sqref="A25"/>
    </sheetView>
  </sheetViews>
  <sheetFormatPr defaultRowHeight="20" x14ac:dyDescent="0.25" customHeight="1"/>
  <cols>
    <col min="1" max="1" width="36.7109375" customWidth="1"/>
    <col min="2" max="2" width="4.7109375" customWidth="1"/>
    <col min="3" max="3" width="4.7109375" style="1" customWidth="1"/>
    <col min="4" max="4" width="60" style="1" customWidth="1"/>
    <col min="5" max="12" width="30.7109375" style="1" customWidth="1"/>
    <col min="13" max="13" width="4.7109375" style="1" customWidth="1"/>
    <col min="14" max="18" width="9.140625" style="1"/>
  </cols>
  <sheetData>
    <row r="1" spans="1:18" s="92" customFormat="1" ht="30" x14ac:dyDescent="0.35" customHeight="1">
      <c r="C1" s="92" t="s">
        <v>279</v>
      </c>
    </row>
    <row r="2" spans="1:18" s="3" customFormat="1" x14ac:dyDescent="0.25" ht="20" customHeight="1">
      <c r="A2"/>
    </row>
    <row r="3" spans="1:18" x14ac:dyDescent="0.25" ht="20" customHeight="1">
      <c r="A3" s="5" t="str">
        <f>HYPERLINK("#'Home'!A1", "Home")</f>
        <v>Home</v>
      </c>
      <c r="C3" s="97"/>
      <c r="D3" s="97"/>
      <c r="E3" s="97"/>
      <c r="F3" s="97"/>
      <c r="G3" s="97"/>
      <c r="H3" s="97"/>
      <c r="I3" s="97"/>
      <c r="J3" s="97"/>
      <c r="K3" s="97"/>
      <c r="L3" s="97"/>
      <c r="M3" s="97"/>
      <c r="N3" s="97"/>
      <c r="O3" s="97"/>
      <c r="P3" s="97"/>
      <c r="Q3" s="97"/>
      <c r="R3" s="97"/>
    </row>
    <row r="4" spans="1:18" x14ac:dyDescent="0.25" ht="20" customHeight="1">
      <c r="A4" s="5" t="str">
        <f>HYPERLINK("#'Results - Activity period'!A1", "Results - Activity period")</f>
        <v>Results - Activity period</v>
      </c>
    </row>
    <row r="5" spans="1:18" x14ac:dyDescent="0.25" ht="20" customHeight="1">
      <c r="A5" s="262" t="str">
        <f>HYPERLINK("#'Results - Product EI'!A1", "Results - Product Emissions Intensity")</f>
        <v>Results - Product Emissions Intensity</v>
      </c>
    </row>
    <row r="8" spans="1:18" x14ac:dyDescent="0.25" ht="20" customHeight="1">
      <c r="A8" s="7" t="s">
        <v>0</v>
      </c>
    </row>
    <row r="9" spans="1:18" x14ac:dyDescent="0.25" ht="20" customHeight="1">
      <c r="A9" s="5" t="str">
        <f>HYPERLINK("#'Input - Enterprise'!A1", "Enterprise")</f>
        <v>Enterprise</v>
      </c>
    </row>
    <row r="10" spans="1:18" x14ac:dyDescent="0.25" ht="20" customHeight="1">
      <c r="A10" s="5" t="str">
        <f>HYPERLINK("#'Input - Site'!A1", "Site")</f>
        <v>Site</v>
      </c>
    </row>
    <row r="11" spans="1:18" x14ac:dyDescent="0.25" ht="20" customHeight="1">
      <c r="A11" s="5" t="str">
        <f>HYPERLINK("#'Input - Pasture Beef'!A1", "Pasture Beef")</f>
        <v>Pasture Beef</v>
      </c>
    </row>
    <row r="12" spans="1:18" x14ac:dyDescent="0.25" ht="20" customHeight="1">
      <c r="A12" s="5" t="str">
        <f>HYPERLINK("#'Input - Livestock sales'!A1", "Livestock sales")</f>
        <v>Livestock sales</v>
      </c>
    </row>
    <row r="13" spans="1:18" x14ac:dyDescent="0.25" ht="20" customHeight="1">
      <c r="A13" s="5" t="str">
        <f>HYPERLINK("#'Input - Beef cattle purchases'!A1", "Beef cattle purchases")</f>
        <v>Beef cattle purchases</v>
      </c>
    </row>
    <row r="14" spans="1:18" x14ac:dyDescent="0.25" ht="20" customHeight="1">
      <c r="A14" s="5" t="str">
        <f>HYPERLINK("#'Input - Pasture'!A1", "Pasture")</f>
        <v>Pasture</v>
      </c>
    </row>
    <row r="15" spans="1:18" x14ac:dyDescent="0.25" ht="20" customHeight="1">
      <c r="A15" s="5" t="str">
        <f>HYPERLINK("#'Input - Fert Prod System'!A1", "Fert Prod System")</f>
        <v>Fert Prod System</v>
      </c>
    </row>
    <row r="16" spans="1:18" x14ac:dyDescent="0.25" ht="20" customHeight="1">
      <c r="A16" s="5" t="str">
        <f>HYPERLINK("#'Input - Fertiliser'!A1", "Fertiliser")</f>
        <v>Fertiliser</v>
      </c>
    </row>
    <row r="17" spans="1:4" x14ac:dyDescent="0.25" ht="20" customHeight="1">
      <c r="A17" s="5" t="str">
        <f>HYPERLINK("#'Input - Fuel'!A1", "Fuel")</f>
        <v>Fuel</v>
      </c>
    </row>
    <row r="18" spans="1:4" x14ac:dyDescent="0.25" ht="20" customHeight="1">
      <c r="A18" s="5" t="str">
        <f>HYPERLINK("#'Input - Electricity'!A1", "Electricity")</f>
        <v>Electricity</v>
      </c>
    </row>
    <row r="19" spans="1:4" x14ac:dyDescent="0.25" ht="20" customHeight="1">
      <c r="A19" s="5" t="str">
        <f>HYPERLINK("#'Input - Common farm inputs'!A1", "Common farm inputs")</f>
        <v>Common farm inputs</v>
      </c>
    </row>
    <row r="20" spans="1:4" x14ac:dyDescent="0.25" ht="20" customHeight="1">
      <c r="A20" s="5" t="str">
        <f>HYPERLINK("#'Input - Crop pasture farm input'!A1", "Crop pasture farm input")</f>
        <v>Crop pasture farm input</v>
      </c>
    </row>
    <row r="21" spans="1:4" x14ac:dyDescent="0.25" ht="20" customHeight="1">
      <c r="A21" s="5" t="str">
        <f>HYPERLINK("#'Input - Livestock farm Inputs'!A1", "Livestock farm Inputs")</f>
        <v>Livestock farm Inputs</v>
      </c>
    </row>
    <row r="22" spans="1:4" x14ac:dyDescent="0.25" ht="20" customHeight="1">
      <c r="A22" s="5" t="str">
        <f>HYPERLINK("#'Input - Freight'!A1", "Freight")</f>
        <v>Freight</v>
      </c>
    </row>
    <row r="23" spans="1:4" x14ac:dyDescent="0.25" ht="20" customHeight="1">
      <c r="A23" s="5" t="str">
        <f>HYPERLINK("#'Input - Solid waste'!A1", "Solid waste")</f>
        <v>Solid waste</v>
      </c>
    </row>
    <row r="24" spans="1:4" x14ac:dyDescent="0.25" ht="20" customHeight="1">
      <c r="A24" s="5" t="str">
        <f>HYPERLINK("#'Input - Manure sent off-site'!A1", "Manure sent off-site")</f>
        <v>Manure sent off-site</v>
      </c>
    </row>
    <row r="25" spans="1:4" x14ac:dyDescent="0.25" ht="20" customHeight="1">
      <c r="A25" s="5" t="str">
        <f>HYPERLINK("#'Input - Data quality'!A1", "Data quality")</f>
        <v>Data quality</v>
      </c>
    </row>
    <row r="28" spans="1:4" x14ac:dyDescent="0.25" ht="20" customHeight="1">
      <c r="A28" s="6" t="s">
        <v>2</v>
      </c>
    </row>
    <row r="29" spans="1:4" x14ac:dyDescent="0.25" ht="20" customHeight="1">
      <c r="A29" s="5" t="str">
        <f>HYPERLINK("#'3.2.1.1-2 Enteric Methane'!A1", "3.2.1.1-2 Enteric Methane")</f>
        <v>3.2.1.1-2 Enteric Methane</v>
      </c>
    </row>
    <row r="30" spans="1:4" x14ac:dyDescent="0.25" ht="20" customHeight="1">
      <c r="A30" s="5" t="str">
        <f>HYPERLINK("#'4.2.1.1-2 Methane'!A1", "4.2.1.1-2 Manure methane")</f>
        <v>4.2.1.1-2 Manure methane</v>
      </c>
    </row>
    <row r="31" spans="1:4" x14ac:dyDescent="0.25" ht="20" customHeight="1">
      <c r="A31" s="5" t="str">
        <f>HYPERLINK("#'4.2.1.3-4 Soil direct N20'!A1", "4.2.1.3-4 Soil direct N2O")</f>
        <v>4.2.1.3-4 Soil direct N2O</v>
      </c>
    </row>
    <row r="32" spans="1:4" ht="20" x14ac:dyDescent="0.25" customHeight="1">
      <c r="A32" s="5" t="str">
        <f>HYPERLINK("#'4.2.1.5-6 Soil Atmos Dep'!A1", "4.2.1.5-6 Soil atm. deposition")</f>
        <v>4.2.1.5-6 Soil atm. deposition</v>
      </c>
      <c r="D32" s="2" t="str">
        <f>"Emissions for whole production cycle running between " &amp; TEXT(X_Cell_Enterprise_ProductionTimeframeStart, "d mmmm yyyy") &amp; " and " &amp; TEXT(X_Cell_Enterprise_ProductionTimeframeEnd, "d mmmm yyyy")</f>
        <v>Emissions for whole production cycle running between 0 January 1900 and 0 January 1900</v>
      </c>
    </row>
    <row r="33" spans="1:12" x14ac:dyDescent="0.25" ht="20" customHeight="1">
      <c r="A33" s="5" t="str">
        <f>HYPERLINK("#'4.2.1.7-8 Soil leach runoff'!A1", "4.2.1.7-8 Soil leach &amp; runoff")</f>
        <v>4.2.1.7-8 Soil leach &amp; runoff</v>
      </c>
    </row>
    <row r="34" spans="1:12" x14ac:dyDescent="0.25" ht="20" customHeight="1">
      <c r="A34" s="5" t="str">
        <f>HYPERLINK("#'5.1.1.1-2 Inorganic fert N2O'!A1", "5.1.1.1-2 Inorganic fert N2O")</f>
        <v>5.1.1.1-2 Inorganic fert N2O</v>
      </c>
    </row>
    <row r="35" spans="1:12" x14ac:dyDescent="0.25" ht="20" customHeight="1">
      <c r="A35" s="5" t="str">
        <f>HYPERLINK("#'5.1.1.3-4 Inorganic fert CO2'!A1", "5.1.1.3-4 Inorganic fert CO2")</f>
        <v>5.1.1.3-4 Inorganic fert CO2</v>
      </c>
      <c r="D35" s="11"/>
      <c r="E35" s="11" t="s">
        <v>136</v>
      </c>
      <c r="F35" s="11" t="s">
        <v>137</v>
      </c>
      <c r="G35" s="11"/>
    </row>
    <row r="36" spans="1:12" x14ac:dyDescent="0.25" ht="20" customHeight="1">
      <c r="A36" s="5" t="str">
        <f>HYPERLINK("#'5.2.1.1-2 Organic Fert N2O'!A1", "5.2.1.1-2 Organic fert N2O")</f>
        <v>5.2.1.1-2 Organic fert N2O</v>
      </c>
      <c r="D36" s="77" t="s">
        <v>289</v>
      </c>
      <c r="E36" s="1">
        <f>Result_EmissionsForWholeProductionCycle_Method1</f>
        <v>0</v>
      </c>
      <c r="F36" s="1">
        <f>Result_EmissionsForWholeProductionCycle_Method2</f>
        <v>0</v>
      </c>
      <c r="G36" s="9" t="s">
        <v>6</v>
      </c>
    </row>
    <row r="37" spans="1:12" x14ac:dyDescent="0.25" ht="20" customHeight="1">
      <c r="A37" s="5" t="str">
        <f>HYPERLINK("#'5.3.1.1-2 Lime CO2'!A1", "5.3.1.1-2 Lime CO2")</f>
        <v>5.3.1.1-2 Lime CO2</v>
      </c>
      <c r="D37" s="77" t="s">
        <v>281</v>
      </c>
      <c r="E37" s="1">
        <f>Result_EmissionsForWholeProductionCycle_Method1-Result_CarbonRemovalsFromPlantings</f>
        <v>0</v>
      </c>
      <c r="F37" s="1">
        <f>Result_EmissionsForWholeProductionCycle_Method2-Result_CarbonRemovalsFromPlantings</f>
        <v>0</v>
      </c>
      <c r="G37" s="9" t="s">
        <v>6</v>
      </c>
    </row>
    <row r="38" spans="1:12" x14ac:dyDescent="0.25" ht="20" customHeight="1">
      <c r="A38" s="5" t="str">
        <f>HYPERLINK("#'5.4.1.1-4 Atmos deposition'!A1", "5.4.1.1-4 Atmos. deposition")</f>
        <v>5.4.1.1-4 Atmos. deposition</v>
      </c>
    </row>
    <row r="39" spans="1:12" x14ac:dyDescent="0.25" ht="20" customHeight="1">
      <c r="A39" s="5" t="str">
        <f>HYPERLINK("#'5.5.1.1-2 Leaching and runoff'!A1", "5.5.1.1-2 Leaching &amp; runoff")</f>
        <v>5.5.1.1-2 Leaching &amp; runoff</v>
      </c>
      <c r="D39" s="87"/>
      <c r="E39" s="87"/>
      <c r="F39" s="87"/>
      <c r="G39" s="87"/>
      <c r="H39" s="87"/>
      <c r="I39" s="87"/>
      <c r="J39" s="87"/>
    </row>
    <row r="40" spans="1:12" ht="20" x14ac:dyDescent="0.25" customHeight="1">
      <c r="A40" s="5" t="str">
        <f>HYPERLINK("#'6.2.1.1-2 Pasture residue N2O'!A1", "6.2.1.1-2 Pasture residue N2O")</f>
        <v>6.2.1.1-2 Pasture residue N2O</v>
      </c>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0 January 1900 and 0 January 1900</v>
      </c>
    </row>
    <row r="41" spans="1:12" x14ac:dyDescent="0.25" ht="20" customHeight="1">
      <c r="A41" s="5" t="str">
        <f>HYPERLINK("#'6.3.1.1-2 Leach runoff pasture'!A1", "6.3.1.1-2 Leach &amp; runoff (pasture)")</f>
        <v>6.3.1.1-2 Leach &amp; runoff (pasture)</v>
      </c>
    </row>
    <row r="42" spans="1:12" ht="20" x14ac:dyDescent="0.25" customHeight="1">
      <c r="A42" s="5" t="str">
        <f>HYPERLINK("#'8.1.1.1-2 Transport fuel'!A1", "8.1.1.1-2 Transport fuel")</f>
        <v>8.1.1.1-2 Transport fuel</v>
      </c>
      <c r="D42" s="79" t="s">
        <v>162</v>
      </c>
    </row>
    <row r="43" spans="1:12" x14ac:dyDescent="0.25" ht="20" customHeight="1">
      <c r="A43" s="5" t="str">
        <f>HYPERLINK("#'8.2.1.1-2 Stationary fuel'!A1", "8.2.1.1-2 Stationary fuel")</f>
        <v>8.2.1.1-2 Stationary fuel</v>
      </c>
      <c r="D43" s="11" t="s">
        <v>139</v>
      </c>
      <c r="E43" s="11" t="s">
        <v>126</v>
      </c>
      <c r="F43" s="11" t="s">
        <v>316</v>
      </c>
      <c r="G43" s="11" t="s">
        <v>317</v>
      </c>
      <c r="H43" s="11" t="s">
        <v>318</v>
      </c>
      <c r="I43" s="11" t="s">
        <v>319</v>
      </c>
      <c r="J43" s="11" t="s">
        <v>124</v>
      </c>
      <c r="K43" s="11" t="s">
        <v>125</v>
      </c>
      <c r="L43" s="11" t="s">
        <v>121</v>
      </c>
    </row>
    <row r="44" spans="1:12" x14ac:dyDescent="0.25" ht="20" customHeight="1">
      <c r="A44" s="5" t="str">
        <f>HYPERLINK("#'10.1.1-2 Solid waste treatment'!A1", "10.1.1.1-2 Solid waste")</f>
        <v>10.1.1.1-2 Solid waste</v>
      </c>
      <c r="D44" s="1" t="s">
        <v>166</v>
      </c>
      <c r="E44" s="1" t="s">
        <v>127</v>
      </c>
      <c r="F44" s="1">
        <f>X_Cell_Enterprise_LiveweightSold</f>
        <v>0</v>
      </c>
      <c r="G44" s="1">
        <f>X_Cell_Enterprise_LiveweightSold</f>
        <v>0</v>
      </c>
      <c r="H44" s="1" t="e">
        <f ca="1">F44/(F44+F46)</f>
        <v>#DIV/0!</v>
      </c>
      <c r="I44" s="1" t="e">
        <f ca="1">G44/(G44+G46)</f>
        <v>#DIV/0!</v>
      </c>
      <c r="J44" s="1" t="e">
        <f ca="1">(Result_EmissionsForWholeProductionCycle_Method1/F44)*H44</f>
        <v>#DIV/0!</v>
      </c>
      <c r="K44" s="1" t="e">
        <f ca="1">(Result_EmissionsForWholeProductionCycle_Method2/G44)*I44</f>
        <v>#DIV/0!</v>
      </c>
      <c r="L44" s="9" t="s">
        <v>122</v>
      </c>
    </row>
    <row r="45" spans="1:12" x14ac:dyDescent="0.25" ht="20" customHeight="1">
      <c r="A45" s="5" t="str">
        <f>HYPERLINK("#'14.1.1-2 Purchased electricity'!A1", "14.1.1-2 Purchased electricity")</f>
        <v>14.1.1-2 Purchased electricity</v>
      </c>
      <c r="D45" s="1" t="s">
        <v>167</v>
      </c>
      <c r="E45" s="1" t="s">
        <v>127</v>
      </c>
      <c r="F45" s="1">
        <f>F44</f>
        <v>0</v>
      </c>
      <c r="G45" s="1">
        <f>G44</f>
        <v>0</v>
      </c>
      <c r="H45" s="1" t="e">
        <f ca="1">H44</f>
        <v>#DIV/0!</v>
      </c>
      <c r="I45" s="1" t="e">
        <f ca="1">I44</f>
        <v>#DIV/0!</v>
      </c>
      <c r="J45" s="1" t="e">
        <f ca="1">(Result_NetEmissions_Method1/F45)*H45</f>
        <v>#DIV/0!</v>
      </c>
      <c r="K45" s="1" t="e">
        <f ca="1">(Result_NetEmissions_Method2/G45)*I45</f>
        <v>#DIV/0!</v>
      </c>
      <c r="L45" s="9" t="s">
        <v>122</v>
      </c>
    </row>
    <row r="46" spans="1:12" x14ac:dyDescent="0.25" ht="20" customHeight="1">
      <c r="A46" s="5" t="str">
        <f>HYPERLINK("#'15 Scope 3'!A1", "15 Scope 3")</f>
        <v>15 Scope 3</v>
      </c>
      <c r="D46" s="1" t="s">
        <v>168</v>
      </c>
      <c r="E46" s="1" t="s">
        <v>128</v>
      </c>
      <c r="F46" s="1">
        <f ca="1">X_Cell_Enteprise_ManureProduced_Method1*X_Cell_Enteprise_PercentManureSold</f>
        <v>0</v>
      </c>
      <c r="G46" s="1">
        <f ca="1">X_Cell_Enteprise_ManureProduced_Method2*X_Cell_Enteprise_PercentManureSold</f>
        <v>0</v>
      </c>
      <c r="H46" s="1" t="e">
        <f ca="1">F46/(F44+F46)</f>
        <v>#DIV/0!</v>
      </c>
      <c r="I46" s="1" t="e">
        <f ca="1">G46/(G44+G46)</f>
        <v>#DIV/0!</v>
      </c>
      <c r="J46" s="1" t="e">
        <f ca="1">(Result_EmissionsForWholeProductionCycle_Method1/F46)*H46</f>
        <v>#DIV/0!</v>
      </c>
      <c r="K46" s="1" t="e">
        <f ca="1">(Result_EmissionsForWholeProductionCycle_Method2/G46)*I46</f>
        <v>#DIV/0!</v>
      </c>
      <c r="L46" s="9" t="s">
        <v>123</v>
      </c>
    </row>
    <row r="47" spans="1:12" x14ac:dyDescent="0.25" ht="20" customHeight="1">
      <c r="A47" s="5" t="str">
        <f>HYPERLINK("#'Calcs - Manure sent off-site'!A1", "Calcs - Manure sent off-site")</f>
        <v>Calcs - Manure sent off-site</v>
      </c>
      <c r="D47" s="1" t="s">
        <v>169</v>
      </c>
      <c r="E47" s="1" t="s">
        <v>128</v>
      </c>
      <c r="F47" s="1">
        <f ca="1">F46</f>
        <v>0</v>
      </c>
      <c r="G47" s="1">
        <f ca="1">G46</f>
        <v>0</v>
      </c>
      <c r="H47" s="1" t="e">
        <f ca="1">H46</f>
        <v>#DIV/0!</v>
      </c>
      <c r="I47" s="1" t="e">
        <f ca="1">I46</f>
        <v>#DIV/0!</v>
      </c>
      <c r="J47" s="1" t="e">
        <f ca="1">(Result_NetEmissions_Method1/F47)*H47</f>
        <v>#DIV/0!</v>
      </c>
      <c r="K47" s="1" t="e">
        <f ca="1">(Result_NetEmissions_Method2/G47)*I47</f>
        <v>#DIV/0!</v>
      </c>
      <c r="L47" s="9" t="s">
        <v>123</v>
      </c>
    </row>
    <row r="48" spans="1:12" x14ac:dyDescent="0.25" ht="20" customHeight="1">
      <c r="D48" s="1" t="s">
        <v>129</v>
      </c>
      <c r="E48" s="1" t="s">
        <v>131</v>
      </c>
      <c r="F48" s="1">
        <f ca="1">X_Cell_Enteprise_ManureProduced_Method1*X_Cell_Enteprise_PercentManureAppliedAsFertiliserOwnFarm</f>
        <v>0</v>
      </c>
      <c r="G48" s="1">
        <f ca="1">X_Cell_Enteprise_ManureProduced_Method2*X_Cell_Enteprise_PercentManureAppliedAsFertiliserOwnFarm</f>
        <v>0</v>
      </c>
      <c r="H48" s="1" t="s">
        <v>130</v>
      </c>
      <c r="I48" s="1" t="s">
        <v>130</v>
      </c>
      <c r="J48" s="1" t="s">
        <v>130</v>
      </c>
      <c r="K48" s="1" t="s">
        <v>130</v>
      </c>
      <c r="L48" s="9"/>
    </row>
    <row r="50" spans="1:12" ht="20" x14ac:dyDescent="0.25" customHeight="1">
      <c r="A50" s="85" t="s">
        <v>1</v>
      </c>
      <c r="D50" s="79" t="s">
        <v>163</v>
      </c>
    </row>
    <row r="51" spans="1:12" x14ac:dyDescent="0.25" ht="20" customHeight="1">
      <c r="A51" s="5" t="str">
        <f>HYPERLINK("#'Constants - Pasture Beef'!A1", "Constants - Pasture Beef")</f>
        <v>Constants - Pasture Beef</v>
      </c>
      <c r="D51" s="11" t="s">
        <v>139</v>
      </c>
      <c r="E51" s="11" t="s">
        <v>126</v>
      </c>
      <c r="F51" s="11" t="s">
        <v>316</v>
      </c>
      <c r="G51" s="11" t="s">
        <v>317</v>
      </c>
      <c r="H51" s="11" t="s">
        <v>164</v>
      </c>
      <c r="I51" s="11"/>
      <c r="J51" s="11" t="s">
        <v>124</v>
      </c>
      <c r="K51" s="11" t="s">
        <v>125</v>
      </c>
      <c r="L51" s="11" t="s">
        <v>121</v>
      </c>
    </row>
    <row r="52" spans="1:12" x14ac:dyDescent="0.25" ht="20" customHeight="1">
      <c r="A52" s="5" t="str">
        <f>HYPERLINK("#'Constants - Ag Residue'!A1", "Constants - Ag residue")</f>
        <v>Constants - Ag residue</v>
      </c>
      <c r="D52" s="1" t="s">
        <v>166</v>
      </c>
      <c r="E52" s="1" t="s">
        <v>127</v>
      </c>
      <c r="F52" s="1">
        <f t="shared" ref="F52:G56" si="0">F44</f>
        <v>0</v>
      </c>
      <c r="G52" s="1">
        <f t="shared" si="0"/>
        <v>0</v>
      </c>
      <c r="H52" s="1">
        <f>X_Cell_Enteprise_PercentIncomeFromLiveweight</f>
        <v>0</v>
      </c>
      <c r="J52" s="1" t="e">
        <f>(Result_EmissionsForWholeProductionCycle_Method1/F52)*H52</f>
        <v>#DIV/0!</v>
      </c>
      <c r="K52" s="1" t="e">
        <f>(Result_EmissionsForWholeProductionCycle_Method2/G52)*H52</f>
        <v>#DIV/0!</v>
      </c>
      <c r="L52" s="9" t="s">
        <v>122</v>
      </c>
    </row>
    <row r="53" spans="1:12" x14ac:dyDescent="0.25" ht="20" customHeight="1">
      <c r="A53" s="5" t="str">
        <f>HYPERLINK("#'Constants - Common Livestock'!A1", "Constants - Common Livestock")</f>
        <v>Constants - Common Livestock</v>
      </c>
      <c r="D53" s="1" t="s">
        <v>167</v>
      </c>
      <c r="E53" s="1" t="s">
        <v>127</v>
      </c>
      <c r="F53" s="1">
        <f t="shared" si="0"/>
        <v>0</v>
      </c>
      <c r="G53" s="1">
        <f t="shared" si="0"/>
        <v>0</v>
      </c>
      <c r="H53" s="1">
        <f>H52</f>
        <v>0</v>
      </c>
      <c r="J53" s="1" t="e">
        <f>(Result_NetEmissions_Method1/F53)*H53</f>
        <v>#DIV/0!</v>
      </c>
      <c r="K53" s="1" t="e">
        <f>(Result_NetEmissions_Method2/G53)*H53</f>
        <v>#DIV/0!</v>
      </c>
      <c r="L53" s="9" t="s">
        <v>122</v>
      </c>
    </row>
    <row r="54" spans="1:12" x14ac:dyDescent="0.25" ht="20" customHeight="1">
      <c r="A54" s="5" t="str">
        <f>HYPERLINK("#'Constants - Electricity'!A1", "Constants - Electricity")</f>
        <v>Constants - Electricity</v>
      </c>
      <c r="D54" s="1" t="s">
        <v>168</v>
      </c>
      <c r="E54" s="1" t="s">
        <v>128</v>
      </c>
      <c r="F54" s="1">
        <f t="shared" ca="1" si="0"/>
        <v>0</v>
      </c>
      <c r="G54" s="1">
        <f t="shared" ca="1" si="0"/>
        <v>0</v>
      </c>
      <c r="H54" s="1">
        <f>X_Cell_Enteprise_PercentIncomeFromManure</f>
        <v>0</v>
      </c>
      <c r="J54" s="1" t="e">
        <f ca="1">(Result_EmissionsForWholeProductionCycle_Method1/F54)*H54</f>
        <v>#DIV/0!</v>
      </c>
      <c r="K54" s="1" t="e">
        <f ca="1">(Result_EmissionsForWholeProductionCycle_Method2/G54)*H54</f>
        <v>#DIV/0!</v>
      </c>
      <c r="L54" s="9" t="s">
        <v>123</v>
      </c>
    </row>
    <row r="55" spans="1:12" x14ac:dyDescent="0.25" ht="20" customHeight="1">
      <c r="A55" s="5" t="str">
        <f>HYPERLINK("#'Constants - Fertiliser'!A1", "Constants - Fertiliser")</f>
        <v>Constants - Fertiliser</v>
      </c>
      <c r="D55" s="1" t="s">
        <v>169</v>
      </c>
      <c r="E55" s="1" t="s">
        <v>128</v>
      </c>
      <c r="F55" s="1">
        <f t="shared" ca="1" si="0"/>
        <v>0</v>
      </c>
      <c r="G55" s="1">
        <f t="shared" ca="1" si="0"/>
        <v>0</v>
      </c>
      <c r="H55" s="1">
        <f>H54</f>
        <v>0</v>
      </c>
      <c r="J55" s="1" t="e">
        <f ca="1">(Result_NetEmissions_Method1/F55)*H55</f>
        <v>#DIV/0!</v>
      </c>
      <c r="K55" s="1" t="e">
        <f ca="1">(Result_NetEmissions_Method2/G55)*H55</f>
        <v>#DIV/0!</v>
      </c>
      <c r="L55" s="9" t="s">
        <v>123</v>
      </c>
    </row>
    <row r="56" spans="1:12" x14ac:dyDescent="0.25" ht="20" customHeight="1">
      <c r="A56" s="5" t="str">
        <f>HYPERLINK("#'Constants - Fuel'!A1", "Constants - Fuel")</f>
        <v>Constants - Fuel</v>
      </c>
      <c r="D56" s="1" t="s">
        <v>129</v>
      </c>
      <c r="E56" s="1" t="s">
        <v>131</v>
      </c>
      <c r="F56" s="1">
        <f t="shared" ca="1" si="0"/>
        <v>0</v>
      </c>
      <c r="G56" s="1">
        <f t="shared" ca="1" si="0"/>
        <v>0</v>
      </c>
      <c r="H56" s="1" t="s">
        <v>130</v>
      </c>
      <c r="J56" s="1" t="s">
        <v>130</v>
      </c>
      <c r="K56" s="1" t="s">
        <v>130</v>
      </c>
      <c r="L56" s="9"/>
    </row>
    <row r="57" spans="1:12" x14ac:dyDescent="0.25" ht="20" customHeight="1">
      <c r="A57" s="5" t="str">
        <f>HYPERLINK("#'Constants - Scope 3'!A1", "Constants - Scope 3")</f>
        <v>Constants - Scope 3</v>
      </c>
    </row>
    <row r="58" spans="1:12" ht="20" x14ac:dyDescent="0.25" customHeight="1">
      <c r="A58" s="5" t="str">
        <f>HYPERLINK("#'Constants - Solid Waste'!A1", "Constants - Solid Waste")</f>
        <v>Constants - Solid Waste</v>
      </c>
      <c r="D58" s="79" t="s">
        <v>165</v>
      </c>
    </row>
    <row r="59" spans="1:12" x14ac:dyDescent="0.25" ht="20" customHeight="1">
      <c r="A59" s="5" t="str">
        <f>HYPERLINK("#'Constants - Common'!A1", "Constants - Common")</f>
        <v>Constants - Common</v>
      </c>
      <c r="D59" s="11" t="s">
        <v>139</v>
      </c>
      <c r="E59" s="11" t="s">
        <v>126</v>
      </c>
      <c r="F59" s="11" t="s">
        <v>316</v>
      </c>
      <c r="G59" s="11" t="s">
        <v>317</v>
      </c>
      <c r="H59" s="11"/>
      <c r="I59" s="11"/>
      <c r="J59" s="11" t="s">
        <v>124</v>
      </c>
      <c r="K59" s="11" t="s">
        <v>125</v>
      </c>
      <c r="L59" s="11" t="s">
        <v>121</v>
      </c>
    </row>
    <row r="60" spans="1:12" x14ac:dyDescent="0.25" ht="20" customHeight="1">
      <c r="A60" s="5" t="str">
        <f>HYPERLINK("#'Acknowledgements'!A1", "Acknowledgements")</f>
        <v>Acknowledgements</v>
      </c>
      <c r="D60" s="1" t="s">
        <v>138</v>
      </c>
      <c r="E60" s="1" t="s">
        <v>130</v>
      </c>
      <c r="F60" s="1">
        <f>X_Cell_Enteprise_LiveweightGrown_Method1</f>
        <v>0</v>
      </c>
      <c r="G60" s="1">
        <f>X_Cell_Enteprise_LiveweightGrown_Method2</f>
        <v>0</v>
      </c>
      <c r="J60" s="1" t="e">
        <f>Result_NetEmissions_Method1/F60</f>
        <v>#DIV/0!</v>
      </c>
      <c r="K60" s="1" t="e">
        <f>Result_NetEmissions_Method1/G60</f>
        <v>#DIV/0!</v>
      </c>
      <c r="L60" s="9" t="s">
        <v>140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73"/>
  <sheetViews>
    <sheetView showGridLines="0" zoomScaleNormal="100" workbookViewId="0">
      <pane xSplit="1" topLeftCell="B1" activePane="topRight" state="frozen"/>
      <selection pane="topRight" activeCell="A59" sqref="A59"/>
      <extLst>
        <ext xmlns:xlsdti="http://schemas.microsoft.com/office/spreadsheetml/2023/showDataTypeIcons" uri="{77bfe23e-c014-4d31-8a63-9c772dbf06b6}">
          <xlsdti:showDataTypeIcons visible="0"/>
        </ext>
      </extLst>
    </sheetView>
  </sheetViews>
  <sheetFormatPr defaultRowHeight="20" x14ac:dyDescent="0.25" customHeight="1"/>
  <cols>
    <col min="1" max="1" width="36.7109375" customWidth="1"/>
    <col min="2" max="2" width="4.7109375" customWidth="1"/>
    <col min="3" max="3" width="4.7109375" style="1" customWidth="1"/>
    <col min="4" max="4" width="69.28515625" style="1" customWidth="1"/>
    <col min="5" max="5" width="30.7109375" style="1" customWidth="1"/>
    <col min="6" max="6" width="36.28515625" style="1" customWidth="1"/>
    <col min="7" max="7" width="36.140625" style="1" customWidth="1"/>
    <col min="8" max="9" width="30.7109375" style="1" customWidth="1"/>
    <col min="10" max="10" width="4.7109375" style="1" customWidth="1"/>
    <col min="11" max="11" width="30.7109375" customWidth="1"/>
  </cols>
  <sheetData>
    <row r="1" spans="1:10" ht="30" x14ac:dyDescent="0.35" customHeight="1">
      <c r="A1" s="10" t="e" vm="1">
        <v>#VALUE!</v>
      </c>
      <c r="C1" s="28" t="s">
        <v>156</v>
      </c>
      <c r="D1" s="22"/>
      <c r="E1" s="22"/>
      <c r="F1" s="22"/>
      <c r="G1" s="22"/>
      <c r="H1" s="22"/>
      <c r="I1" s="22"/>
      <c r="J1" s="22"/>
    </row>
    <row r="2" spans="1:10" x14ac:dyDescent="0.25" ht="20" customHeight="1">
      <c r="C2" s="3"/>
      <c r="D2" s="3"/>
      <c r="E2" s="3"/>
      <c r="F2" s="3"/>
      <c r="G2" s="3"/>
      <c r="H2" s="3"/>
      <c r="I2" s="3"/>
      <c r="J2" s="3"/>
    </row>
    <row r="3" spans="1:10" ht="20" x14ac:dyDescent="0.25" customHeight="1">
      <c r="A3" s="5" t="str">
        <f>HYPERLINK("#'Home'!A1", "Home")</f>
        <v>Home</v>
      </c>
      <c r="C3" s="29"/>
      <c r="D3" s="29"/>
      <c r="E3" s="29"/>
      <c r="F3" s="29"/>
      <c r="G3" s="29"/>
      <c r="H3" s="29"/>
      <c r="I3" s="29"/>
      <c r="J3" s="29"/>
    </row>
    <row r="4" spans="1:10" x14ac:dyDescent="0.25" ht="20" customHeight="1">
      <c r="A4" s="5" t="str">
        <f>HYPERLINK("#'Results - Activity period'!A1", "Results - Activity period")</f>
        <v>Results - Activity period</v>
      </c>
    </row>
    <row r="5" spans="1:10" ht="20" x14ac:dyDescent="0.25" customHeight="1">
      <c r="A5" s="5" t="str">
        <f>HYPERLINK("#'Results - Product EI'!A1", "Results - Product Emissions Intensity")</f>
        <v>Results - Product Emissions Intensity</v>
      </c>
      <c r="D5" s="2" t="s">
        <v>96</v>
      </c>
      <c r="E5" s="25"/>
      <c r="F5" s="25"/>
      <c r="G5" s="25"/>
    </row>
    <row r="6" spans="1:10" x14ac:dyDescent="0.25" ht="20" customHeight="1">
      <c r="D6" s="32"/>
      <c r="E6" s="25"/>
      <c r="F6" s="25"/>
      <c r="G6" s="25"/>
    </row>
    <row r="7" spans="1:10" x14ac:dyDescent="0.25" ht="20" customHeight="1">
      <c r="D7" s="1" t="s">
        <v>97</v>
      </c>
      <c r="E7" s="34"/>
      <c r="F7" s="16"/>
      <c r="G7" s="25"/>
    </row>
    <row r="8" spans="1:10" x14ac:dyDescent="0.25" ht="20" customHeight="1">
      <c r="A8" s="7" t="s">
        <v>0</v>
      </c>
      <c r="D8" s="12" t="s">
        <v>98</v>
      </c>
      <c r="E8" s="34"/>
      <c r="F8" s="25"/>
      <c r="G8" s="25"/>
    </row>
    <row r="9" spans="1:10" x14ac:dyDescent="0.25" ht="20" customHeight="1">
      <c r="A9" s="99" t="str">
        <f>HYPERLINK("#'Input - Enterprise'!A1", "Enterprise")</f>
        <v>Enterprise</v>
      </c>
      <c r="D9" s="25"/>
      <c r="E9" s="25"/>
      <c r="F9" s="25"/>
      <c r="G9" s="25"/>
    </row>
    <row r="10" spans="1:10" x14ac:dyDescent="0.25" ht="20" customHeight="1">
      <c r="A10" s="5" t="str">
        <f>HYPERLINK("#'Input - Site'!A1", "Site")</f>
        <v>Site</v>
      </c>
      <c r="D10" s="36" t="s">
        <v>99</v>
      </c>
      <c r="E10" s="37"/>
      <c r="F10" s="38"/>
      <c r="G10" s="39"/>
    </row>
    <row r="11" spans="1:10" x14ac:dyDescent="0.25" ht="20" customHeight="1">
      <c r="A11" s="5" t="str">
        <f>HYPERLINK("#'Input - Pasture Beef'!A1", "Pasture Beef")</f>
        <v>Pasture Beef</v>
      </c>
      <c r="D11" s="25"/>
      <c r="E11" s="25"/>
      <c r="F11" s="25"/>
      <c r="G11" s="25"/>
    </row>
    <row r="12" spans="1:10" x14ac:dyDescent="0.25" ht="20" customHeight="1">
      <c r="A12" s="5" t="str">
        <f>HYPERLINK("#'Input - Livestock sales'!A1", "Livestock sales")</f>
        <v>Livestock sales</v>
      </c>
      <c r="D12" s="12" t="s">
        <v>19</v>
      </c>
      <c r="E12" s="14"/>
      <c r="F12" s="16" t="s">
        <v>100</v>
      </c>
      <c r="G12" s="25"/>
    </row>
    <row r="13" spans="1:10" x14ac:dyDescent="0.25" ht="20" customHeight="1">
      <c r="A13" s="5" t="str">
        <f>HYPERLINK("#'Input - Beef cattle purchases'!A1", "Beef cattle purchases")</f>
        <v>Beef cattle purchases</v>
      </c>
      <c r="D13" s="12" t="s">
        <v>20</v>
      </c>
      <c r="E13" s="41">
        <f>DATE(YEAR(E12)+1,MONTH(E12),DAY(E12))-1</f>
        <v>365</v>
      </c>
      <c r="F13" s="16" t="s">
        <v>101</v>
      </c>
      <c r="G13" s="25"/>
    </row>
    <row r="14" spans="1:10" x14ac:dyDescent="0.25" ht="20" customHeight="1">
      <c r="A14" s="5" t="str">
        <f>HYPERLINK("#'Input - Pasture'!A1", "Pasture")</f>
        <v>Pasture</v>
      </c>
      <c r="F14" s="25"/>
      <c r="G14" s="25"/>
    </row>
    <row r="15" spans="1:10" x14ac:dyDescent="0.25" ht="20" customHeight="1">
      <c r="A15" s="5" t="str">
        <f>HYPERLINK("#'Input - Fert Prod System'!A1", "Fert Prod System")</f>
        <v>Fert Prod System</v>
      </c>
    </row>
    <row r="16" spans="1:10" ht="20" x14ac:dyDescent="0.25" customHeight="1">
      <c r="A16" s="5" t="str">
        <f>HYPERLINK("#'Input - Fertiliser'!A1", "Fertiliser")</f>
        <v>Fertiliser</v>
      </c>
      <c r="D16" s="2" t="s">
        <v>21</v>
      </c>
    </row>
    <row r="17" spans="1:7" x14ac:dyDescent="0.25" ht="20" customHeight="1">
      <c r="A17" s="5" t="str">
        <f>HYPERLINK("#'Input - Fuel'!A1", "Fuel")</f>
        <v>Fuel</v>
      </c>
    </row>
    <row r="18" spans="1:7" x14ac:dyDescent="0.25" ht="20" customHeight="1">
      <c r="A18" s="5" t="str">
        <f>HYPERLINK("#'Input - Electricity'!A1", "Electricity")</f>
        <v>Electricity</v>
      </c>
      <c r="D18" s="1" t="s">
        <v>16</v>
      </c>
      <c r="E18" s="14"/>
      <c r="F18" s="16" t="s">
        <v>100</v>
      </c>
    </row>
    <row r="19" spans="1:7" x14ac:dyDescent="0.25" ht="20" customHeight="1">
      <c r="A19" s="5" t="str">
        <f>HYPERLINK("#'Input - Common farm inputs'!A1", "Common farm inputs")</f>
        <v>Common farm inputs</v>
      </c>
      <c r="D19" s="1" t="s">
        <v>17</v>
      </c>
      <c r="E19" s="14"/>
      <c r="F19" s="16" t="s">
        <v>100</v>
      </c>
    </row>
    <row r="20" spans="1:7" x14ac:dyDescent="0.25" ht="20" customHeight="1">
      <c r="A20" s="5" t="str">
        <f>HYPERLINK("#'Input - Crop pasture farm input'!A1", "Crop pasture farm input")</f>
        <v>Crop pasture farm input</v>
      </c>
      <c r="D20" s="1" t="s">
        <v>18</v>
      </c>
      <c r="E20" s="15">
        <f>DATEDIF(E18,E19+1,"m")</f>
        <v>0</v>
      </c>
      <c r="F20" s="16" t="s">
        <v>120</v>
      </c>
    </row>
    <row r="21" spans="1:7" x14ac:dyDescent="0.25" ht="20" customHeight="1">
      <c r="A21" s="5" t="str">
        <f>HYPERLINK("#'Input - Livestock farm Inputs'!A1", "Livestock farm Inputs")</f>
        <v>Livestock farm Inputs</v>
      </c>
    </row>
    <row r="22" spans="1:7" x14ac:dyDescent="0.25" ht="20" customHeight="1">
      <c r="A22" s="5" t="str">
        <f>HYPERLINK("#'Input - Freight'!A1", "Freight")</f>
        <v>Freight</v>
      </c>
      <c r="D22" s="1" t="s">
        <v>22</v>
      </c>
      <c r="E22" s="78">
        <f>SUM(Table_Input_LivestockSales[Total liveweight sold])*10^-3</f>
        <v>0</v>
      </c>
      <c r="G22" s="16" t="s">
        <v>28</v>
      </c>
    </row>
    <row r="23" spans="1:7" x14ac:dyDescent="0.25" ht="20" customHeight="1">
      <c r="A23" s="5" t="str">
        <f>HYPERLINK("#'Input - Solid waste'!A1", "Solid waste")</f>
        <v>Solid waste</v>
      </c>
      <c r="D23" s="1" t="s">
        <v>23</v>
      </c>
      <c r="E23" s="78">
        <f>SUM(Enterprise_PastureBeef_InputFunctions.multiplyCorrespondingCells([0]!X_Table_PastureBeef_Head_Method1, [0]!X_Table_PastureBeef_Duration_Method1, [0]!X_Table_PastureBeef_LiveweightGain_Method1))*10^-3</f>
        <v>0</v>
      </c>
      <c r="G23" s="16" t="s">
        <v>28</v>
      </c>
    </row>
    <row r="24" spans="1:7" x14ac:dyDescent="0.25" ht="20" customHeight="1">
      <c r="A24" s="5" t="str">
        <f>HYPERLINK("#'Input - Manure sent off-site'!A1", "Manure sent off-site")</f>
        <v>Manure sent off-site</v>
      </c>
      <c r="D24" s="1" t="s">
        <v>24</v>
      </c>
      <c r="E24" s="78">
        <f>SUM(Enterprise_PastureBeef_InputFunctions.multiplyCorrespondingCells([0]!X_Table_PastureBeef_Head_Method2, [0]!X_Table_PastureBeef_Duration_Method2, [0]!X_Table_PastureBeef_LiveweightGain_Method2))*10^-3</f>
        <v>0</v>
      </c>
      <c r="G24" s="16" t="s">
        <v>28</v>
      </c>
    </row>
    <row r="25" spans="1:7" x14ac:dyDescent="0.25" ht="20" customHeight="1">
      <c r="A25" s="5" t="str">
        <f>HYPERLINK("#'Input - Data quality'!A1", "Data quality")</f>
        <v>Data quality</v>
      </c>
      <c r="D25" s="1" t="s">
        <v>158</v>
      </c>
      <c r="E25" s="78">
        <f ca="1">SUM(Enterprise_PastureBeef_InputFunctions.multiplyCorrespondingCells([0]!X_Table_PastureBeef_Head_Method1, [0]!X_Table_PastureBeef_Duration_Method1, [0]!M1_Table_VS_j_k_l))*10^-3</f>
        <v>0</v>
      </c>
      <c r="G25" s="16" t="s">
        <v>28</v>
      </c>
    </row>
    <row r="26" spans="1:7" x14ac:dyDescent="0.25" ht="20" customHeight="1">
      <c r="D26" s="1" t="s">
        <v>159</v>
      </c>
      <c r="E26" s="78">
        <f ca="1">SUM(Enterprise_PastureBeef_InputFunctions.multiplyCorrespondingCells([0]!X_Table_PastureBeef_Head_Method2, [0]!X_Table_PastureBeef_Duration_Method2, M2_Table_VS_j_k_l))*10^-3</f>
        <v>0</v>
      </c>
      <c r="G26" s="16" t="s">
        <v>28</v>
      </c>
    </row>
    <row r="27" spans="1:7" x14ac:dyDescent="0.25" ht="20" customHeight="1">
      <c r="D27" s="1" t="s">
        <v>25</v>
      </c>
      <c r="E27" s="18"/>
      <c r="G27" s="16" t="s">
        <v>157</v>
      </c>
    </row>
    <row r="28" spans="1:7" x14ac:dyDescent="0.25" ht="20" customHeight="1">
      <c r="A28" s="6" t="s">
        <v>2</v>
      </c>
      <c r="D28" s="1" t="s">
        <v>26</v>
      </c>
      <c r="E28" s="18"/>
      <c r="G28" s="16" t="s">
        <v>157</v>
      </c>
    </row>
    <row r="29" spans="1:7" x14ac:dyDescent="0.25" ht="20" customHeight="1">
      <c r="A29" s="5" t="str">
        <f>HYPERLINK("#'3.2.1.1-2 Enteric Methane'!A1", "3.2.1.1-2 Enteric Methane")</f>
        <v>3.2.1.1-2 Enteric Methane</v>
      </c>
      <c r="D29" s="1" t="s">
        <v>27</v>
      </c>
      <c r="E29" s="19">
        <f>100%-E27-E28</f>
        <v>1</v>
      </c>
      <c r="G29" s="16" t="s">
        <v>157</v>
      </c>
    </row>
    <row r="30" spans="1:7" x14ac:dyDescent="0.25" ht="20" customHeight="1">
      <c r="A30" s="5" t="str">
        <f>HYPERLINK("#'4.2.1.1-2 Methane'!A1", "4.2.1.1-2 Manure methane")</f>
        <v>4.2.1.1-2 Manure methane</v>
      </c>
    </row>
    <row r="31" spans="1:7" x14ac:dyDescent="0.25" ht="20" customHeight="1">
      <c r="A31" s="5" t="str">
        <f>HYPERLINK("#'4.2.1.3-4 Soil direct N20'!A1", "4.2.1.3-4 Soil direct N2O")</f>
        <v>4.2.1.3-4 Soil direct N2O</v>
      </c>
      <c r="D31" s="1" t="s">
        <v>160</v>
      </c>
      <c r="E31" s="18"/>
      <c r="G31" s="16" t="s">
        <v>157</v>
      </c>
    </row>
    <row r="32" spans="1:7" x14ac:dyDescent="0.25" ht="20" customHeight="1">
      <c r="A32" s="5" t="str">
        <f>HYPERLINK("#'4.2.1.5-6 Soil Atmos Dep'!A1", "4.2.1.5-6 Soil atm. deposition")</f>
        <v>4.2.1.5-6 Soil atm. deposition</v>
      </c>
      <c r="D32" s="1" t="s">
        <v>161</v>
      </c>
      <c r="E32" s="18"/>
      <c r="G32" s="16" t="s">
        <v>157</v>
      </c>
    </row>
    <row r="33" spans="1:7" x14ac:dyDescent="0.25" ht="20" customHeight="1">
      <c r="A33" s="5" t="str">
        <f>HYPERLINK("#'4.2.1.7-8 Soil leach runoff'!A1", "4.2.1.7-8 Soil leach &amp; runoff")</f>
        <v>4.2.1.7-8 Soil leach &amp; runoff</v>
      </c>
    </row>
    <row r="34" spans="1:7" x14ac:dyDescent="0.25" ht="20" customHeight="1">
      <c r="A34" s="5" t="str">
        <f>HYPERLINK("#'5.1.1.1-2 Inorganic fert N2O'!A1", "5.1.1.1-2 Inorganic fert N2O")</f>
        <v>5.1.1.1-2 Inorganic fert N2O</v>
      </c>
    </row>
    <row r="35" spans="1:7" x14ac:dyDescent="0.25" ht="20" customHeight="1">
      <c r="A35" s="5" t="str">
        <f>HYPERLINK("#'5.1.1.3-4 Inorganic fert CO2'!A1", "5.1.1.3-4 Inorganic fert CO2")</f>
        <v>5.1.1.3-4 Inorganic fert CO2</v>
      </c>
    </row>
    <row r="36" spans="1:7" x14ac:dyDescent="0.25" ht="20" customHeight="1">
      <c r="A36" s="5" t="str">
        <f>HYPERLINK("#'5.2.1.1-2 Organic Fert N2O'!A1", "5.2.1.1-2 Organic fert N2O")</f>
        <v>5.2.1.1-2 Organic fert N2O</v>
      </c>
    </row>
    <row r="37" spans="1:7" ht="20" x14ac:dyDescent="0.25" customHeight="1">
      <c r="A37" s="5" t="str">
        <f>HYPERLINK("#'5.3.1.1-2 Lime CO2'!A1", "5.3.1.1-2 Lime CO2")</f>
        <v>5.3.1.1-2 Lime CO2</v>
      </c>
      <c r="D37" s="2" t="s">
        <v>287</v>
      </c>
    </row>
    <row r="38" spans="1:7" x14ac:dyDescent="0.25" ht="20" customHeight="1">
      <c r="A38" s="5" t="str">
        <f>HYPERLINK("#'5.4.1.1-4 Atmos deposition'!A1", "5.4.1.1-4 Atmos. deposition")</f>
        <v>5.4.1.1-4 Atmos. deposition</v>
      </c>
    </row>
    <row r="39" spans="1:7" x14ac:dyDescent="0.25" ht="20" customHeight="1">
      <c r="A39" s="5" t="str">
        <f>HYPERLINK("#'5.5.1.1-2 Leaching and runoff'!A1", "5.5.1.1-2 Leaching &amp; runoff")</f>
        <v>5.5.1.1-2 Leaching &amp; runoff</v>
      </c>
    </row>
    <row r="40" spans="1:7" ht="20" x14ac:dyDescent="0.25" customHeight="1">
      <c r="A40" s="5" t="str">
        <f>HYPERLINK("#'6.2.1.1-2 Pasture residue N2O'!A1", "6.2.1.1-2 Pasture residue N2O")</f>
        <v>6.2.1.1-2 Pasture residue N2O</v>
      </c>
      <c r="D40" s="79" t="str">
        <f>"Carbon captured from " &amp; TEXT(X_Cell_Site_StartDate, "d mmmm yyyy") &amp; " to " &amp; TEXT(X_Cell_Site_EndDate, "d, mmmm, yyyy") &amp; " from environmental plantings"</f>
        <v>Carbon captured from 0 January 1900 to 30, December, 1900 from environmental plantings</v>
      </c>
    </row>
    <row r="41" spans="1:7" x14ac:dyDescent="0.25" ht="20" customHeight="1">
      <c r="A41" s="5" t="str">
        <f>HYPERLINK("#'6.3.1.1-2 Leach runoff pasture'!A1", "6.3.1.1-2 Leach &amp; runoff (pasture)")</f>
        <v>6.3.1.1-2 Leach &amp; runoff (pasture)</v>
      </c>
    </row>
    <row r="42" spans="1:7" x14ac:dyDescent="0.25" ht="20" customHeight="1">
      <c r="A42" s="5" t="str">
        <f>HYPERLINK("#'8.1.1.1-2 Transport fuel'!A1", "8.1.1.1-2 Transport fuel")</f>
        <v>8.1.1.1-2 Transport fuel</v>
      </c>
      <c r="D42" s="20" t="s">
        <v>282</v>
      </c>
      <c r="E42" s="20" t="s">
        <v>283</v>
      </c>
      <c r="F42" s="20" t="s">
        <v>284</v>
      </c>
      <c r="G42" s="82" t="s">
        <v>286</v>
      </c>
    </row>
    <row r="43" spans="1:7" x14ac:dyDescent="0.25" ht="20" customHeight="1">
      <c r="A43" s="5" t="str">
        <f>HYPERLINK("#'8.2.1.1-2 Stationary fuel'!A1", "8.2.1.1-2 Stationary fuel")</f>
        <v>8.2.1.1-2 Stationary fuel</v>
      </c>
      <c r="D43" s="34"/>
      <c r="E43" s="76"/>
      <c r="F43" s="18"/>
      <c r="G43" s="1">
        <f>Table_Input_Enterprise_PlantingRemovals[[#This Row],[Total removed CO2]]*Table_Input_Enterprise_PlantingRemovals[[#This Row],[Percent allocated to this enterprise]]</f>
        <v>0</v>
      </c>
    </row>
    <row r="44" spans="1:7" x14ac:dyDescent="0.25" ht="20" customHeight="1">
      <c r="A44" s="5" t="str">
        <f>HYPERLINK("#'10.1.1-2 Solid waste treatment'!A1", "10.1.1.1-2 Solid waste")</f>
        <v>10.1.1.1-2 Solid waste</v>
      </c>
    </row>
    <row r="45" spans="1:7" x14ac:dyDescent="0.25" ht="20" customHeight="1">
      <c r="A45" s="5" t="str">
        <f>HYPERLINK("#'14.1.1-2 Purchased electricity'!A1", "14.1.1-2 Purchased electricity")</f>
        <v>14.1.1-2 Purchased electricity</v>
      </c>
    </row>
    <row r="46" spans="1:7" x14ac:dyDescent="0.25" ht="20" customHeight="1">
      <c r="A46" s="5" t="str">
        <f>HYPERLINK("#'15 Scope 3'!A1", "15 Scope 3")</f>
        <v>15 Scope 3</v>
      </c>
    </row>
    <row r="47" spans="1:7" ht="20" x14ac:dyDescent="0.25" customHeight="1">
      <c r="A47" s="5" t="str">
        <f>HYPERLINK("#'Calcs - Manure sent off-site'!A1", "Calcs - Manure sent off-site")</f>
        <v>Calcs - Manure sent off-site</v>
      </c>
      <c r="D47" s="2" t="s">
        <v>288</v>
      </c>
    </row>
    <row r="49" spans="1:7" ht="20" x14ac:dyDescent="0.25" customHeight="1">
      <c r="D49" s="79"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0 January 1900 to 0 January 1900</v>
      </c>
    </row>
    <row r="50" spans="1:7" x14ac:dyDescent="0.25" ht="20" customHeight="1">
      <c r="A50" s="85" t="s">
        <v>1</v>
      </c>
    </row>
    <row r="51" spans="1:7" x14ac:dyDescent="0.25" ht="20" customHeight="1">
      <c r="A51" s="5" t="str">
        <f>HYPERLINK("#'Constants - Pasture Beef'!A1", "Constants - Pasture Beef")</f>
        <v>Constants - Pasture Beef</v>
      </c>
      <c r="D51" s="80" t="e" cm="1">
        <f t="array" ref="D51">"There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#NUM!</v>
      </c>
    </row>
    <row r="52" spans="1:7" x14ac:dyDescent="0.25" ht="20" customHeight="1">
      <c r="A52" s="5" t="str">
        <f>HYPERLINK("#'Constants - Ag Residue'!A1", "Constants - Ag residue")</f>
        <v>Constants - Ag residue</v>
      </c>
      <c r="D52" s="1" t="s">
        <v>285</v>
      </c>
    </row>
    <row r="53" spans="1:7" x14ac:dyDescent="0.25" ht="20" customHeight="1">
      <c r="A53" s="5" t="str">
        <f>HYPERLINK("#'Constants - Common Livestock'!A1", "Constants - Common Livestock")</f>
        <v>Constants - Common Livestock</v>
      </c>
    </row>
    <row r="54" spans="1:7" x14ac:dyDescent="0.25" ht="20" customHeight="1">
      <c r="A54" s="5" t="str">
        <f>HYPERLINK("#'Constants - Electricity'!A1", "Constants - Electricity")</f>
        <v>Constants - Electricity</v>
      </c>
      <c r="D54" s="82" t="s">
        <v>119</v>
      </c>
      <c r="E54" s="82" t="s">
        <v>9</v>
      </c>
      <c r="F54" s="82" t="s">
        <v>10</v>
      </c>
    </row>
    <row r="55" spans="1:7" x14ac:dyDescent="0.25" ht="20" customHeight="1">
      <c r="A55" s="5" t="str">
        <f>HYPERLINK("#'Constants - Fertiliser'!A1", "Constants - Fertiliser")</f>
        <v>Constants - Fertiliser</v>
      </c>
      <c r="D55" s="1" t="e" cm="1">
        <f t="array" ref="D55">Common_InputFunctions.getOverlappingReportingPeriods(X_Cell_Enterprise_ProductionTimeframeStart,X_Cell_Enterprise_ProductionTimeframeEnd,X_Cell_Site_StartDate)</f>
        <v>#NUM!</v>
      </c>
      <c r="E55" s="76" t="str">
        <f>IF(ISBLANK($D55), 0, IF(ISNUMBER(SEARCH("reporting", $D55)), Result_Enterprise_Scope1_Method1, "Enter value"))</f>
        <v>Enter value</v>
      </c>
      <c r="F55" s="76" t="str">
        <f>IF(ISBLANK($D55), 0, IF(ISNUMBER(SEARCH("reporting", $D55)), Result_Enterprise_Scope1_Method2, "Enter value"))</f>
        <v>Enter value</v>
      </c>
      <c r="G55" s="9" t="s">
        <v>6</v>
      </c>
    </row>
    <row r="56" spans="1:7" x14ac:dyDescent="0.25" ht="20" customHeight="1">
      <c r="A56" s="5" t="str">
        <f>HYPERLINK("#'Constants - Fuel'!A1", "Constants - Fuel")</f>
        <v>Constants - Fuel</v>
      </c>
      <c r="E56" s="76">
        <f>IF(ISBLANK($D56), 0, IF(ISNUMBER(SEARCH("reporting", $D56)), Result_Enterprise_Scope1_Method1, "Enter value"))</f>
        <v>0</v>
      </c>
      <c r="F56" s="76">
        <f>IF(ISBLANK($D56), 0, IF(ISNUMBER(SEARCH("reporting", $D56)), Result_Enterprise_Scope1_Method2, "Enter value"))</f>
        <v>0</v>
      </c>
      <c r="G56" s="9" t="s">
        <v>6</v>
      </c>
    </row>
    <row r="57" spans="1:7" x14ac:dyDescent="0.25" ht="20" customHeight="1">
      <c r="A57" s="5" t="str">
        <f>HYPERLINK("#'Constants - Scope 3'!A1", "Constants - Scope 3")</f>
        <v>Constants - Scope 3</v>
      </c>
      <c r="E57" s="76">
        <f>IF(ISBLANK($D57), 0, IF(ISNUMBER(SEARCH("reporting", $D57)), Result_Enterprise_Scope1_Method1, "Enter value"))</f>
        <v>0</v>
      </c>
      <c r="F57" s="76">
        <f>IF(ISBLANK($D57), 0, IF(ISNUMBER(SEARCH("reporting", $D57)), Result_Enterprise_Scope1_Method2, "Enter value"))</f>
        <v>0</v>
      </c>
      <c r="G57" s="9" t="s">
        <v>6</v>
      </c>
    </row>
    <row r="58" spans="1:7" x14ac:dyDescent="0.25" ht="20" customHeight="1">
      <c r="A58" s="5" t="str">
        <f>HYPERLINK("#'Constants - Solid Waste'!A1", "Constants - Solid Waste")</f>
        <v>Constants - Solid Waste</v>
      </c>
      <c r="E58" s="76">
        <f>IF(ISBLANK($D58), 0, IF(ISNUMBER(SEARCH("reporting", $D58)), Result_Enterprise_Scope1_Method1, "Enter value"))</f>
        <v>0</v>
      </c>
      <c r="F58" s="76">
        <f>IF(ISBLANK($D58), 0, IF(ISNUMBER(SEARCH("reporting", $D58)), Result_Enterprise_Scope1_Method2, "Enter value"))</f>
        <v>0</v>
      </c>
      <c r="G58" s="9" t="s">
        <v>6</v>
      </c>
    </row>
    <row r="59" spans="1:7" x14ac:dyDescent="0.25" ht="20" customHeight="1">
      <c r="A59" s="5" t="str">
        <f>HYPERLINK("#'Constants - Common'!A1", "Constants - Common")</f>
        <v>Constants - Common</v>
      </c>
      <c r="E59" s="76">
        <f>IF(ISBLANK($D59), 0, IF(ISNUMBER(SEARCH("reporting", $D59)), Result_Enterprise_Scope1_Method1, "Enter value"))</f>
        <v>0</v>
      </c>
      <c r="F59" s="76">
        <f>IF(ISBLANK($D59), 0, IF(ISNUMBER(SEARCH("reporting", $D59)), Result_Enterprise_Scope1_Method2, "Enter value"))</f>
        <v>0</v>
      </c>
      <c r="G59" s="9" t="s">
        <v>6</v>
      </c>
    </row>
    <row r="60" spans="1:7" x14ac:dyDescent="0.25" ht="20" customHeight="1">
      <c r="A60" s="5" t="str">
        <f>HYPERLINK("#'Acknowledgements'!A1", "Acknowledgements")</f>
        <v>Acknowledgements</v>
      </c>
      <c r="D60" s="93" t="s">
        <v>134</v>
      </c>
      <c r="E60" s="87">
        <f>SUM(E55:E59)</f>
        <v>0</v>
      </c>
      <c r="F60" s="87">
        <f>SUM(F55:F59)</f>
        <v>0</v>
      </c>
      <c r="G60" s="94" t="s">
        <v>6</v>
      </c>
    </row>
    <row r="65" spans="4:6" ht="20" x14ac:dyDescent="0.25" customHeight="1">
      <c r="D65" s="79"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0 January 1900 and 0 January 1900</v>
      </c>
    </row>
    <row r="67" spans="4:6" x14ac:dyDescent="0.25" ht="20" customHeight="1">
      <c r="D67" s="82" t="s">
        <v>119</v>
      </c>
      <c r="E67" s="82" t="s">
        <v>132</v>
      </c>
      <c r="F67" s="82"/>
    </row>
    <row r="68" spans="4:6" x14ac:dyDescent="0.25" ht="20" customHeight="1">
      <c r="D68" s="1" t="e" cm="1">
        <f t="array" ref="D68">Common_InputFunctions.getOverlappingReportingPeriods(X_Cell_Enterprise_ProductionTimeframeStart,X_Cell_Enterprise_ProductionTimeframeEnd,X_Cell_Site_StartDate)</f>
        <v>#NUM!</v>
      </c>
      <c r="E68" s="76" t="str">
        <f>IF(ISBLANK($D68), 0, IF(ISNUMBER(SEARCH("reporting", $D68)), SUM(Table_Input_Enterprise_PlantingRemovals[Removal allocated to this enterprise]), "Enter value"))</f>
        <v>Enter value</v>
      </c>
      <c r="F68" s="9" t="s">
        <v>133</v>
      </c>
    </row>
    <row r="69" spans="4:6" x14ac:dyDescent="0.25" ht="20" customHeight="1">
      <c r="E69" s="76">
        <f>IF(ISBLANK($D69), 0, IF(ISNUMBER(SEARCH("reporting", $D69)), SUM(Table_Input_Enterprise_PlantingRemovals[Removal allocated to this enterprise]), "Enter value"))</f>
        <v>0</v>
      </c>
      <c r="F69" s="9" t="s">
        <v>133</v>
      </c>
    </row>
    <row r="70" spans="4:6" x14ac:dyDescent="0.25" ht="20" customHeight="1">
      <c r="E70" s="76">
        <f>IF(ISBLANK($D70), 0, IF(ISNUMBER(SEARCH("reporting", $D70)), SUM(Table_Input_Enterprise_PlantingRemovals[Removal allocated to this enterprise]), "Enter value"))</f>
        <v>0</v>
      </c>
      <c r="F70" s="9" t="s">
        <v>133</v>
      </c>
    </row>
    <row r="71" spans="4:6" x14ac:dyDescent="0.25" ht="20" customHeight="1">
      <c r="E71" s="76">
        <f>IF(ISBLANK($D71), 0, IF(ISNUMBER(SEARCH("reporting", $D71)), SUM(Table_Input_Enterprise_PlantingRemovals[Removal allocated to this enterprise]), "Enter value"))</f>
        <v>0</v>
      </c>
      <c r="F71" s="9" t="s">
        <v>133</v>
      </c>
    </row>
    <row r="72" spans="4:6" x14ac:dyDescent="0.25" ht="20" customHeight="1">
      <c r="E72" s="76">
        <f>IF(ISBLANK($D72), 0, IF(ISNUMBER(SEARCH("reporting", $D72)), SUM(Table_Input_Enterprise_PlantingRemovals[Removal allocated to this enterprise]), "Enter value"))</f>
        <v>0</v>
      </c>
      <c r="F72" s="9" t="s">
        <v>133</v>
      </c>
    </row>
    <row r="73" spans="4:6" x14ac:dyDescent="0.25" ht="20" customHeight="1">
      <c r="D73" s="93" t="s">
        <v>135</v>
      </c>
      <c r="E73" s="87">
        <f>SUM(E68:E72)</f>
        <v>0</v>
      </c>
      <c r="F73" s="94" t="s">
        <v>133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60"/>
  <sheetViews>
    <sheetView showGridLines="0" zoomScaleNormal="100" workbookViewId="0">
      <pane xSplit="1" topLeftCell="B1" activePane="topRight" state="frozen"/>
      <selection pane="topRight" activeCell="A11" sqref="A11"/>
    </sheetView>
  </sheetViews>
  <sheetFormatPr defaultColWidth="9.140625" defaultRowHeight="20" x14ac:dyDescent="0.25" customHeight="1"/>
  <cols>
    <col min="1" max="1" width="36.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0" t="e" vm="1">
        <v>#VALUE!</v>
      </c>
      <c r="C1" s="28" t="s">
        <v>95</v>
      </c>
    </row>
    <row r="2" spans="1:24" s="22" customFormat="1" ht="20" customHeight="1" x14ac:dyDescent="0.25">
      <c r="A2"/>
      <c r="C2" s="3"/>
      <c r="D2" s="3"/>
      <c r="E2" s="3"/>
      <c r="F2" s="3"/>
      <c r="G2" s="3"/>
      <c r="H2" s="3"/>
      <c r="I2" s="3"/>
      <c r="J2" s="3"/>
    </row>
    <row r="3" spans="1:24" ht="20" customHeight="1" x14ac:dyDescent="0.25">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 customHeight="1" x14ac:dyDescent="0.25">
      <c r="A4" s="5" t="str">
        <f>HYPERLINK("#'Results - Activity period'!A1", "Results - Activity period")</f>
        <v>Results - Activity period</v>
      </c>
      <c r="C4" s="30"/>
      <c r="D4" s="30"/>
      <c r="E4" s="30"/>
      <c r="F4" s="30"/>
      <c r="G4" s="30"/>
      <c r="H4" s="30"/>
      <c r="I4" s="30"/>
      <c r="J4" s="30"/>
      <c r="K4" s="30"/>
    </row>
    <row r="5" spans="1:24" ht="20" customHeight="1" x14ac:dyDescent="0.25">
      <c r="A5" s="5" t="str">
        <f>HYPERLINK("#'Results - Product EI'!A1", "Results - Product Emissions Intensity")</f>
        <v>Results - Product Emissions Intensity</v>
      </c>
      <c r="D5" s="2" t="s">
        <v>102</v>
      </c>
      <c r="N5" s="31"/>
    </row>
    <row r="6" spans="1:24" ht="20" customHeight="1" x14ac:dyDescent="0.25">
      <c r="A6"/>
      <c r="N6" s="33"/>
    </row>
    <row r="7" spans="1:24" ht="20" customHeight="1" x14ac:dyDescent="0.25">
      <c r="A7"/>
      <c r="D7" s="43" t="s">
        <v>103</v>
      </c>
      <c r="E7" s="44"/>
      <c r="F7" s="44"/>
      <c r="G7" s="45"/>
    </row>
    <row r="8" spans="1:24" ht="20" customHeight="1" x14ac:dyDescent="0.25">
      <c r="A8" s="7" t="s">
        <v>0</v>
      </c>
      <c r="D8" s="46" t="s">
        <v>104</v>
      </c>
      <c r="E8" s="47"/>
      <c r="F8" s="47"/>
      <c r="G8" s="48"/>
    </row>
    <row r="9" spans="1:24" ht="20" customHeight="1" x14ac:dyDescent="0.25">
      <c r="A9" s="5" t="str">
        <f>HYPERLINK("#'Input - Enterprise'!A1", "Enterprise")</f>
        <v>Enterprise</v>
      </c>
      <c r="D9" s="1"/>
      <c r="E9" s="49"/>
      <c r="F9" s="16"/>
      <c r="N9" s="35"/>
    </row>
    <row r="10" spans="1:24" ht="20" customHeight="1" x14ac:dyDescent="0.25">
      <c r="A10" s="99" t="str">
        <f>HYPERLINK("#'Input - Site'!A1", "Site")</f>
        <v>Site</v>
      </c>
      <c r="D10" s="1" t="s">
        <v>105</v>
      </c>
      <c r="E10" s="13"/>
      <c r="F10" s="16" t="s">
        <v>106</v>
      </c>
      <c r="N10" s="35"/>
    </row>
    <row r="11" spans="1:24" ht="20" customHeight="1" x14ac:dyDescent="0.25">
      <c r="A11" s="5" t="str">
        <f>HYPERLINK("#'Input - Pasture Beef'!A1", "Pasture Beef")</f>
        <v>Pasture Beef</v>
      </c>
      <c r="D11" s="1" t="s">
        <v>107</v>
      </c>
      <c r="E11" s="13"/>
      <c r="F11" s="16" t="s">
        <v>106</v>
      </c>
      <c r="G11" s="1"/>
      <c r="N11" s="40"/>
    </row>
    <row r="12" spans="1:24" ht="20" customHeight="1" x14ac:dyDescent="0.25">
      <c r="A12" s="5" t="str">
        <f>HYPERLINK("#'Input - Livestock sales'!A1", "Livestock sales")</f>
        <v>Livestock sales</v>
      </c>
      <c r="D12" s="1" t="s">
        <v>108</v>
      </c>
      <c r="E12" s="13"/>
      <c r="F12" s="16" t="s">
        <v>106</v>
      </c>
    </row>
    <row r="13" spans="1:24" ht="20" customHeight="1" x14ac:dyDescent="0.25">
      <c r="A13" s="5" t="str">
        <f>HYPERLINK("#'Input - Beef cattle purchases'!A1", "Beef cattle purchases")</f>
        <v>Beef cattle purchases</v>
      </c>
      <c r="D13" s="1" t="s">
        <v>45</v>
      </c>
      <c r="E13" s="34"/>
      <c r="F13" s="16" t="s">
        <v>109</v>
      </c>
      <c r="N13" s="42"/>
      <c r="O13" s="42"/>
    </row>
    <row r="14" spans="1:24" ht="20" customHeight="1" x14ac:dyDescent="0.25">
      <c r="A14" s="5" t="str">
        <f>HYPERLINK("#'Input - Pasture'!A1", "Pasture")</f>
        <v>Pasture</v>
      </c>
      <c r="D14" s="1" t="s">
        <v>110</v>
      </c>
      <c r="E14" s="34"/>
      <c r="F14" s="16" t="s">
        <v>111</v>
      </c>
      <c r="N14" s="42"/>
      <c r="O14" s="42"/>
    </row>
    <row r="15" spans="1:24" ht="20" customHeight="1" x14ac:dyDescent="0.25">
      <c r="A15" s="5" t="str">
        <f>HYPERLINK("#'Input - Fert Prod System'!A1", "Fert Prod System")</f>
        <v>Fert Prod System</v>
      </c>
      <c r="D15" s="1" t="s">
        <v>112</v>
      </c>
      <c r="E15" s="34"/>
      <c r="F15" s="16" t="s">
        <v>113</v>
      </c>
      <c r="N15" s="42"/>
      <c r="O15" s="42"/>
    </row>
    <row r="16" spans="1:24" ht="20" customHeight="1" x14ac:dyDescent="0.25">
      <c r="A16" s="5" t="str">
        <f>HYPERLINK("#'Input - Fertiliser'!A1", "Fertiliser")</f>
        <v>Fertiliser</v>
      </c>
      <c r="D16" s="12" t="s">
        <v>114</v>
      </c>
      <c r="E16" s="34"/>
      <c r="F16" s="16" t="s">
        <v>113</v>
      </c>
      <c r="N16" s="42"/>
      <c r="O16" s="42"/>
    </row>
    <row r="17" spans="1:25" ht="20" customHeight="1" x14ac:dyDescent="0.25">
      <c r="A17" s="5" t="str">
        <f>HYPERLINK("#'Input - Fuel'!A1", "Fuel")</f>
        <v>Fuel</v>
      </c>
      <c r="D17" s="1" t="s">
        <v>115</v>
      </c>
      <c r="E17" s="34"/>
      <c r="F17" s="16" t="s">
        <v>116</v>
      </c>
    </row>
    <row r="18" spans="1:25" ht="20" customHeight="1" x14ac:dyDescent="0.25">
      <c r="A18" s="5" t="str">
        <f>HYPERLINK("#'Input - Electricity'!A1", "Electricity")</f>
        <v>Electricity</v>
      </c>
      <c r="D18" s="12" t="s">
        <v>117</v>
      </c>
      <c r="E18" s="15" t="e">
        <f>E15/E16</f>
        <v>#DIV/0!</v>
      </c>
      <c r="F18" s="16"/>
    </row>
    <row r="19" spans="1:25" ht="20" customHeight="1" x14ac:dyDescent="0.25">
      <c r="A19" s="5" t="str">
        <f>HYPERLINK("#'Input - Common farm inputs'!A1", "Common farm inputs")</f>
        <v>Common farm inputs</v>
      </c>
      <c r="D19" s="12" t="s">
        <v>73</v>
      </c>
      <c r="E19" s="15" t="str">
        <f>Common_InputFunctions.Utility_LookupItemFromMinMax(E15,Table_SourceData_RainfallZones[Min rainfall],Table_SourceData_RainfallZones[Max rainfall],Table_SourceData_RainfallZones[Rainfall Zone])</f>
        <v>Low rainfall</v>
      </c>
      <c r="G19" s="50"/>
      <c r="N19" s="31"/>
    </row>
    <row r="20" spans="1:25" ht="20" customHeight="1" x14ac:dyDescent="0.25">
      <c r="A20" s="5" t="str">
        <f>HYPERLINK("#'Input - Crop pasture farm input'!A1", "Crop pasture farm input")</f>
        <v>Crop pasture farm input</v>
      </c>
      <c r="D20" s="1" t="s">
        <v>40</v>
      </c>
      <c r="E20" s="15" t="e">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#DIV/0!</v>
      </c>
      <c r="F20" s="1"/>
      <c r="G20" s="49"/>
      <c r="N20" s="33"/>
    </row>
    <row r="21" spans="1:25" ht="20" customHeight="1" x14ac:dyDescent="0.25">
      <c r="A21" s="5" t="str">
        <f>HYPERLINK("#'Input - Livestock farm Inputs'!A1", "Livestock farm Inputs")</f>
        <v>Livestock farm Inputs</v>
      </c>
      <c r="D21" s="1" t="s">
        <v>118</v>
      </c>
      <c r="E21" s="15" t="e">
        <f>Common_InputFunctions.Utility_LookupValueInTable($E$20,Table_SourceData_WetDryZones[Climate zone],Table_SourceData_WetDryZones[Wet or Dry Zone])</f>
        <v>#DIV/0!</v>
      </c>
      <c r="F21" s="1"/>
      <c r="G21" s="49"/>
    </row>
    <row r="22" spans="1:25" ht="20" customHeight="1" x14ac:dyDescent="0.25">
      <c r="A22" s="5" t="str">
        <f>HYPERLINK("#'Input - Freight'!A1", "Freight")</f>
        <v>Freight</v>
      </c>
      <c r="D22" s="1" t="s">
        <v>77</v>
      </c>
      <c r="E22" s="15" t="str">
        <f>Common_InputFunctions.Utility_LookupItemFromMinMax(E14,Table_SourceData_TemperatureZones[Min MAT],Table_SourceData_TemperatureZones[Max MAT],Table_SourceData_TemperatureZones[Temperature Zone])</f>
        <v>Cool</v>
      </c>
      <c r="G22" s="53"/>
    </row>
    <row r="23" spans="1:25" ht="20" customHeight="1" x14ac:dyDescent="0.25">
      <c r="A23" s="5" t="str">
        <f>HYPERLINK("#'Input - Solid waste'!A1", "Solid waste")</f>
        <v>Solid waste</v>
      </c>
    </row>
    <row r="24" spans="1:25" ht="20" customHeight="1" x14ac:dyDescent="0.25">
      <c r="A24" s="5" t="str">
        <f>HYPERLINK("#'Input - Manure sent off-site'!A1", "Manure sent off-site")</f>
        <v>Manure sent off-site</v>
      </c>
    </row>
    <row r="25" spans="1:25" ht="20" customHeight="1" x14ac:dyDescent="0.25">
      <c r="A25" s="5" t="str">
        <f>HYPERLINK("#'Input - Data quality'!A1", "Data quality")</f>
        <v>Data quality</v>
      </c>
      <c r="N25" s="33"/>
    </row>
    <row r="26" spans="1:25" ht="20" customHeight="1" x14ac:dyDescent="0.25">
      <c r="A26"/>
    </row>
    <row r="27" spans="1:25" ht="20" customHeight="1" x14ac:dyDescent="0.25">
      <c r="A27"/>
    </row>
    <row r="28" spans="1:25" ht="20" customHeight="1" x14ac:dyDescent="0.25">
      <c r="A28" s="6" t="s">
        <v>2</v>
      </c>
    </row>
    <row r="29" spans="1:25" ht="20" customHeight="1" x14ac:dyDescent="0.25">
      <c r="A29" s="5" t="str">
        <f>HYPERLINK("#'3.2.1.1-2 Enteric Methane'!A1", "3.2.1.1-2 Enteric Methane")</f>
        <v>3.2.1.1-2 Enteric Methane</v>
      </c>
    </row>
    <row r="30" spans="1:25" ht="20" customHeight="1" x14ac:dyDescent="0.25">
      <c r="A30" s="5" t="str">
        <f>HYPERLINK("#'4.2.1.1-2 Methane'!A1", "4.2.1.1-2 Manure methane")</f>
        <v>4.2.1.1-2 Manure methane</v>
      </c>
      <c r="L30" s="51"/>
      <c r="M30" s="51"/>
      <c r="N30" s="51"/>
      <c r="O30" s="51"/>
      <c r="P30" s="51"/>
      <c r="Q30" s="51"/>
      <c r="R30" s="51"/>
      <c r="S30" s="51"/>
      <c r="T30" s="51"/>
      <c r="U30" s="51"/>
      <c r="V30" s="51"/>
      <c r="W30" s="51"/>
      <c r="X30" s="51"/>
      <c r="Y30" s="51"/>
    </row>
    <row r="31" spans="1:25" ht="20" customHeight="1" x14ac:dyDescent="0.25">
      <c r="A31" s="5" t="str">
        <f>HYPERLINK("#'4.2.1.3-4 Soil direct N20'!A1", "4.2.1.3-4 Soil direct N2O")</f>
        <v>4.2.1.3-4 Soil direct N2O</v>
      </c>
      <c r="L31" s="52"/>
      <c r="M31" s="52"/>
      <c r="N31" s="52"/>
      <c r="O31" s="52"/>
      <c r="P31" s="52"/>
      <c r="Q31" s="52"/>
      <c r="R31" s="52"/>
      <c r="S31" s="52"/>
      <c r="T31" s="52"/>
      <c r="U31" s="52"/>
      <c r="V31" s="52"/>
      <c r="W31" s="52"/>
      <c r="X31" s="52"/>
      <c r="Y31" s="52"/>
    </row>
    <row r="32" spans="1:25" ht="20" customHeight="1" x14ac:dyDescent="0.25">
      <c r="A32" s="5" t="str">
        <f>HYPERLINK("#'4.2.1.5-6 Soil Atmos Dep'!A1", "4.2.1.5-6 Soil atm. deposition")</f>
        <v>4.2.1.5-6 Soil atm. deposition</v>
      </c>
      <c r="L32" s="52"/>
      <c r="M32" s="52"/>
      <c r="N32" s="52"/>
      <c r="O32" s="52"/>
      <c r="P32" s="52"/>
      <c r="Q32" s="52"/>
      <c r="R32" s="52"/>
      <c r="S32" s="52"/>
      <c r="T32" s="52"/>
      <c r="U32" s="52"/>
      <c r="V32" s="52"/>
      <c r="W32" s="52"/>
      <c r="X32" s="52"/>
      <c r="Y32" s="52"/>
    </row>
    <row r="33" spans="1:25" ht="20" customHeight="1" x14ac:dyDescent="0.25">
      <c r="A33" s="5" t="str">
        <f>HYPERLINK("#'4.2.1.7-8 Soil leach runoff'!A1", "4.2.1.7-8 Soil leach &amp; runoff")</f>
        <v>4.2.1.7-8 Soil leach &amp; runoff</v>
      </c>
      <c r="L33" s="52"/>
      <c r="M33" s="52"/>
      <c r="N33" s="52"/>
      <c r="O33" s="52"/>
      <c r="P33" s="52"/>
      <c r="Q33" s="52"/>
      <c r="R33" s="52"/>
      <c r="S33" s="52"/>
      <c r="T33" s="52"/>
      <c r="U33" s="52"/>
      <c r="V33" s="52"/>
      <c r="W33" s="52"/>
      <c r="X33" s="52"/>
      <c r="Y33" s="52"/>
    </row>
    <row r="34" spans="1:25" ht="20" customHeight="1" x14ac:dyDescent="0.25">
      <c r="A34" s="5" t="str">
        <f>HYPERLINK("#'5.1.1.1-2 Inorganic fert N2O'!A1", "5.1.1.1-2 Inorganic fert N2O")</f>
        <v>5.1.1.1-2 Inorganic fert N2O</v>
      </c>
      <c r="J34" s="54"/>
      <c r="K34" s="55"/>
      <c r="L34" s="52"/>
      <c r="M34" s="52"/>
      <c r="N34" s="52"/>
      <c r="O34" s="52"/>
      <c r="P34" s="52"/>
      <c r="Q34" s="52"/>
      <c r="R34" s="52"/>
      <c r="S34" s="52"/>
      <c r="T34" s="52"/>
      <c r="U34" s="52"/>
      <c r="V34" s="52"/>
      <c r="W34" s="52"/>
      <c r="X34" s="52"/>
      <c r="Y34" s="52"/>
    </row>
    <row r="35" spans="1:25" ht="20" customHeight="1" x14ac:dyDescent="0.25">
      <c r="A35" s="5" t="str">
        <f>HYPERLINK("#'5.1.1.3-4 Inorganic fert CO2'!A1", "5.1.1.3-4 Inorganic fert CO2")</f>
        <v>5.1.1.3-4 Inorganic fert CO2</v>
      </c>
      <c r="J35" s="54"/>
      <c r="K35" s="55"/>
      <c r="L35" s="52"/>
      <c r="M35" s="52"/>
      <c r="N35" s="52"/>
      <c r="O35" s="52"/>
      <c r="P35" s="52"/>
      <c r="Q35" s="52"/>
      <c r="R35" s="52"/>
      <c r="S35" s="52"/>
      <c r="T35" s="52"/>
      <c r="U35" s="52"/>
      <c r="V35" s="52"/>
      <c r="W35" s="52"/>
      <c r="X35" s="52"/>
      <c r="Y35" s="52"/>
    </row>
    <row r="36" spans="1:25" ht="20" customHeight="1" x14ac:dyDescent="0.25">
      <c r="A36" s="5" t="str">
        <f>HYPERLINK("#'5.2.1.1-2 Organic Fert N2O'!A1", "5.2.1.1-2 Organic fert N2O")</f>
        <v>5.2.1.1-2 Organic fert N2O</v>
      </c>
      <c r="D36" s="56"/>
      <c r="E36" s="56"/>
      <c r="F36" s="57"/>
      <c r="G36" s="54"/>
      <c r="H36" s="54"/>
      <c r="I36" s="58"/>
      <c r="J36" s="54"/>
      <c r="K36" s="55"/>
      <c r="L36" s="52"/>
      <c r="M36" s="52"/>
      <c r="N36" s="52"/>
      <c r="O36" s="52"/>
      <c r="P36" s="52"/>
      <c r="Q36" s="52"/>
      <c r="R36" s="52"/>
      <c r="S36" s="52"/>
      <c r="T36" s="52"/>
      <c r="U36" s="52"/>
      <c r="V36" s="52"/>
      <c r="W36" s="52"/>
      <c r="X36" s="52"/>
      <c r="Y36" s="52"/>
    </row>
    <row r="37" spans="1:25" ht="20" customHeight="1" x14ac:dyDescent="0.25">
      <c r="A37" s="5" t="str">
        <f>HYPERLINK("#'5.3.1.1-2 Lime CO2'!A1", "5.3.1.1-2 Lime CO2")</f>
        <v>5.3.1.1-2 Lime CO2</v>
      </c>
      <c r="D37" s="56"/>
      <c r="E37" s="56"/>
      <c r="F37" s="57"/>
      <c r="G37" s="54"/>
      <c r="H37" s="54"/>
      <c r="I37" s="58"/>
      <c r="J37" s="54"/>
      <c r="K37" s="55"/>
      <c r="L37" s="52"/>
      <c r="M37" s="52"/>
      <c r="N37" s="52"/>
      <c r="O37" s="52"/>
      <c r="P37" s="52"/>
      <c r="Q37" s="52"/>
      <c r="R37" s="52"/>
      <c r="S37" s="52"/>
      <c r="T37" s="52"/>
      <c r="U37" s="52"/>
      <c r="V37" s="52"/>
      <c r="W37" s="52"/>
      <c r="X37" s="52"/>
      <c r="Y37" s="52"/>
    </row>
    <row r="38" spans="1:25" ht="20" customHeight="1" x14ac:dyDescent="0.25">
      <c r="A38" s="5" t="str">
        <f>HYPERLINK("#'5.4.1.1-4 Atmos deposition'!A1", "5.4.1.1-4 Atmos. deposition")</f>
        <v>5.4.1.1-4 Atmos. deposition</v>
      </c>
      <c r="D38" s="56"/>
      <c r="E38" s="56"/>
      <c r="F38" s="57"/>
      <c r="G38" s="54"/>
      <c r="H38" s="54"/>
      <c r="I38" s="58"/>
      <c r="J38" s="54"/>
      <c r="K38" s="55"/>
      <c r="L38" s="52"/>
      <c r="M38" s="52"/>
      <c r="N38" s="52"/>
      <c r="O38" s="52"/>
      <c r="P38" s="52"/>
      <c r="Q38" s="52"/>
      <c r="R38" s="52"/>
      <c r="S38" s="52"/>
      <c r="T38" s="52"/>
      <c r="U38" s="52"/>
      <c r="V38" s="52"/>
      <c r="W38" s="52"/>
      <c r="X38" s="52"/>
      <c r="Y38" s="52"/>
    </row>
    <row r="39" spans="1:25" ht="20" customHeight="1" x14ac:dyDescent="0.25">
      <c r="A39" s="5" t="str">
        <f>HYPERLINK("#'5.5.1.1-2 Leaching and runoff'!A1", "5.5.1.1-2 Leaching &amp; runoff")</f>
        <v>5.5.1.1-2 Leaching &amp; runoff</v>
      </c>
      <c r="D39" s="56"/>
      <c r="E39" s="56"/>
      <c r="F39" s="57"/>
      <c r="G39" s="54"/>
      <c r="H39" s="54"/>
      <c r="I39" s="58"/>
      <c r="J39" s="54"/>
      <c r="K39" s="55"/>
      <c r="L39" s="52"/>
      <c r="M39" s="52"/>
      <c r="N39" s="52"/>
      <c r="O39" s="52"/>
      <c r="P39" s="52"/>
      <c r="Q39" s="52"/>
      <c r="R39" s="52"/>
      <c r="S39" s="52"/>
      <c r="T39" s="52"/>
      <c r="U39" s="52"/>
      <c r="V39" s="52"/>
      <c r="W39" s="52"/>
      <c r="X39" s="52"/>
      <c r="Y39" s="52"/>
    </row>
    <row r="40" spans="1:25" ht="20" customHeight="1" x14ac:dyDescent="0.25">
      <c r="A40" s="5" t="str">
        <f>HYPERLINK("#'6.2.1.1-2 Pasture residue N2O'!A1", "6.2.1.1-2 Pasture residue N2O")</f>
        <v>6.2.1.1-2 Pasture residue N2O</v>
      </c>
      <c r="D40" s="59"/>
      <c r="E40" s="59"/>
      <c r="F40" s="59"/>
      <c r="G40" s="60"/>
      <c r="H40" s="61"/>
      <c r="I40" s="61"/>
      <c r="J40" s="61"/>
      <c r="K40" s="61"/>
      <c r="L40" s="62"/>
      <c r="M40" s="62"/>
      <c r="N40" s="62"/>
      <c r="O40" s="62"/>
      <c r="P40" s="62"/>
      <c r="Q40" s="62"/>
      <c r="R40" s="62"/>
      <c r="S40" s="62"/>
      <c r="T40" s="62"/>
      <c r="U40" s="62"/>
      <c r="V40" s="62"/>
      <c r="W40" s="62"/>
      <c r="X40" s="62"/>
      <c r="Y40" s="62"/>
    </row>
    <row r="41" spans="1:25" ht="20" customHeight="1" x14ac:dyDescent="0.25">
      <c r="A41" s="5" t="str">
        <f>HYPERLINK("#'6.3.1.1-2 Leach runoff pasture'!A1", "6.3.1.1-2 Leach &amp; runoff (pasture)")</f>
        <v>6.3.1.1-2 Leach &amp; runoff (pasture)</v>
      </c>
    </row>
    <row r="42" spans="1:25" ht="20" customHeight="1" x14ac:dyDescent="0.25">
      <c r="A42" s="5" t="str">
        <f>HYPERLINK("#'8.1.1.1-2 Transport fuel'!A1", "8.1.1.1-2 Transport fuel")</f>
        <v>8.1.1.1-2 Transport fuel</v>
      </c>
    </row>
    <row r="43" spans="1:25" ht="20" customHeight="1" x14ac:dyDescent="0.25">
      <c r="A43" s="5" t="str">
        <f>HYPERLINK("#'8.2.1.1-2 Stationary fuel'!A1", "8.2.1.1-2 Stationary fuel")</f>
        <v>8.2.1.1-2 Stationary fuel</v>
      </c>
    </row>
    <row r="44" spans="1:25" ht="20" customHeight="1" x14ac:dyDescent="0.25">
      <c r="A44" s="5" t="str">
        <f>HYPERLINK("#'10.1.1-2 Solid waste treatment'!A1", "10.1.1.1-2 Solid waste")</f>
        <v>10.1.1.1-2 Solid waste</v>
      </c>
    </row>
    <row r="45" spans="1:25" ht="20" customHeight="1" x14ac:dyDescent="0.25">
      <c r="A45" s="5" t="str">
        <f>HYPERLINK("#'14.1.1-2 Purchased electricity'!A1", "14.1.1-2 Purchased electricity")</f>
        <v>14.1.1-2 Purchased electricity</v>
      </c>
      <c r="D45" s="2"/>
    </row>
    <row r="46" spans="1:25" ht="20" customHeight="1" x14ac:dyDescent="0.25">
      <c r="A46" s="5" t="str">
        <f>HYPERLINK("#'15 Scope 3'!A1", "15 Scope 3")</f>
        <v>15 Scope 3</v>
      </c>
      <c r="D46" s="2"/>
    </row>
    <row r="47" spans="1:25" ht="20" customHeight="1" x14ac:dyDescent="0.25">
      <c r="A47" s="5" t="str">
        <f>HYPERLINK("#'Calcs - Manure sent off-site'!A1", "Calcs - Manure sent off-site")</f>
        <v>Calcs - Manure sent off-site</v>
      </c>
      <c r="D47" s="63"/>
      <c r="E47" s="63"/>
      <c r="F47" s="63"/>
      <c r="G47" s="63"/>
      <c r="H47" s="63"/>
    </row>
    <row r="48" spans="1:25" ht="20" customHeight="1" x14ac:dyDescent="0.25">
      <c r="A48"/>
      <c r="D48" s="64"/>
      <c r="E48" s="64"/>
      <c r="F48" s="65"/>
      <c r="G48" s="65"/>
      <c r="H48" s="64"/>
    </row>
    <row r="49" spans="1:8" ht="20" customHeight="1" x14ac:dyDescent="0.25">
      <c r="A49"/>
      <c r="D49" s="64"/>
      <c r="E49" s="64"/>
      <c r="F49" s="65"/>
      <c r="G49" s="65"/>
      <c r="H49" s="64"/>
    </row>
    <row r="50" spans="1:8" ht="20" customHeight="1" x14ac:dyDescent="0.25">
      <c r="A50" s="85" t="s">
        <v>1</v>
      </c>
      <c r="D50" s="64"/>
      <c r="E50" s="64"/>
      <c r="F50" s="65"/>
      <c r="G50" s="65"/>
      <c r="H50" s="64"/>
    </row>
    <row r="51" spans="1:8" ht="20" customHeight="1" x14ac:dyDescent="0.25">
      <c r="A51" s="5" t="str">
        <f>HYPERLINK("#'Constants - Pasture Beef'!A1", "Constants - Pasture Beef")</f>
        <v>Constants - Pasture Beef</v>
      </c>
      <c r="D51" s="66"/>
      <c r="E51" s="67"/>
      <c r="F51" s="67"/>
      <c r="G51" s="67"/>
      <c r="H51" s="68"/>
    </row>
    <row r="52" spans="1:8" ht="20" customHeight="1" x14ac:dyDescent="0.25">
      <c r="A52" s="5" t="str">
        <f>HYPERLINK("#'Constants - Ag Residue'!A1", "Constants - Ag residue")</f>
        <v>Constants - Ag residue</v>
      </c>
    </row>
    <row r="53" spans="1:8" ht="20" customHeight="1" x14ac:dyDescent="0.25">
      <c r="A53" s="5" t="str">
        <f>HYPERLINK("#'Constants - Common Livestock'!A1", "Constants - Common Livestock")</f>
        <v>Constants - Common Livestock</v>
      </c>
    </row>
    <row r="54" spans="1:8" ht="20" customHeight="1" x14ac:dyDescent="0.25">
      <c r="A54" s="5" t="str">
        <f>HYPERLINK("#'Constants - Electricity'!A1", "Constants - Electricity")</f>
        <v>Constants - Electricity</v>
      </c>
      <c r="G54" s="69"/>
    </row>
    <row r="55" spans="1:8" ht="20" customHeight="1" x14ac:dyDescent="0.25">
      <c r="A55" s="5" t="str">
        <f>HYPERLINK("#'Constants - Fertiliser'!A1", "Constants - Fertiliser")</f>
        <v>Constants - Fertiliser</v>
      </c>
      <c r="D55" s="2"/>
    </row>
    <row r="56" spans="1:8" ht="20" customHeight="1" x14ac:dyDescent="0.25">
      <c r="A56" s="5" t="str">
        <f>HYPERLINK("#'Constants - Fuel'!A1", "Constants - Fuel")</f>
        <v>Constants - Fuel</v>
      </c>
    </row>
    <row r="57" spans="1:8" ht="20" customHeight="1" x14ac:dyDescent="0.25">
      <c r="A57" s="5" t="str">
        <f>HYPERLINK("#'Constants - Scope 3'!A1", "Constants - Scope 3")</f>
        <v>Constants - Scope 3</v>
      </c>
      <c r="D57" s="70"/>
      <c r="F57" s="71"/>
    </row>
    <row r="58" spans="1:8" ht="20" customHeight="1" x14ac:dyDescent="0.25">
      <c r="A58" s="5" t="str">
        <f>HYPERLINK("#'Constants - Solid Waste'!A1", "Constants - Solid Waste")</f>
        <v>Constants - Solid Waste</v>
      </c>
      <c r="D58" s="1"/>
      <c r="E58" s="72"/>
    </row>
    <row r="59" spans="1:8" ht="20" customHeight="1" x14ac:dyDescent="0.25">
      <c r="A59" s="5" t="str">
        <f>HYPERLINK("#'Constants - Common'!A1", "Constants - Common")</f>
        <v>Constants - Common</v>
      </c>
      <c r="D59" s="1"/>
      <c r="E59" s="72"/>
    </row>
    <row r="60" spans="1:8" ht="20" customHeight="1" x14ac:dyDescent="0.25">
      <c r="A60" s="5" t="str">
        <f>HYPERLINK("#'Acknowledgements'!A1", "Acknowledgements")</f>
        <v>Acknowledgements</v>
      </c>
      <c r="D60" s="1"/>
      <c r="E60" s="73"/>
    </row>
    <row r="61" spans="1:8" ht="20" customHeight="1" x14ac:dyDescent="0.25">
      <c r="A61"/>
      <c r="D61" s="1"/>
    </row>
    <row r="62" spans="1:8" ht="20" customHeight="1" x14ac:dyDescent="0.25">
      <c r="A62"/>
    </row>
    <row r="63" spans="1:8" ht="20" customHeight="1" x14ac:dyDescent="0.25">
      <c r="A63"/>
      <c r="D63" s="70"/>
    </row>
    <row r="64" spans="1:8" ht="20" customHeight="1" x14ac:dyDescent="0.25">
      <c r="A64"/>
      <c r="D64" s="1"/>
      <c r="E64" s="72"/>
    </row>
    <row r="65" spans="1:9" ht="20" customHeight="1" x14ac:dyDescent="0.25">
      <c r="A65"/>
      <c r="D65" s="1"/>
      <c r="E65" s="72"/>
    </row>
    <row r="66" spans="1:9" ht="20" customHeight="1" x14ac:dyDescent="0.25">
      <c r="A66"/>
      <c r="D66" s="1"/>
      <c r="E66" s="73"/>
    </row>
    <row r="67" spans="1:9" ht="20" customHeight="1" x14ac:dyDescent="0.25">
      <c r="A67"/>
    </row>
    <row r="68" spans="1:9" ht="20" customHeight="1" x14ac:dyDescent="0.25">
      <c r="A68"/>
    </row>
    <row r="69" spans="1:9" ht="20" customHeight="1" x14ac:dyDescent="0.25">
      <c r="A69"/>
      <c r="D69" s="74"/>
      <c r="E69" s="74"/>
      <c r="F69" s="74"/>
      <c r="G69" s="74"/>
      <c r="H69" s="74"/>
      <c r="I69" s="74"/>
    </row>
    <row r="70" spans="1:9" ht="20" customHeight="1" x14ac:dyDescent="0.25">
      <c r="A70"/>
      <c r="D70" s="74"/>
      <c r="E70" s="74"/>
      <c r="F70" s="74"/>
      <c r="G70" s="74"/>
      <c r="H70" s="74"/>
      <c r="I70" s="74"/>
    </row>
    <row r="71" spans="1:9" ht="20" customHeight="1" x14ac:dyDescent="0.25">
      <c r="A71"/>
      <c r="D71" s="74"/>
      <c r="E71" s="74"/>
      <c r="F71" s="74"/>
      <c r="G71" s="74"/>
      <c r="H71" s="74"/>
      <c r="I71" s="74"/>
    </row>
    <row r="72" spans="1:9" ht="20" customHeight="1" x14ac:dyDescent="0.25">
      <c r="A72"/>
      <c r="D72" s="74"/>
      <c r="E72" s="74"/>
      <c r="F72" s="74"/>
      <c r="G72" s="74"/>
      <c r="H72" s="74"/>
      <c r="I72" s="74"/>
    </row>
    <row r="73" spans="1:9" ht="20" customHeight="1" x14ac:dyDescent="0.25">
      <c r="A73"/>
    </row>
    <row r="74" spans="1:9" ht="20" customHeight="1" x14ac:dyDescent="0.25">
      <c r="A74"/>
    </row>
    <row r="75" spans="1:9" ht="20" customHeight="1" x14ac:dyDescent="0.25">
      <c r="A75"/>
    </row>
    <row r="76" spans="1:9" ht="20" customHeight="1" x14ac:dyDescent="0.25">
      <c r="A76"/>
    </row>
    <row r="77" spans="1:9" ht="20" customHeight="1" x14ac:dyDescent="0.25">
      <c r="A77"/>
    </row>
    <row r="78" spans="1:9" ht="20" customHeight="1" x14ac:dyDescent="0.25">
      <c r="A78"/>
      <c r="D78" s="75"/>
    </row>
    <row r="79" spans="1:9" ht="20" customHeight="1" x14ac:dyDescent="0.25">
      <c r="A79"/>
      <c r="D79" s="75"/>
    </row>
    <row r="80" spans="1:9" ht="20" customHeight="1" x14ac:dyDescent="0.25">
      <c r="A80"/>
      <c r="D80" s="75"/>
    </row>
    <row r="81" spans="1:4" ht="20" customHeight="1" x14ac:dyDescent="0.25">
      <c r="A81"/>
      <c r="D81" s="75"/>
    </row>
    <row r="82" spans="1:4" ht="20" customHeight="1" x14ac:dyDescent="0.25">
      <c r="A82"/>
      <c r="D82" s="75"/>
    </row>
    <row r="83" spans="1:4" ht="20" customHeight="1" x14ac:dyDescent="0.25">
      <c r="A83"/>
    </row>
    <row r="84" spans="1:4" ht="20" customHeight="1" x14ac:dyDescent="0.25">
      <c r="A84"/>
    </row>
    <row r="85" spans="1:4" ht="20" customHeight="1" x14ac:dyDescent="0.25">
      <c r="A85"/>
    </row>
    <row r="86" spans="1:4" ht="20" customHeight="1" x14ac:dyDescent="0.25">
      <c r="A86"/>
    </row>
    <row r="87" spans="1:4" ht="20" customHeight="1" x14ac:dyDescent="0.25">
      <c r="A87"/>
    </row>
    <row r="88" spans="1:4" ht="20" customHeight="1" x14ac:dyDescent="0.25">
      <c r="A88"/>
    </row>
    <row r="89" spans="1:4" ht="20" customHeight="1" x14ac:dyDescent="0.25">
      <c r="A89"/>
    </row>
    <row r="90" spans="1:4" ht="20" customHeight="1" x14ac:dyDescent="0.25">
      <c r="A90"/>
    </row>
    <row r="91" spans="1:4" ht="20" customHeight="1" x14ac:dyDescent="0.25">
      <c r="A91"/>
    </row>
    <row r="92" spans="1:4" ht="20" customHeight="1" x14ac:dyDescent="0.25">
      <c r="A92"/>
    </row>
    <row r="93" spans="1:4" ht="20" customHeight="1" x14ac:dyDescent="0.25">
      <c r="A93"/>
    </row>
    <row r="94" spans="1:4" ht="20" customHeight="1" x14ac:dyDescent="0.25">
      <c r="A94"/>
    </row>
    <row r="95" spans="1:4" ht="20" customHeight="1" x14ac:dyDescent="0.25">
      <c r="A95"/>
    </row>
    <row r="96" spans="1:4"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994D-C790-44CE-AF5F-3EC7C5746E04}">
  <sheetPr>
    <tabColor theme="5" tint="-0.249977111117893"/>
  </sheetPr>
  <dimension ref="A1:AA334"/>
  <sheetViews>
    <sheetView showGridLines="0" zoomScaleNormal="100" workbookViewId="0">
      <pane xSplit="1" topLeftCell="H1" activePane="topRight" state="frozen"/>
      <selection pane="topRight" activeCell="A16" sqref="A16"/>
    </sheetView>
  </sheetViews>
  <sheetFormatPr defaultRowHeight="20" x14ac:dyDescent="0.25" customHeight="1"/>
  <cols>
    <col min="1" max="1" width="36.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8" customWidth="1"/>
    <col min="19" max="24" width="30.7109375" style="98" customWidth="1"/>
    <col min="25" max="25" width="4.7109375" style="98" customWidth="1"/>
  </cols>
  <sheetData>
    <row r="1" spans="1:25" s="10" customFormat="1" ht="30" customHeight="1" x14ac:dyDescent="0.35">
      <c r="A1" s="10" t="e" vm="1">
        <v>#VALUE!</v>
      </c>
      <c r="C1" s="10" t="s">
        <v>320</v>
      </c>
      <c r="Q1" s="98"/>
      <c r="R1" s="98"/>
      <c r="S1" s="98"/>
      <c r="T1" s="98"/>
      <c r="U1" s="98"/>
      <c r="V1" s="98"/>
      <c r="W1" s="98"/>
      <c r="X1" s="98"/>
      <c r="Y1" s="98"/>
    </row>
    <row r="2" spans="1:25" s="3" customFormat="1" ht="20" customHeight="1" x14ac:dyDescent="0.25">
      <c r="A2"/>
      <c r="Q2" s="98"/>
      <c r="R2" s="98"/>
      <c r="S2" s="98"/>
      <c r="T2" s="98"/>
      <c r="U2" s="98"/>
      <c r="V2" s="98"/>
      <c r="W2" s="98"/>
      <c r="X2" s="98"/>
      <c r="Y2" s="98"/>
    </row>
    <row r="3" spans="1:25" ht="20" customHeight="1" x14ac:dyDescent="0.25">
      <c r="A3" s="5" t="str">
        <f>HYPERLINK("#'Home'!A1", "Home")</f>
        <v>Home</v>
      </c>
      <c r="C3" s="29"/>
      <c r="D3" s="29"/>
      <c r="E3" s="29"/>
      <c r="F3" s="29"/>
      <c r="G3" s="29"/>
      <c r="H3" s="29"/>
      <c r="I3" s="29"/>
      <c r="J3" s="29"/>
      <c r="K3" s="29"/>
      <c r="L3" s="29"/>
      <c r="M3" s="29"/>
      <c r="N3" s="29"/>
      <c r="O3" s="29"/>
      <c r="P3" s="29"/>
    </row>
    <row r="4" spans="1:25" ht="20" customHeight="1" x14ac:dyDescent="0.25">
      <c r="A4" s="5" t="str">
        <f>HYPERLINK("#'Results - Activity period'!A1", "Results - Activity period")</f>
        <v>Results - Activity period</v>
      </c>
    </row>
    <row r="5" spans="1:25" ht="20" customHeight="1" x14ac:dyDescent="0.25">
      <c r="A5" s="5" t="str">
        <f>HYPERLINK("#'Results - Product EI'!A1", "Results - Product Emissions Intensity")</f>
        <v>Results - Product Emissions Intensity</v>
      </c>
      <c r="D5" s="2" t="s">
        <v>321</v>
      </c>
      <c r="P5" s="25"/>
      <c r="T5" s="22"/>
    </row>
    <row r="6" spans="1:25" ht="20" customHeight="1" x14ac:dyDescent="0.25">
      <c r="P6" s="25"/>
      <c r="T6" s="22"/>
    </row>
    <row r="7" spans="1:25" ht="20" customHeight="1" x14ac:dyDescent="0.25">
      <c r="D7" s="1" t="s">
        <v>105</v>
      </c>
      <c r="E7" s="15">
        <f>X_Cell_Site_State</f>
        <v>0</v>
      </c>
      <c r="P7" s="25"/>
      <c r="T7" s="22"/>
    </row>
    <row r="8" spans="1:25" ht="20" customHeight="1" x14ac:dyDescent="0.25">
      <c r="A8" s="7" t="s">
        <v>0</v>
      </c>
      <c r="D8" s="1" t="s">
        <v>250</v>
      </c>
      <c r="E8" s="13"/>
      <c r="F8" s="16" t="s">
        <v>106</v>
      </c>
      <c r="P8" s="25"/>
      <c r="T8" s="22"/>
    </row>
    <row r="9" spans="1:25" ht="20" customHeight="1" x14ac:dyDescent="0.25">
      <c r="A9" s="5" t="str">
        <f>HYPERLINK("#'Input - Enterprise'!A1", "Enterprise")</f>
        <v>Enterprise</v>
      </c>
      <c r="D9" s="1" t="s">
        <v>251</v>
      </c>
      <c r="E9" s="13"/>
      <c r="F9" s="16" t="s">
        <v>106</v>
      </c>
      <c r="T9" s="22"/>
    </row>
    <row r="10" spans="1:25" ht="20" customHeight="1" x14ac:dyDescent="0.25">
      <c r="A10" s="5" t="str">
        <f>HYPERLINK("#'Input - Site'!A1", "Site")</f>
        <v>Site</v>
      </c>
      <c r="T10" s="22"/>
    </row>
    <row r="11" spans="1:25" ht="20" customHeight="1" x14ac:dyDescent="0.25">
      <c r="A11" s="99" t="str">
        <f>HYPERLINK("#'Input - Pasture Beef'!A1", "Pasture Beef")</f>
        <v>Pasture Beef</v>
      </c>
      <c r="T11" s="22"/>
    </row>
    <row r="12" spans="1:25" ht="20" customHeight="1" x14ac:dyDescent="0.25">
      <c r="A12" s="5" t="str">
        <f>HYPERLINK("#'Input - Livestock sales'!A1", "Livestock sales")</f>
        <v>Livestock sales</v>
      </c>
      <c r="T12" s="22"/>
    </row>
    <row r="13" spans="1:25" ht="20" customHeight="1" x14ac:dyDescent="0.25">
      <c r="A13" s="5" t="str">
        <f>HYPERLINK("#'Input - Beef cattle purchases'!A1", "Beef cattle purchases")</f>
        <v>Beef cattle purchases</v>
      </c>
      <c r="D13" s="36" t="s">
        <v>323</v>
      </c>
      <c r="E13" s="38"/>
      <c r="F13" s="38"/>
      <c r="G13" s="39"/>
      <c r="T13" s="42"/>
    </row>
    <row r="14" spans="1:25" ht="20" customHeight="1" x14ac:dyDescent="0.25">
      <c r="A14" s="5" t="str">
        <f>HYPERLINK("#'Input - Pasture'!A1", "Pasture")</f>
        <v>Pasture</v>
      </c>
      <c r="T14" s="42"/>
    </row>
    <row r="15" spans="1:25" ht="20" customHeight="1" x14ac:dyDescent="0.25">
      <c r="A15" s="5" t="str">
        <f>HYPERLINK("#'Input - Fert Prod System'!A1", "Fert Prod System")</f>
        <v>Fert Prod System</v>
      </c>
      <c r="D15" s="79" t="s">
        <v>324</v>
      </c>
      <c r="T15" s="42"/>
    </row>
    <row r="16" spans="1:25" ht="20" customHeight="1" x14ac:dyDescent="0.25">
      <c r="A16" s="5" t="str">
        <f>HYPERLINK("#'Input - Fertiliser'!A1", "Fertiliser")</f>
        <v>Fertiliser</v>
      </c>
      <c r="D16" s="100" t="s">
        <v>325</v>
      </c>
      <c r="E16" s="100" t="s">
        <v>326</v>
      </c>
      <c r="F16" s="100" t="s">
        <v>184</v>
      </c>
      <c r="G16" s="100" t="s">
        <v>327</v>
      </c>
      <c r="H16" s="100" t="s">
        <v>328</v>
      </c>
      <c r="I16" s="100" t="s">
        <v>329</v>
      </c>
      <c r="J16" s="100" t="s">
        <v>330</v>
      </c>
      <c r="K16" s="100" t="s">
        <v>331</v>
      </c>
      <c r="L16" s="100" t="s">
        <v>332</v>
      </c>
      <c r="M16" s="100" t="s">
        <v>333</v>
      </c>
      <c r="N16" s="100" t="s">
        <v>334</v>
      </c>
      <c r="T16" s="42"/>
    </row>
    <row r="17" spans="1:20" ht="20" customHeight="1" x14ac:dyDescent="0.25">
      <c r="A17" s="5" t="str">
        <f>HYPERLINK("#'Input - Fuel'!A1", "Fuel")</f>
        <v>Fuel</v>
      </c>
      <c r="D17" s="1" t="s">
        <v>335</v>
      </c>
      <c r="E17" s="15">
        <f>91.25</f>
        <v>91.25</v>
      </c>
      <c r="F17" s="15">
        <f t="shared" ref="F17:N20" si="0">91.25</f>
        <v>91.25</v>
      </c>
      <c r="G17" s="15">
        <f t="shared" si="0"/>
        <v>91.25</v>
      </c>
      <c r="H17" s="15">
        <f t="shared" si="0"/>
        <v>91.25</v>
      </c>
      <c r="I17" s="15">
        <f t="shared" si="0"/>
        <v>91.25</v>
      </c>
      <c r="J17" s="15">
        <f t="shared" si="0"/>
        <v>91.25</v>
      </c>
      <c r="K17" s="15">
        <f t="shared" si="0"/>
        <v>91.25</v>
      </c>
      <c r="L17" s="15">
        <f t="shared" si="0"/>
        <v>91.25</v>
      </c>
      <c r="M17" s="15">
        <f t="shared" si="0"/>
        <v>91.25</v>
      </c>
      <c r="N17" s="15">
        <f t="shared" si="0"/>
        <v>91.25</v>
      </c>
      <c r="O17" s="16" t="s">
        <v>116</v>
      </c>
      <c r="T17" s="22"/>
    </row>
    <row r="18" spans="1:20" ht="20" customHeight="1" x14ac:dyDescent="0.25">
      <c r="A18" s="5" t="str">
        <f>HYPERLINK("#'Input - Electricity'!A1", "Electricity")</f>
        <v>Electricity</v>
      </c>
      <c r="D18" s="1" t="s">
        <v>336</v>
      </c>
      <c r="E18" s="15">
        <f t="shared" ref="E18:E20" si="1">91.25</f>
        <v>91.25</v>
      </c>
      <c r="F18" s="15">
        <f t="shared" si="0"/>
        <v>91.25</v>
      </c>
      <c r="G18" s="15">
        <f t="shared" si="0"/>
        <v>91.25</v>
      </c>
      <c r="H18" s="15">
        <f t="shared" si="0"/>
        <v>91.25</v>
      </c>
      <c r="I18" s="15">
        <f t="shared" si="0"/>
        <v>91.25</v>
      </c>
      <c r="J18" s="15">
        <f t="shared" si="0"/>
        <v>91.25</v>
      </c>
      <c r="K18" s="15">
        <f t="shared" si="0"/>
        <v>91.25</v>
      </c>
      <c r="L18" s="15">
        <f t="shared" si="0"/>
        <v>91.25</v>
      </c>
      <c r="M18" s="15">
        <f t="shared" si="0"/>
        <v>91.25</v>
      </c>
      <c r="N18" s="15">
        <f t="shared" si="0"/>
        <v>91.25</v>
      </c>
      <c r="O18" s="16" t="s">
        <v>116</v>
      </c>
      <c r="T18" s="22"/>
    </row>
    <row r="19" spans="1:20" ht="20" customHeight="1" x14ac:dyDescent="0.25">
      <c r="A19" s="5" t="str">
        <f>HYPERLINK("#'Input - Common farm inputs'!A1", "Common farm inputs")</f>
        <v>Common farm inputs</v>
      </c>
      <c r="D19" s="1" t="s">
        <v>337</v>
      </c>
      <c r="E19" s="15">
        <f t="shared" si="1"/>
        <v>91.25</v>
      </c>
      <c r="F19" s="15">
        <f t="shared" si="0"/>
        <v>91.25</v>
      </c>
      <c r="G19" s="15">
        <f t="shared" si="0"/>
        <v>91.25</v>
      </c>
      <c r="H19" s="15">
        <f t="shared" si="0"/>
        <v>91.25</v>
      </c>
      <c r="I19" s="15">
        <f t="shared" si="0"/>
        <v>91.25</v>
      </c>
      <c r="J19" s="15">
        <f t="shared" si="0"/>
        <v>91.25</v>
      </c>
      <c r="K19" s="15">
        <f t="shared" si="0"/>
        <v>91.25</v>
      </c>
      <c r="L19" s="15">
        <f t="shared" si="0"/>
        <v>91.25</v>
      </c>
      <c r="M19" s="15">
        <f t="shared" si="0"/>
        <v>91.25</v>
      </c>
      <c r="N19" s="15">
        <f t="shared" si="0"/>
        <v>91.25</v>
      </c>
      <c r="O19" s="16" t="s">
        <v>116</v>
      </c>
      <c r="T19" s="22"/>
    </row>
    <row r="20" spans="1:20" ht="20" customHeight="1" x14ac:dyDescent="0.25">
      <c r="A20" s="5" t="str">
        <f>HYPERLINK("#'Input - Crop pasture farm input'!A1", "Crop pasture farm input")</f>
        <v>Crop pasture farm input</v>
      </c>
      <c r="D20" s="1" t="s">
        <v>338</v>
      </c>
      <c r="E20" s="15">
        <f t="shared" si="1"/>
        <v>91.25</v>
      </c>
      <c r="F20" s="15">
        <f t="shared" si="0"/>
        <v>91.25</v>
      </c>
      <c r="G20" s="15">
        <f t="shared" si="0"/>
        <v>91.25</v>
      </c>
      <c r="H20" s="15">
        <f t="shared" si="0"/>
        <v>91.25</v>
      </c>
      <c r="I20" s="15">
        <f t="shared" si="0"/>
        <v>91.25</v>
      </c>
      <c r="J20" s="15">
        <f t="shared" si="0"/>
        <v>91.25</v>
      </c>
      <c r="K20" s="15">
        <f t="shared" si="0"/>
        <v>91.25</v>
      </c>
      <c r="L20" s="15">
        <f t="shared" si="0"/>
        <v>91.25</v>
      </c>
      <c r="M20" s="15">
        <f t="shared" si="0"/>
        <v>91.25</v>
      </c>
      <c r="N20" s="15">
        <f t="shared" si="0"/>
        <v>91.25</v>
      </c>
      <c r="O20" s="16" t="s">
        <v>116</v>
      </c>
      <c r="T20" s="22"/>
    </row>
    <row r="21" spans="1:20" ht="20" customHeight="1" x14ac:dyDescent="0.25">
      <c r="A21" s="5" t="str">
        <f>HYPERLINK("#'Input - Livestock farm Inputs'!A1", "Livestock farm Inputs")</f>
        <v>Livestock farm Inputs</v>
      </c>
      <c r="T21" s="22"/>
    </row>
    <row r="22" spans="1:20" ht="20" customHeight="1" x14ac:dyDescent="0.25">
      <c r="A22" s="5" t="str">
        <f>HYPERLINK("#'Input - Freight'!A1", "Freight")</f>
        <v>Freight</v>
      </c>
      <c r="D22" s="100" t="s">
        <v>339</v>
      </c>
      <c r="E22" s="100" t="s">
        <v>326</v>
      </c>
      <c r="F22" s="100" t="s">
        <v>184</v>
      </c>
      <c r="G22" s="100" t="s">
        <v>327</v>
      </c>
      <c r="H22" s="100" t="s">
        <v>328</v>
      </c>
      <c r="I22" s="100" t="s">
        <v>329</v>
      </c>
      <c r="J22" s="100" t="s">
        <v>330</v>
      </c>
      <c r="K22" s="100" t="s">
        <v>331</v>
      </c>
      <c r="L22" s="100" t="s">
        <v>332</v>
      </c>
      <c r="M22" s="100" t="s">
        <v>333</v>
      </c>
      <c r="N22" s="100" t="s">
        <v>334</v>
      </c>
      <c r="T22" s="22"/>
    </row>
    <row r="23" spans="1:20" ht="20" customHeight="1" x14ac:dyDescent="0.25">
      <c r="A23" s="5" t="str">
        <f>HYPERLINK("#'Input - Solid waste'!A1", "Solid waste")</f>
        <v>Solid waste</v>
      </c>
      <c r="D23" s="1" t="str">
        <f>TEXT(X_Cell_Site_StartDate, "mmmm yyyy")</f>
        <v>January 1900</v>
      </c>
      <c r="E23" s="76">
        <f t="shared" ref="E23:N34" si="2">DAY(EOMONTH($D23,0))</f>
        <v>31</v>
      </c>
      <c r="F23" s="76">
        <f t="shared" si="2"/>
        <v>31</v>
      </c>
      <c r="G23" s="76">
        <f t="shared" si="2"/>
        <v>31</v>
      </c>
      <c r="H23" s="76">
        <f t="shared" si="2"/>
        <v>31</v>
      </c>
      <c r="I23" s="76">
        <f t="shared" si="2"/>
        <v>31</v>
      </c>
      <c r="J23" s="76">
        <f t="shared" si="2"/>
        <v>31</v>
      </c>
      <c r="K23" s="76">
        <f t="shared" si="2"/>
        <v>31</v>
      </c>
      <c r="L23" s="76">
        <f t="shared" si="2"/>
        <v>31</v>
      </c>
      <c r="M23" s="76">
        <f t="shared" si="2"/>
        <v>31</v>
      </c>
      <c r="N23" s="76">
        <f t="shared" si="2"/>
        <v>31</v>
      </c>
      <c r="O23" s="16" t="s">
        <v>116</v>
      </c>
      <c r="T23" s="22"/>
    </row>
    <row r="24" spans="1:20" ht="20" customHeight="1" x14ac:dyDescent="0.25">
      <c r="A24" s="5" t="str">
        <f>HYPERLINK("#'Input - Manure sent off-site'!A1", "Manure sent off-site")</f>
        <v>Manure sent off-site</v>
      </c>
      <c r="D24" s="1" t="str">
        <f>TEXT(EDATE(X_Cell_Site_StartDate,1), "mmmm yyyy")</f>
        <v>January 1900</v>
      </c>
      <c r="E24" s="76">
        <f t="shared" si="2"/>
        <v>31</v>
      </c>
      <c r="F24" s="76">
        <f t="shared" si="2"/>
        <v>31</v>
      </c>
      <c r="G24" s="76">
        <f t="shared" si="2"/>
        <v>31</v>
      </c>
      <c r="H24" s="76">
        <f t="shared" si="2"/>
        <v>31</v>
      </c>
      <c r="I24" s="76">
        <f t="shared" si="2"/>
        <v>31</v>
      </c>
      <c r="J24" s="76">
        <f t="shared" si="2"/>
        <v>31</v>
      </c>
      <c r="K24" s="76">
        <f t="shared" si="2"/>
        <v>31</v>
      </c>
      <c r="L24" s="76">
        <f t="shared" si="2"/>
        <v>31</v>
      </c>
      <c r="M24" s="76">
        <f t="shared" si="2"/>
        <v>31</v>
      </c>
      <c r="N24" s="76">
        <f t="shared" si="2"/>
        <v>31</v>
      </c>
      <c r="O24" s="16" t="s">
        <v>116</v>
      </c>
      <c r="T24" s="22"/>
    </row>
    <row r="25" spans="1:20" ht="20" customHeight="1" x14ac:dyDescent="0.25">
      <c r="A25" s="5" t="str">
        <f>HYPERLINK("#'Input - Data quality'!A1", "Data quality")</f>
        <v>Data quality</v>
      </c>
      <c r="D25" s="1" t="str">
        <f>TEXT(EDATE(X_Cell_Site_StartDate,2), "mmmm yyyy")</f>
        <v>February 1900</v>
      </c>
      <c r="E25" s="76">
        <f t="shared" si="2"/>
        <v>28</v>
      </c>
      <c r="F25" s="76">
        <f t="shared" si="2"/>
        <v>28</v>
      </c>
      <c r="G25" s="76">
        <f t="shared" si="2"/>
        <v>28</v>
      </c>
      <c r="H25" s="76">
        <f t="shared" si="2"/>
        <v>28</v>
      </c>
      <c r="I25" s="76">
        <f t="shared" si="2"/>
        <v>28</v>
      </c>
      <c r="J25" s="76">
        <f t="shared" si="2"/>
        <v>28</v>
      </c>
      <c r="K25" s="76">
        <f t="shared" si="2"/>
        <v>28</v>
      </c>
      <c r="L25" s="76">
        <f t="shared" si="2"/>
        <v>28</v>
      </c>
      <c r="M25" s="76">
        <f t="shared" si="2"/>
        <v>28</v>
      </c>
      <c r="N25" s="76">
        <f t="shared" si="2"/>
        <v>28</v>
      </c>
      <c r="O25" s="16" t="s">
        <v>116</v>
      </c>
      <c r="T25" s="22"/>
    </row>
    <row r="26" spans="1:20" ht="20" customHeight="1" x14ac:dyDescent="0.25">
      <c r="D26" s="1" t="str">
        <f>TEXT(EDATE(X_Cell_Site_StartDate,3), "mmmm yyyy")</f>
        <v>March 1900</v>
      </c>
      <c r="E26" s="76">
        <f t="shared" si="2"/>
        <v>31</v>
      </c>
      <c r="F26" s="76">
        <f t="shared" si="2"/>
        <v>31</v>
      </c>
      <c r="G26" s="76">
        <f t="shared" si="2"/>
        <v>31</v>
      </c>
      <c r="H26" s="76">
        <f t="shared" si="2"/>
        <v>31</v>
      </c>
      <c r="I26" s="76">
        <f t="shared" si="2"/>
        <v>31</v>
      </c>
      <c r="J26" s="76">
        <f t="shared" si="2"/>
        <v>31</v>
      </c>
      <c r="K26" s="76">
        <f t="shared" si="2"/>
        <v>31</v>
      </c>
      <c r="L26" s="76">
        <f t="shared" si="2"/>
        <v>31</v>
      </c>
      <c r="M26" s="76">
        <f t="shared" si="2"/>
        <v>31</v>
      </c>
      <c r="N26" s="76">
        <f t="shared" si="2"/>
        <v>31</v>
      </c>
      <c r="O26" s="16" t="s">
        <v>116</v>
      </c>
      <c r="T26" s="22"/>
    </row>
    <row r="27" spans="1:20" ht="20" customHeight="1" x14ac:dyDescent="0.25">
      <c r="D27" s="1" t="str">
        <f>TEXT(EDATE(X_Cell_Site_StartDate,4), "mmmm yyyy")</f>
        <v>April 1900</v>
      </c>
      <c r="E27" s="76">
        <f t="shared" si="2"/>
        <v>30</v>
      </c>
      <c r="F27" s="76">
        <f t="shared" si="2"/>
        <v>30</v>
      </c>
      <c r="G27" s="76">
        <f t="shared" si="2"/>
        <v>30</v>
      </c>
      <c r="H27" s="76">
        <f t="shared" si="2"/>
        <v>30</v>
      </c>
      <c r="I27" s="76">
        <f t="shared" si="2"/>
        <v>30</v>
      </c>
      <c r="J27" s="76">
        <f t="shared" si="2"/>
        <v>30</v>
      </c>
      <c r="K27" s="76">
        <f t="shared" si="2"/>
        <v>30</v>
      </c>
      <c r="L27" s="76">
        <f t="shared" si="2"/>
        <v>30</v>
      </c>
      <c r="M27" s="76">
        <f t="shared" si="2"/>
        <v>30</v>
      </c>
      <c r="N27" s="76">
        <f t="shared" si="2"/>
        <v>30</v>
      </c>
      <c r="O27" s="16" t="s">
        <v>116</v>
      </c>
      <c r="T27" s="22"/>
    </row>
    <row r="28" spans="1:20" ht="20" customHeight="1" x14ac:dyDescent="0.25">
      <c r="A28" s="6" t="s">
        <v>2</v>
      </c>
      <c r="D28" s="1" t="str">
        <f>TEXT(EDATE(X_Cell_Site_StartDate,5), "mmmm yyyy")</f>
        <v>May 1900</v>
      </c>
      <c r="E28" s="76">
        <f t="shared" si="2"/>
        <v>31</v>
      </c>
      <c r="F28" s="76">
        <f t="shared" si="2"/>
        <v>31</v>
      </c>
      <c r="G28" s="76">
        <f t="shared" si="2"/>
        <v>31</v>
      </c>
      <c r="H28" s="76">
        <f t="shared" si="2"/>
        <v>31</v>
      </c>
      <c r="I28" s="76">
        <f t="shared" si="2"/>
        <v>31</v>
      </c>
      <c r="J28" s="76">
        <f t="shared" si="2"/>
        <v>31</v>
      </c>
      <c r="K28" s="76">
        <f t="shared" si="2"/>
        <v>31</v>
      </c>
      <c r="L28" s="76">
        <f t="shared" si="2"/>
        <v>31</v>
      </c>
      <c r="M28" s="76">
        <f t="shared" si="2"/>
        <v>31</v>
      </c>
      <c r="N28" s="76">
        <f t="shared" si="2"/>
        <v>31</v>
      </c>
      <c r="O28" s="16" t="s">
        <v>116</v>
      </c>
      <c r="T28" s="22"/>
    </row>
    <row r="29" spans="1:20" ht="20" customHeight="1" x14ac:dyDescent="0.25">
      <c r="A29" s="5" t="str">
        <f>HYPERLINK("#'3.2.1.1-2 Enteric Methane'!A1", "3.2.1.1-2 Enteric Methane")</f>
        <v>3.2.1.1-2 Enteric Methane</v>
      </c>
      <c r="D29" s="1" t="str">
        <f>TEXT(EDATE(X_Cell_Site_StartDate,6), "mmmm yyyy")</f>
        <v>June 1900</v>
      </c>
      <c r="E29" s="76">
        <f t="shared" si="2"/>
        <v>30</v>
      </c>
      <c r="F29" s="76">
        <f t="shared" si="2"/>
        <v>30</v>
      </c>
      <c r="G29" s="76">
        <f t="shared" si="2"/>
        <v>30</v>
      </c>
      <c r="H29" s="76">
        <f t="shared" si="2"/>
        <v>30</v>
      </c>
      <c r="I29" s="76">
        <f t="shared" si="2"/>
        <v>30</v>
      </c>
      <c r="J29" s="76">
        <f t="shared" si="2"/>
        <v>30</v>
      </c>
      <c r="K29" s="76">
        <f t="shared" si="2"/>
        <v>30</v>
      </c>
      <c r="L29" s="76">
        <f t="shared" si="2"/>
        <v>30</v>
      </c>
      <c r="M29" s="76">
        <f t="shared" si="2"/>
        <v>30</v>
      </c>
      <c r="N29" s="76">
        <f t="shared" si="2"/>
        <v>30</v>
      </c>
      <c r="O29" s="16" t="s">
        <v>116</v>
      </c>
      <c r="T29" s="22"/>
    </row>
    <row r="30" spans="1:20" ht="20" customHeight="1" x14ac:dyDescent="0.25">
      <c r="A30" s="5" t="str">
        <f>HYPERLINK("#'4.2.1.1-2 Methane'!A1", "4.2.1.1-2 Manure methane")</f>
        <v>4.2.1.1-2 Manure methane</v>
      </c>
      <c r="D30" s="1" t="str">
        <f>TEXT(EDATE(X_Cell_Site_StartDate,7), "mmmm yyyy")</f>
        <v>July 1900</v>
      </c>
      <c r="E30" s="76">
        <f t="shared" si="2"/>
        <v>31</v>
      </c>
      <c r="F30" s="76">
        <f t="shared" si="2"/>
        <v>31</v>
      </c>
      <c r="G30" s="76">
        <f t="shared" si="2"/>
        <v>31</v>
      </c>
      <c r="H30" s="76">
        <f t="shared" si="2"/>
        <v>31</v>
      </c>
      <c r="I30" s="76">
        <f t="shared" si="2"/>
        <v>31</v>
      </c>
      <c r="J30" s="76">
        <f t="shared" si="2"/>
        <v>31</v>
      </c>
      <c r="K30" s="76">
        <f t="shared" si="2"/>
        <v>31</v>
      </c>
      <c r="L30" s="76">
        <f t="shared" si="2"/>
        <v>31</v>
      </c>
      <c r="M30" s="76">
        <f t="shared" si="2"/>
        <v>31</v>
      </c>
      <c r="N30" s="76">
        <f t="shared" si="2"/>
        <v>31</v>
      </c>
      <c r="O30" s="16" t="s">
        <v>116</v>
      </c>
      <c r="T30" s="22"/>
    </row>
    <row r="31" spans="1:20" ht="20" customHeight="1" x14ac:dyDescent="0.25">
      <c r="A31" s="5" t="str">
        <f>HYPERLINK("#'4.2.1.3-4 Soil direct N20'!A1", "4.2.1.3-4 Soil direct N2O")</f>
        <v>4.2.1.3-4 Soil direct N2O</v>
      </c>
      <c r="D31" s="1" t="str">
        <f>TEXT(EDATE(X_Cell_Site_StartDate,8), "mmmm yyyy")</f>
        <v>August 1900</v>
      </c>
      <c r="E31" s="76">
        <f t="shared" si="2"/>
        <v>31</v>
      </c>
      <c r="F31" s="76">
        <f t="shared" si="2"/>
        <v>31</v>
      </c>
      <c r="G31" s="76">
        <f t="shared" si="2"/>
        <v>31</v>
      </c>
      <c r="H31" s="76">
        <f t="shared" si="2"/>
        <v>31</v>
      </c>
      <c r="I31" s="76">
        <f t="shared" si="2"/>
        <v>31</v>
      </c>
      <c r="J31" s="76">
        <f t="shared" si="2"/>
        <v>31</v>
      </c>
      <c r="K31" s="76">
        <f t="shared" si="2"/>
        <v>31</v>
      </c>
      <c r="L31" s="76">
        <f t="shared" si="2"/>
        <v>31</v>
      </c>
      <c r="M31" s="76">
        <f t="shared" si="2"/>
        <v>31</v>
      </c>
      <c r="N31" s="76">
        <f t="shared" si="2"/>
        <v>31</v>
      </c>
      <c r="O31" s="16" t="s">
        <v>116</v>
      </c>
      <c r="T31" s="22"/>
    </row>
    <row r="32" spans="1:20" ht="20" customHeight="1" x14ac:dyDescent="0.25">
      <c r="A32" s="5" t="str">
        <f>HYPERLINK("#'4.2.1.5-6 Soil Atmos Dep'!A1", "4.2.1.5-6 Soil atm. deposition")</f>
        <v>4.2.1.5-6 Soil atm. deposition</v>
      </c>
      <c r="D32" s="1" t="str">
        <f>TEXT(EDATE(X_Cell_Site_StartDate,9), "mmmm yyyy")</f>
        <v>September 1900</v>
      </c>
      <c r="E32" s="76">
        <f t="shared" si="2"/>
        <v>30</v>
      </c>
      <c r="F32" s="76">
        <f t="shared" si="2"/>
        <v>30</v>
      </c>
      <c r="G32" s="76">
        <f t="shared" si="2"/>
        <v>30</v>
      </c>
      <c r="H32" s="76">
        <f t="shared" si="2"/>
        <v>30</v>
      </c>
      <c r="I32" s="76">
        <f t="shared" si="2"/>
        <v>30</v>
      </c>
      <c r="J32" s="76">
        <f t="shared" si="2"/>
        <v>30</v>
      </c>
      <c r="K32" s="76">
        <f t="shared" si="2"/>
        <v>30</v>
      </c>
      <c r="L32" s="76">
        <f t="shared" si="2"/>
        <v>30</v>
      </c>
      <c r="M32" s="76">
        <f t="shared" si="2"/>
        <v>30</v>
      </c>
      <c r="N32" s="76">
        <f t="shared" si="2"/>
        <v>30</v>
      </c>
      <c r="O32" s="16" t="s">
        <v>116</v>
      </c>
      <c r="T32" s="22"/>
    </row>
    <row r="33" spans="1:20" ht="20" customHeight="1" x14ac:dyDescent="0.25">
      <c r="A33" s="5" t="str">
        <f>HYPERLINK("#'4.2.1.7-8 Soil leach runoff'!A1", "4.2.1.7-8 Soil leach &amp; runoff")</f>
        <v>4.2.1.7-8 Soil leach &amp; runoff</v>
      </c>
      <c r="D33" s="1" t="str">
        <f>TEXT(EDATE(X_Cell_Site_StartDate,10), "mmmm yyyy")</f>
        <v>October 1900</v>
      </c>
      <c r="E33" s="76">
        <f t="shared" si="2"/>
        <v>31</v>
      </c>
      <c r="F33" s="76">
        <f t="shared" si="2"/>
        <v>31</v>
      </c>
      <c r="G33" s="76">
        <f t="shared" si="2"/>
        <v>31</v>
      </c>
      <c r="H33" s="76">
        <f t="shared" si="2"/>
        <v>31</v>
      </c>
      <c r="I33" s="76">
        <f t="shared" si="2"/>
        <v>31</v>
      </c>
      <c r="J33" s="76">
        <f t="shared" si="2"/>
        <v>31</v>
      </c>
      <c r="K33" s="76">
        <f t="shared" si="2"/>
        <v>31</v>
      </c>
      <c r="L33" s="76">
        <f t="shared" si="2"/>
        <v>31</v>
      </c>
      <c r="M33" s="76">
        <f t="shared" si="2"/>
        <v>31</v>
      </c>
      <c r="N33" s="76">
        <f t="shared" si="2"/>
        <v>31</v>
      </c>
      <c r="O33" s="16" t="s">
        <v>116</v>
      </c>
      <c r="T33" s="22"/>
    </row>
    <row r="34" spans="1:20" ht="20" customHeight="1" x14ac:dyDescent="0.25">
      <c r="A34" s="5" t="str">
        <f>HYPERLINK("#'5.1.1.1-2 Inorganic fert N2O'!A1", "5.1.1.1-2 Inorganic fert N2O")</f>
        <v>5.1.1.1-2 Inorganic fert N2O</v>
      </c>
      <c r="D34" s="1" t="str">
        <f>TEXT(EDATE(X_Cell_Site_StartDate,11), "mmmm yyyy")</f>
        <v>November 1900</v>
      </c>
      <c r="E34" s="76">
        <f t="shared" si="2"/>
        <v>30</v>
      </c>
      <c r="F34" s="76">
        <f t="shared" si="2"/>
        <v>30</v>
      </c>
      <c r="G34" s="76">
        <f t="shared" si="2"/>
        <v>30</v>
      </c>
      <c r="H34" s="76">
        <f t="shared" si="2"/>
        <v>30</v>
      </c>
      <c r="I34" s="76">
        <f t="shared" si="2"/>
        <v>30</v>
      </c>
      <c r="J34" s="76">
        <f t="shared" si="2"/>
        <v>30</v>
      </c>
      <c r="K34" s="76">
        <f t="shared" si="2"/>
        <v>30</v>
      </c>
      <c r="L34" s="76">
        <f t="shared" si="2"/>
        <v>30</v>
      </c>
      <c r="M34" s="76">
        <f t="shared" si="2"/>
        <v>30</v>
      </c>
      <c r="N34" s="76">
        <f t="shared" si="2"/>
        <v>30</v>
      </c>
      <c r="O34" s="16" t="s">
        <v>116</v>
      </c>
      <c r="T34" s="22"/>
    </row>
    <row r="35" spans="1:20" ht="20" customHeight="1" x14ac:dyDescent="0.25">
      <c r="A35" s="5" t="str">
        <f>HYPERLINK("#'5.1.1.3-4 Inorganic fert CO2'!A1", "5.1.1.3-4 Inorganic fert CO2")</f>
        <v>5.1.1.3-4 Inorganic fert CO2</v>
      </c>
      <c r="T35" s="22"/>
    </row>
    <row r="36" spans="1:20" ht="20" customHeight="1" x14ac:dyDescent="0.25">
      <c r="A36" s="5" t="str">
        <f>HYPERLINK("#'5.2.1.1-2 Organic Fert N2O'!A1", "5.2.1.1-2 Organic fert N2O")</f>
        <v>5.2.1.1-2 Organic fert N2O</v>
      </c>
      <c r="T36" s="22"/>
    </row>
    <row r="37" spans="1:20" ht="20" customHeight="1" x14ac:dyDescent="0.25">
      <c r="A37" s="5" t="str">
        <f>HYPERLINK("#'5.3.1.1-2 Lime CO2'!A1", "5.3.1.1-2 Lime CO2")</f>
        <v>5.3.1.1-2 Lime CO2</v>
      </c>
      <c r="D37" s="79" t="s">
        <v>340</v>
      </c>
      <c r="T37" s="22"/>
    </row>
    <row r="38" spans="1:20" ht="20" customHeight="1" x14ac:dyDescent="0.25">
      <c r="A38" s="5" t="str">
        <f>HYPERLINK("#'5.4.1.1-4 Atmos deposition'!A1", "5.4.1.1-4 Atmos. deposition")</f>
        <v>5.4.1.1-4 Atmos. deposition</v>
      </c>
      <c r="D38" s="100" t="s">
        <v>341</v>
      </c>
      <c r="E38" s="100" t="s">
        <v>326</v>
      </c>
      <c r="F38" s="100" t="s">
        <v>184</v>
      </c>
      <c r="G38" s="100" t="s">
        <v>327</v>
      </c>
      <c r="H38" s="100" t="s">
        <v>328</v>
      </c>
      <c r="I38" s="100" t="s">
        <v>329</v>
      </c>
      <c r="J38" s="100" t="s">
        <v>330</v>
      </c>
      <c r="K38" s="100" t="s">
        <v>331</v>
      </c>
      <c r="L38" s="100" t="s">
        <v>332</v>
      </c>
      <c r="M38" s="100" t="s">
        <v>333</v>
      </c>
      <c r="N38" s="100" t="s">
        <v>334</v>
      </c>
      <c r="T38" s="22"/>
    </row>
    <row r="39" spans="1:20" ht="20" customHeight="1" x14ac:dyDescent="0.25">
      <c r="A39" s="5" t="str">
        <f>HYPERLINK("#'5.5.1.1-2 Leaching and runoff'!A1", "5.5.1.1-2 Leaching &amp; runoff")</f>
        <v>5.5.1.1-2 Leaching &amp; runoff</v>
      </c>
      <c r="D39" s="1" t="s">
        <v>335</v>
      </c>
      <c r="E39" s="76"/>
      <c r="F39" s="76"/>
      <c r="G39" s="76"/>
      <c r="H39" s="76"/>
      <c r="I39" s="76"/>
      <c r="J39" s="76"/>
      <c r="K39" s="76"/>
      <c r="L39" s="76"/>
      <c r="M39" s="76"/>
      <c r="N39" s="76"/>
      <c r="O39" s="16" t="s">
        <v>340</v>
      </c>
      <c r="T39" s="22"/>
    </row>
    <row r="40" spans="1:20" ht="20" customHeight="1" x14ac:dyDescent="0.25">
      <c r="A40" s="5" t="str">
        <f>HYPERLINK("#'6.2.1.1-2 Pasture residue N2O'!A1", "6.2.1.1-2 Pasture residue N2O")</f>
        <v>6.2.1.1-2 Pasture residue N2O</v>
      </c>
      <c r="D40" s="1" t="s">
        <v>336</v>
      </c>
      <c r="E40" s="76"/>
      <c r="F40" s="76"/>
      <c r="G40" s="76"/>
      <c r="H40" s="76"/>
      <c r="I40" s="76"/>
      <c r="J40" s="76"/>
      <c r="K40" s="76"/>
      <c r="L40" s="76"/>
      <c r="M40" s="76"/>
      <c r="N40" s="76"/>
      <c r="O40" s="16" t="s">
        <v>340</v>
      </c>
      <c r="T40" s="22"/>
    </row>
    <row r="41" spans="1:20" ht="20" customHeight="1" x14ac:dyDescent="0.25">
      <c r="A41" s="5" t="str">
        <f>HYPERLINK("#'6.3.1.1-2 Leach runoff pasture'!A1", "6.3.1.1-2 Leach &amp; runoff (pasture)")</f>
        <v>6.3.1.1-2 Leach &amp; runoff (pasture)</v>
      </c>
      <c r="D41" s="1" t="s">
        <v>337</v>
      </c>
      <c r="E41" s="76"/>
      <c r="F41" s="76"/>
      <c r="G41" s="76"/>
      <c r="H41" s="76"/>
      <c r="I41" s="76"/>
      <c r="J41" s="76"/>
      <c r="K41" s="76"/>
      <c r="L41" s="76"/>
      <c r="M41" s="76"/>
      <c r="N41" s="76"/>
      <c r="O41" s="16" t="s">
        <v>340</v>
      </c>
      <c r="T41" s="22"/>
    </row>
    <row r="42" spans="1:20" ht="20" customHeight="1" x14ac:dyDescent="0.25">
      <c r="A42" s="5" t="str">
        <f>HYPERLINK("#'8.1.1.1-2 Transport fuel'!A1", "8.1.1.1-2 Transport fuel")</f>
        <v>8.1.1.1-2 Transport fuel</v>
      </c>
      <c r="D42" s="1" t="s">
        <v>338</v>
      </c>
      <c r="E42" s="76"/>
      <c r="F42" s="76"/>
      <c r="G42" s="76"/>
      <c r="H42" s="76"/>
      <c r="I42" s="76"/>
      <c r="J42" s="76"/>
      <c r="K42" s="76"/>
      <c r="L42" s="76"/>
      <c r="M42" s="76"/>
      <c r="N42" s="76"/>
      <c r="O42" s="16" t="s">
        <v>340</v>
      </c>
      <c r="T42" s="22"/>
    </row>
    <row r="43" spans="1:20" ht="20" customHeight="1" x14ac:dyDescent="0.25">
      <c r="A43" s="5" t="str">
        <f>HYPERLINK("#'8.2.1.1-2 Stationary fuel'!A1", "8.2.1.1-2 Stationary fuel")</f>
        <v>8.2.1.1-2 Stationary fuel</v>
      </c>
      <c r="O43" s="16"/>
      <c r="T43" s="22"/>
    </row>
    <row r="44" spans="1:20" ht="20" customHeight="1" x14ac:dyDescent="0.25">
      <c r="A44" s="5" t="str">
        <f>HYPERLINK("#'10.1.1-2 Solid waste treatment'!A1", "10.1.1.1-2 Solid waste")</f>
        <v>10.1.1.1-2 Solid waste</v>
      </c>
      <c r="D44" s="100" t="s">
        <v>342</v>
      </c>
      <c r="E44" s="100" t="s">
        <v>326</v>
      </c>
      <c r="F44" s="100" t="s">
        <v>184</v>
      </c>
      <c r="G44" s="100" t="s">
        <v>327</v>
      </c>
      <c r="H44" s="100" t="s">
        <v>328</v>
      </c>
      <c r="I44" s="100" t="s">
        <v>329</v>
      </c>
      <c r="J44" s="100" t="s">
        <v>330</v>
      </c>
      <c r="K44" s="100" t="s">
        <v>331</v>
      </c>
      <c r="L44" s="100" t="s">
        <v>332</v>
      </c>
      <c r="M44" s="100" t="s">
        <v>333</v>
      </c>
      <c r="N44" s="100" t="s">
        <v>334</v>
      </c>
      <c r="O44" s="16"/>
      <c r="T44" s="22"/>
    </row>
    <row r="45" spans="1:20" ht="20" customHeight="1" x14ac:dyDescent="0.25">
      <c r="A45" s="5" t="str">
        <f>HYPERLINK("#'14.1.1-2 Purchased electricity'!A1", "14.1.1-2 Purchased electricity")</f>
        <v>14.1.1-2 Purchased electricity</v>
      </c>
      <c r="D45" s="1" t="str">
        <f>TEXT(X_Cell_Site_StartDate, "mmmm yyyy")</f>
        <v>January 1900</v>
      </c>
      <c r="E45" s="76"/>
      <c r="F45" s="76"/>
      <c r="G45" s="76"/>
      <c r="H45" s="76"/>
      <c r="I45" s="76"/>
      <c r="J45" s="76"/>
      <c r="K45" s="76"/>
      <c r="L45" s="76"/>
      <c r="M45" s="76"/>
      <c r="N45" s="76"/>
      <c r="O45" s="16" t="s">
        <v>340</v>
      </c>
      <c r="T45" s="22"/>
    </row>
    <row r="46" spans="1:20" ht="20" customHeight="1" x14ac:dyDescent="0.25">
      <c r="A46" s="5" t="str">
        <f>HYPERLINK("#'15 Scope 3'!A1", "15 Scope 3")</f>
        <v>15 Scope 3</v>
      </c>
      <c r="D46" s="1" t="str">
        <f>TEXT(EDATE(X_Cell_Site_StartDate,1), "mmmm yyyy")</f>
        <v>January 1900</v>
      </c>
      <c r="E46" s="76"/>
      <c r="F46" s="76"/>
      <c r="G46" s="76"/>
      <c r="H46" s="76"/>
      <c r="I46" s="76"/>
      <c r="J46" s="76"/>
      <c r="K46" s="76"/>
      <c r="L46" s="76"/>
      <c r="M46" s="76"/>
      <c r="N46" s="76"/>
      <c r="O46" s="16" t="s">
        <v>340</v>
      </c>
      <c r="T46" s="22"/>
    </row>
    <row r="47" spans="1:20" ht="20" customHeight="1" x14ac:dyDescent="0.25">
      <c r="A47" s="5" t="str">
        <f>HYPERLINK("#'Calcs - Manure sent off-site'!A1", "Calcs - Manure sent off-site")</f>
        <v>Calcs - Manure sent off-site</v>
      </c>
      <c r="D47" s="1" t="str">
        <f>TEXT(EDATE(X_Cell_Site_StartDate,2), "mmmm yyyy")</f>
        <v>February 1900</v>
      </c>
      <c r="E47" s="76"/>
      <c r="F47" s="76"/>
      <c r="G47" s="76"/>
      <c r="H47" s="76"/>
      <c r="I47" s="76"/>
      <c r="J47" s="76"/>
      <c r="K47" s="76"/>
      <c r="L47" s="76"/>
      <c r="M47" s="76"/>
      <c r="N47" s="76"/>
      <c r="O47" s="16" t="s">
        <v>340</v>
      </c>
      <c r="T47" s="22"/>
    </row>
    <row r="48" spans="1:20" ht="20" customHeight="1" x14ac:dyDescent="0.25">
      <c r="D48" s="1" t="str">
        <f>TEXT(EDATE(X_Cell_Site_StartDate,3), "mmmm yyyy")</f>
        <v>March 1900</v>
      </c>
      <c r="E48" s="76"/>
      <c r="F48" s="76"/>
      <c r="G48" s="76"/>
      <c r="H48" s="76"/>
      <c r="I48" s="76"/>
      <c r="J48" s="76"/>
      <c r="K48" s="76"/>
      <c r="L48" s="76"/>
      <c r="M48" s="76"/>
      <c r="N48" s="76"/>
      <c r="O48" s="16" t="s">
        <v>340</v>
      </c>
      <c r="T48" s="22"/>
    </row>
    <row r="49" spans="1:20" ht="20" customHeight="1" x14ac:dyDescent="0.25">
      <c r="D49" s="1" t="str">
        <f>TEXT(EDATE(X_Cell_Site_StartDate,4), "mmmm yyyy")</f>
        <v>April 1900</v>
      </c>
      <c r="E49" s="76"/>
      <c r="F49" s="76"/>
      <c r="G49" s="76"/>
      <c r="H49" s="76"/>
      <c r="I49" s="76"/>
      <c r="J49" s="76"/>
      <c r="K49" s="76"/>
      <c r="L49" s="76"/>
      <c r="M49" s="76"/>
      <c r="N49" s="76"/>
      <c r="O49" s="16" t="s">
        <v>340</v>
      </c>
      <c r="T49" s="22"/>
    </row>
    <row r="50" spans="1:20" ht="20" customHeight="1" x14ac:dyDescent="0.25">
      <c r="A50" s="85" t="s">
        <v>1</v>
      </c>
      <c r="D50" s="1" t="str">
        <f>TEXT(EDATE(X_Cell_Site_StartDate,5), "mmmm yyyy")</f>
        <v>May 1900</v>
      </c>
      <c r="E50" s="76"/>
      <c r="F50" s="76"/>
      <c r="G50" s="76"/>
      <c r="H50" s="76"/>
      <c r="I50" s="76"/>
      <c r="J50" s="76"/>
      <c r="K50" s="76"/>
      <c r="L50" s="76"/>
      <c r="M50" s="76"/>
      <c r="N50" s="76"/>
      <c r="O50" s="16" t="s">
        <v>340</v>
      </c>
      <c r="P50" s="25"/>
      <c r="T50" s="22"/>
    </row>
    <row r="51" spans="1:20" ht="20" customHeight="1" x14ac:dyDescent="0.25">
      <c r="A51" s="5" t="str">
        <f>HYPERLINK("#'Constants - Pasture Beef'!A1", "Constants - Pasture Beef")</f>
        <v>Constants - Pasture Beef</v>
      </c>
      <c r="D51" s="1" t="str">
        <f>TEXT(EDATE(X_Cell_Site_StartDate,6), "mmmm yyyy")</f>
        <v>June 1900</v>
      </c>
      <c r="E51" s="76"/>
      <c r="F51" s="76"/>
      <c r="G51" s="76"/>
      <c r="H51" s="76"/>
      <c r="I51" s="76"/>
      <c r="J51" s="76"/>
      <c r="K51" s="76"/>
      <c r="L51" s="76"/>
      <c r="M51" s="76"/>
      <c r="N51" s="76"/>
      <c r="O51" s="16" t="s">
        <v>340</v>
      </c>
      <c r="P51" s="25"/>
      <c r="T51" s="22"/>
    </row>
    <row r="52" spans="1:20" ht="20" customHeight="1" x14ac:dyDescent="0.25">
      <c r="A52" s="5" t="str">
        <f>HYPERLINK("#'Constants - Ag Residue'!A1", "Constants - Ag residue")</f>
        <v>Constants - Ag residue</v>
      </c>
      <c r="D52" s="1" t="str">
        <f>TEXT(EDATE(X_Cell_Site_StartDate,7), "mmmm yyyy")</f>
        <v>July 1900</v>
      </c>
      <c r="E52" s="76"/>
      <c r="F52" s="76"/>
      <c r="G52" s="76"/>
      <c r="H52" s="76"/>
      <c r="I52" s="76"/>
      <c r="J52" s="76"/>
      <c r="K52" s="76"/>
      <c r="L52" s="76"/>
      <c r="M52" s="76"/>
      <c r="N52" s="76"/>
      <c r="O52" s="16" t="s">
        <v>340</v>
      </c>
      <c r="P52" s="25"/>
      <c r="T52" s="22"/>
    </row>
    <row r="53" spans="1:20" ht="20" customHeight="1" x14ac:dyDescent="0.25">
      <c r="A53" s="5" t="str">
        <f>HYPERLINK("#'Constants - Common Livestock'!A1", "Constants - Common Livestock")</f>
        <v>Constants - Common Livestock</v>
      </c>
      <c r="D53" s="1" t="str">
        <f>TEXT(EDATE(X_Cell_Site_StartDate,8), "mmmm yyyy")</f>
        <v>August 1900</v>
      </c>
      <c r="E53" s="76"/>
      <c r="F53" s="76"/>
      <c r="G53" s="76"/>
      <c r="H53" s="76"/>
      <c r="I53" s="76"/>
      <c r="J53" s="76"/>
      <c r="K53" s="76"/>
      <c r="L53" s="76"/>
      <c r="M53" s="76"/>
      <c r="N53" s="76"/>
      <c r="O53" s="16" t="s">
        <v>340</v>
      </c>
      <c r="P53" s="25"/>
      <c r="T53" s="22"/>
    </row>
    <row r="54" spans="1:20" ht="20" customHeight="1" x14ac:dyDescent="0.25">
      <c r="A54" s="5" t="str">
        <f>HYPERLINK("#'Constants - Electricity'!A1", "Constants - Electricity")</f>
        <v>Constants - Electricity</v>
      </c>
      <c r="D54" s="1" t="str">
        <f>TEXT(EDATE(X_Cell_Site_StartDate,9), "mmmm yyyy")</f>
        <v>September 1900</v>
      </c>
      <c r="E54" s="76"/>
      <c r="F54" s="76"/>
      <c r="G54" s="76"/>
      <c r="H54" s="76"/>
      <c r="I54" s="76"/>
      <c r="J54" s="76"/>
      <c r="K54" s="76"/>
      <c r="L54" s="76"/>
      <c r="M54" s="76"/>
      <c r="N54" s="76"/>
      <c r="O54" s="16" t="s">
        <v>340</v>
      </c>
      <c r="P54" s="25"/>
      <c r="T54" s="22"/>
    </row>
    <row r="55" spans="1:20" ht="20" customHeight="1" x14ac:dyDescent="0.25">
      <c r="A55" s="5" t="str">
        <f>HYPERLINK("#'Constants - Fertiliser'!A1", "Constants - Fertiliser")</f>
        <v>Constants - Fertiliser</v>
      </c>
      <c r="D55" s="1" t="str">
        <f>TEXT(EDATE(X_Cell_Site_StartDate,10), "mmmm yyyy")</f>
        <v>October 1900</v>
      </c>
      <c r="E55" s="76"/>
      <c r="F55" s="76"/>
      <c r="G55" s="76"/>
      <c r="H55" s="76"/>
      <c r="I55" s="76"/>
      <c r="J55" s="76"/>
      <c r="K55" s="76"/>
      <c r="L55" s="76"/>
      <c r="M55" s="76"/>
      <c r="N55" s="76"/>
      <c r="O55" s="16" t="s">
        <v>340</v>
      </c>
      <c r="P55" s="25"/>
      <c r="T55" s="22"/>
    </row>
    <row r="56" spans="1:20" ht="20" customHeight="1" x14ac:dyDescent="0.25">
      <c r="A56" s="5" t="str">
        <f>HYPERLINK("#'Constants - Fuel'!A1", "Constants - Fuel")</f>
        <v>Constants - Fuel</v>
      </c>
      <c r="D56" s="1" t="str">
        <f>TEXT(EDATE(X_Cell_Site_StartDate,11), "mmmm yyyy")</f>
        <v>November 1900</v>
      </c>
      <c r="E56" s="76"/>
      <c r="F56" s="76"/>
      <c r="G56" s="76"/>
      <c r="H56" s="76"/>
      <c r="I56" s="76"/>
      <c r="J56" s="76"/>
      <c r="K56" s="76"/>
      <c r="L56" s="76"/>
      <c r="M56" s="76"/>
      <c r="N56" s="76"/>
      <c r="O56" s="16" t="s">
        <v>340</v>
      </c>
      <c r="P56" s="25"/>
      <c r="T56" s="22"/>
    </row>
    <row r="57" spans="1:20" ht="20" customHeight="1" x14ac:dyDescent="0.25">
      <c r="A57" s="5" t="str">
        <f>HYPERLINK("#'Constants - Scope 3'!A1", "Constants - Scope 3")</f>
        <v>Constants - Scope 3</v>
      </c>
      <c r="P57" s="25"/>
      <c r="T57" s="22"/>
    </row>
    <row r="58" spans="1:20" ht="20" customHeight="1" x14ac:dyDescent="0.25">
      <c r="A58" s="5" t="str">
        <f>HYPERLINK("#'Constants - Solid Waste'!A1", "Constants - Solid Waste")</f>
        <v>Constants - Solid Waste</v>
      </c>
      <c r="P58" s="25"/>
      <c r="T58" s="22"/>
    </row>
    <row r="59" spans="1:20" ht="20" customHeight="1" x14ac:dyDescent="0.25">
      <c r="A59" s="5" t="str">
        <f>HYPERLINK("#'Constants - Common'!A1", "Constants - Common")</f>
        <v>Constants - Common</v>
      </c>
      <c r="D59" s="79" t="s">
        <v>252</v>
      </c>
      <c r="P59" s="25"/>
      <c r="T59" s="22"/>
    </row>
    <row r="60" spans="1:20" ht="20" customHeight="1" x14ac:dyDescent="0.25">
      <c r="A60" s="5" t="str">
        <f>HYPERLINK("#'Acknowledgements'!A1", "Acknowledgements")</f>
        <v>Acknowledgements</v>
      </c>
      <c r="D60" s="100" t="s">
        <v>325</v>
      </c>
      <c r="E60" s="100" t="s">
        <v>326</v>
      </c>
      <c r="F60" s="100" t="s">
        <v>184</v>
      </c>
      <c r="G60" s="100" t="s">
        <v>327</v>
      </c>
      <c r="H60" s="100" t="s">
        <v>328</v>
      </c>
      <c r="I60" s="100" t="s">
        <v>329</v>
      </c>
      <c r="J60" s="100" t="s">
        <v>330</v>
      </c>
      <c r="K60" s="100" t="s">
        <v>331</v>
      </c>
      <c r="L60" s="100" t="s">
        <v>332</v>
      </c>
      <c r="M60" s="100" t="s">
        <v>333</v>
      </c>
      <c r="N60" s="100" t="s">
        <v>334</v>
      </c>
      <c r="P60" s="25"/>
      <c r="T60" s="22"/>
    </row>
    <row r="61" spans="1:20" ht="20" customHeight="1" x14ac:dyDescent="0.25">
      <c r="D61" s="1" t="s">
        <v>335</v>
      </c>
      <c r="E61" s="15" t="e">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1" s="15" t="e">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1" s="15" t="e">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1" s="15" t="e">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1" s="15" t="e">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1" s="15" t="e">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1" s="15" t="e">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1" s="15" t="e">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1" s="15" t="e">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1" s="15" t="e">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1" s="16" t="s">
        <v>343</v>
      </c>
      <c r="P61" s="25"/>
      <c r="T61" s="22"/>
    </row>
    <row r="62" spans="1:20" ht="20" customHeight="1" x14ac:dyDescent="0.25">
      <c r="D62" s="1" t="s">
        <v>336</v>
      </c>
      <c r="E62" s="15" t="e">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2" s="15" t="e">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2" s="15" t="e">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2" s="15" t="e">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2" s="15" t="e">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2" s="15" t="e">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2" s="15" t="e">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2" s="15" t="e">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2" s="15" t="e">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2" s="15" t="e">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2" s="16" t="s">
        <v>343</v>
      </c>
      <c r="P62" s="25"/>
      <c r="T62" s="22"/>
    </row>
    <row r="63" spans="1:20" ht="20" customHeight="1" x14ac:dyDescent="0.25">
      <c r="D63" s="1" t="s">
        <v>337</v>
      </c>
      <c r="E63" s="15" t="e">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3" s="15" t="e">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3" s="15" t="e">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3" s="15" t="e">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3" s="15" t="e">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3" s="15" t="e">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3" s="15" t="e">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3" s="15" t="e">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3" s="15" t="e">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3" s="15" t="e">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3" s="16" t="s">
        <v>343</v>
      </c>
      <c r="P63" s="25"/>
      <c r="T63" s="22"/>
    </row>
    <row r="64" spans="1:20" ht="20" customHeight="1" x14ac:dyDescent="0.25">
      <c r="D64" s="1" t="s">
        <v>338</v>
      </c>
      <c r="E64" s="15" t="e">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4" s="15" t="e">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4" s="15" t="e">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4" s="15" t="e">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4" s="15" t="e">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4" s="15" t="e">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4" s="15" t="e">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4" s="15" t="e">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4" s="15" t="e">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4" s="15" t="e">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4" s="16" t="s">
        <v>343</v>
      </c>
      <c r="P64" s="25"/>
      <c r="T64" s="22"/>
    </row>
    <row r="65" spans="4:20" ht="20" customHeight="1" x14ac:dyDescent="0.25">
      <c r="O65" s="16"/>
      <c r="P65" s="25"/>
      <c r="T65" s="22"/>
    </row>
    <row r="66" spans="4:20" ht="20" customHeight="1" x14ac:dyDescent="0.25">
      <c r="D66" s="100" t="s">
        <v>339</v>
      </c>
      <c r="E66" s="100" t="s">
        <v>326</v>
      </c>
      <c r="F66" s="100" t="s">
        <v>184</v>
      </c>
      <c r="G66" s="100" t="s">
        <v>327</v>
      </c>
      <c r="H66" s="100" t="s">
        <v>328</v>
      </c>
      <c r="I66" s="100" t="s">
        <v>329</v>
      </c>
      <c r="J66" s="100" t="s">
        <v>330</v>
      </c>
      <c r="K66" s="100" t="s">
        <v>331</v>
      </c>
      <c r="L66" s="100" t="s">
        <v>332</v>
      </c>
      <c r="M66" s="100" t="s">
        <v>333</v>
      </c>
      <c r="N66" s="100" t="s">
        <v>334</v>
      </c>
      <c r="O66" s="16"/>
      <c r="P66" s="25"/>
      <c r="T66" s="22"/>
    </row>
    <row r="67" spans="4:20" ht="20" customHeight="1" x14ac:dyDescent="0.25">
      <c r="D67" s="1" t="str">
        <f>TEXT(X_Cell_Site_StartDate, "mmmm yyyy")</f>
        <v>January 1900</v>
      </c>
      <c r="E67" s="76" t="e">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7" s="76" t="e">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7" s="76" t="e">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7" s="76" t="e">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7" s="76" t="e">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7" s="76" t="e">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7" s="76" t="e">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7" s="76" t="e">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7" s="76" t="e">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7" s="76" t="e">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7" s="16" t="s">
        <v>343</v>
      </c>
      <c r="P67" s="25"/>
      <c r="T67" s="22"/>
    </row>
    <row r="68" spans="4:20" ht="20" customHeight="1" x14ac:dyDescent="0.25">
      <c r="D68" s="1" t="str">
        <f>TEXT(EDATE(X_Cell_Site_StartDate,1), "mmmm yyyy")</f>
        <v>January 1900</v>
      </c>
      <c r="E68" s="76" t="e">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8" s="76" t="e">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8" s="76" t="e">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8" s="76" t="e">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8" s="76" t="e">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8" s="76" t="e">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8" s="76" t="e">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8" s="76" t="e">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8" s="76" t="e">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8" s="76" t="e">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8" s="16" t="s">
        <v>343</v>
      </c>
      <c r="P68" s="25"/>
      <c r="T68" s="22"/>
    </row>
    <row r="69" spans="4:20" ht="20" customHeight="1" x14ac:dyDescent="0.25">
      <c r="D69" s="1" t="str">
        <f>TEXT(EDATE(X_Cell_Site_StartDate,2), "mmmm yyyy")</f>
        <v>February 1900</v>
      </c>
      <c r="E69" s="76" t="e">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9" s="76" t="e">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9" s="76" t="e">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9" s="76" t="e">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9" s="76" t="e">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9" s="76" t="e">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9" s="76" t="e">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9" s="76" t="e">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9" s="76" t="e">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9" s="76" t="e">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9" s="16" t="s">
        <v>343</v>
      </c>
      <c r="P69" s="25"/>
      <c r="T69" s="22"/>
    </row>
    <row r="70" spans="4:20" ht="20" customHeight="1" x14ac:dyDescent="0.25">
      <c r="D70" s="1" t="str">
        <f>TEXT(EDATE(X_Cell_Site_StartDate,3), "mmmm yyyy")</f>
        <v>March 1900</v>
      </c>
      <c r="E70" s="76" t="e">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0" s="76" t="e">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0" s="76" t="e">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0" s="76" t="e">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0" s="76" t="e">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0" s="76" t="e">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0" s="76" t="e">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0" s="76" t="e">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0" s="76" t="e">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0" s="76" t="e">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0" s="16" t="s">
        <v>343</v>
      </c>
      <c r="P70" s="25"/>
      <c r="T70" s="22"/>
    </row>
    <row r="71" spans="4:20" ht="20" customHeight="1" x14ac:dyDescent="0.25">
      <c r="D71" s="1" t="str">
        <f>TEXT(EDATE(X_Cell_Site_StartDate,4), "mmmm yyyy")</f>
        <v>April 1900</v>
      </c>
      <c r="E71" s="76" t="e">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1" s="76" t="e">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1" s="76" t="e">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1" s="76" t="e">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1" s="76" t="e">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1" s="76" t="e">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1" s="76" t="e">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1" s="76" t="e">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1" s="76" t="e">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1" s="76" t="e">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1" s="16" t="s">
        <v>343</v>
      </c>
      <c r="P71" s="25"/>
      <c r="T71" s="22"/>
    </row>
    <row r="72" spans="4:20" ht="20" customHeight="1" x14ac:dyDescent="0.25">
      <c r="D72" s="1" t="str">
        <f>TEXT(EDATE(X_Cell_Site_StartDate,5), "mmmm yyyy")</f>
        <v>May 1900</v>
      </c>
      <c r="E72" s="76" t="e">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2" s="76" t="e">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2" s="76" t="e">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2" s="76" t="e">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2" s="76" t="e">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2" s="76" t="e">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2" s="76" t="e">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2" s="76" t="e">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2" s="76" t="e">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2" s="76" t="e">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2" s="16" t="s">
        <v>343</v>
      </c>
      <c r="T72" s="22"/>
    </row>
    <row r="73" spans="4:20" ht="20" customHeight="1" x14ac:dyDescent="0.25">
      <c r="D73" s="1" t="str">
        <f>TEXT(EDATE(X_Cell_Site_StartDate,6), "mmmm yyyy")</f>
        <v>June 1900</v>
      </c>
      <c r="E73" s="76" t="e">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3" s="76" t="e">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3" s="76" t="e">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3" s="76" t="e">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3" s="76" t="e">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3" s="76" t="e">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3" s="76" t="e">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3" s="76" t="e">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3" s="76" t="e">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3" s="76" t="e">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3" s="16" t="s">
        <v>343</v>
      </c>
      <c r="T73" s="22"/>
    </row>
    <row r="74" spans="4:20" ht="20" customHeight="1" x14ac:dyDescent="0.25">
      <c r="D74" s="1" t="str">
        <f>TEXT(EDATE(X_Cell_Site_StartDate,7), "mmmm yyyy")</f>
        <v>July 1900</v>
      </c>
      <c r="E74" s="76" t="e">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4" s="76" t="e">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4" s="76" t="e">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4" s="76" t="e">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4" s="76" t="e">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4" s="76" t="e">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4" s="76" t="e">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4" s="76" t="e">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4" s="76" t="e">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4" s="76" t="e">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4" s="16" t="s">
        <v>343</v>
      </c>
      <c r="T74" s="22"/>
    </row>
    <row r="75" spans="4:20" ht="20" customHeight="1" x14ac:dyDescent="0.25">
      <c r="D75" s="1" t="str">
        <f>TEXT(EDATE(X_Cell_Site_StartDate,8), "mmmm yyyy")</f>
        <v>August 1900</v>
      </c>
      <c r="E75" s="76" t="e">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5" s="76" t="e">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5" s="76" t="e">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5" s="76" t="e">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5" s="76" t="e">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5" s="76" t="e">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5" s="76" t="e">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5" s="76" t="e">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5" s="76" t="e">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5" s="76" t="e">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5" s="16" t="s">
        <v>343</v>
      </c>
      <c r="T75" s="22"/>
    </row>
    <row r="76" spans="4:20" ht="20" customHeight="1" x14ac:dyDescent="0.25">
      <c r="D76" s="1" t="str">
        <f>TEXT(EDATE(X_Cell_Site_StartDate,9), "mmmm yyyy")</f>
        <v>September 1900</v>
      </c>
      <c r="E76" s="76" t="e">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6" s="76" t="e">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6" s="76" t="e">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6" s="76" t="e">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6" s="76" t="e">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6" s="76" t="e">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6" s="76" t="e">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6" s="76" t="e">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6" s="76" t="e">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6" s="76" t="e">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6" s="16" t="s">
        <v>343</v>
      </c>
      <c r="T76" s="22"/>
    </row>
    <row r="77" spans="4:20" ht="20" customHeight="1" x14ac:dyDescent="0.25">
      <c r="D77" s="1" t="str">
        <f>TEXT(EDATE(X_Cell_Site_StartDate,10), "mmmm yyyy")</f>
        <v>October 1900</v>
      </c>
      <c r="E77" s="76" t="e">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7" s="76" t="e">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7" s="76" t="e">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7" s="76" t="e">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7" s="76" t="e">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7" s="76" t="e">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7" s="76" t="e">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7" s="76" t="e">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7" s="76" t="e">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7" s="76" t="e">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7" s="16" t="s">
        <v>343</v>
      </c>
      <c r="T77" s="22"/>
    </row>
    <row r="78" spans="4:20" ht="20" customHeight="1" x14ac:dyDescent="0.25">
      <c r="D78" s="1" t="str">
        <f>TEXT(EDATE(X_Cell_Site_StartDate,11), "mmmm yyyy")</f>
        <v>November 1900</v>
      </c>
      <c r="E78" s="76" t="e">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8" s="76" t="e">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8" s="76" t="e">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8" s="76" t="e">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8" s="76" t="e">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8" s="76" t="e">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8" s="76" t="e">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8" s="76" t="e">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8" s="76" t="e">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8" s="76" t="e">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8" s="16" t="s">
        <v>343</v>
      </c>
      <c r="T78" s="22"/>
    </row>
    <row r="79" spans="4:20" ht="20" customHeight="1" x14ac:dyDescent="0.25">
      <c r="T79" s="22"/>
    </row>
    <row r="80" spans="4:20" ht="20" customHeight="1" x14ac:dyDescent="0.25">
      <c r="T80" s="22"/>
    </row>
    <row r="81" spans="4:20" ht="20" customHeight="1" x14ac:dyDescent="0.25">
      <c r="D81" s="79" t="s">
        <v>253</v>
      </c>
      <c r="T81" s="22"/>
    </row>
    <row r="82" spans="4:20" ht="20" customHeight="1" x14ac:dyDescent="0.25">
      <c r="D82" s="100" t="s">
        <v>325</v>
      </c>
      <c r="E82" s="100" t="s">
        <v>326</v>
      </c>
      <c r="F82" s="100" t="s">
        <v>184</v>
      </c>
      <c r="G82" s="100" t="s">
        <v>327</v>
      </c>
      <c r="H82" s="100" t="s">
        <v>328</v>
      </c>
      <c r="I82" s="100" t="s">
        <v>329</v>
      </c>
      <c r="J82" s="100" t="s">
        <v>330</v>
      </c>
      <c r="K82" s="100" t="s">
        <v>331</v>
      </c>
      <c r="L82" s="100" t="s">
        <v>332</v>
      </c>
      <c r="M82" s="100" t="s">
        <v>333</v>
      </c>
      <c r="N82" s="100" t="s">
        <v>334</v>
      </c>
      <c r="T82" s="22"/>
    </row>
    <row r="83" spans="4:20" ht="20" customHeight="1" x14ac:dyDescent="0.25">
      <c r="D83" s="1" t="s">
        <v>335</v>
      </c>
      <c r="E83" s="15" t="e">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3" s="15" t="e">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3" s="15" t="e">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3" s="15" t="e">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3" s="15" t="e">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3" s="15" t="e">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3" s="15" t="e">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3" s="15" t="e">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3" s="15" t="e">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3" s="15" t="e">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3" s="16" t="s">
        <v>344</v>
      </c>
      <c r="T83" s="22"/>
    </row>
    <row r="84" spans="4:20" ht="20" customHeight="1" x14ac:dyDescent="0.25">
      <c r="D84" s="1" t="s">
        <v>336</v>
      </c>
      <c r="E84" s="15" t="e">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4" s="15" t="e">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4" s="15" t="e">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4" s="15" t="e">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4" s="15" t="e">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4" s="15" t="e">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4" s="15" t="e">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4" s="15" t="e">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4" s="15" t="e">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4" s="15" t="e">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4" s="16" t="s">
        <v>344</v>
      </c>
      <c r="T84" s="22"/>
    </row>
    <row r="85" spans="4:20" ht="20" customHeight="1" x14ac:dyDescent="0.25">
      <c r="D85" s="1" t="s">
        <v>337</v>
      </c>
      <c r="E85" s="15" t="e">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5" s="15" t="e">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5" s="15" t="e">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5" s="15" t="e">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5" s="15" t="e">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5" s="15" t="e">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5" s="15" t="e">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5" s="15" t="e">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5" s="15" t="e">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5" s="15" t="e">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5" s="16" t="s">
        <v>344</v>
      </c>
      <c r="T85" s="22"/>
    </row>
    <row r="86" spans="4:20" ht="20" customHeight="1" x14ac:dyDescent="0.25">
      <c r="D86" s="1" t="s">
        <v>338</v>
      </c>
      <c r="E86" s="15" t="e">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6" s="15" t="e">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6" s="15" t="e">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6" s="15" t="e">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6" s="15" t="e">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6" s="15" t="e">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6" s="15" t="e">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6" s="15" t="e">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6" s="15" t="e">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6" s="15" t="e">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6" s="16" t="s">
        <v>344</v>
      </c>
      <c r="T86" s="22"/>
    </row>
    <row r="87" spans="4:20" ht="20" customHeight="1" x14ac:dyDescent="0.25">
      <c r="O87" s="16"/>
      <c r="T87" s="22"/>
    </row>
    <row r="88" spans="4:20" ht="20" customHeight="1" x14ac:dyDescent="0.25">
      <c r="D88" s="100" t="s">
        <v>339</v>
      </c>
      <c r="E88" s="100" t="s">
        <v>326</v>
      </c>
      <c r="F88" s="100" t="s">
        <v>184</v>
      </c>
      <c r="G88" s="100" t="s">
        <v>327</v>
      </c>
      <c r="H88" s="100" t="s">
        <v>328</v>
      </c>
      <c r="I88" s="100" t="s">
        <v>329</v>
      </c>
      <c r="J88" s="100" t="s">
        <v>330</v>
      </c>
      <c r="K88" s="100" t="s">
        <v>331</v>
      </c>
      <c r="L88" s="100" t="s">
        <v>332</v>
      </c>
      <c r="M88" s="100" t="s">
        <v>333</v>
      </c>
      <c r="N88" s="100" t="s">
        <v>334</v>
      </c>
      <c r="O88" s="16"/>
      <c r="T88" s="22"/>
    </row>
    <row r="89" spans="4:20" ht="20" customHeight="1" x14ac:dyDescent="0.25">
      <c r="D89" s="1" t="str">
        <f>TEXT(X_Cell_Site_StartDate, "mmmm yyyy")</f>
        <v>January 1900</v>
      </c>
      <c r="E89" s="76" t="e">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89" s="76" t="e">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89" s="76" t="e">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89" s="76" t="e">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89" s="76" t="e">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89" s="76" t="e">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89" s="76" t="e">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89" s="76" t="e">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89" s="76" t="e">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89" s="76" t="e">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89" s="16" t="s">
        <v>344</v>
      </c>
      <c r="T89" s="22"/>
    </row>
    <row r="90" spans="4:20" ht="20" customHeight="1" x14ac:dyDescent="0.25">
      <c r="D90" s="1" t="str">
        <f>TEXT(EDATE(X_Cell_Site_StartDate,1), "mmmm yyyy")</f>
        <v>January 1900</v>
      </c>
      <c r="E90" s="76" t="e">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0" s="76" t="e">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0" s="76" t="e">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0" s="76" t="e">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0" s="76" t="e">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0" s="76" t="e">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0" s="76" t="e">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0" s="76" t="e">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0" s="76" t="e">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0" s="76" t="e">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0" s="16" t="s">
        <v>344</v>
      </c>
      <c r="T90" s="22"/>
    </row>
    <row r="91" spans="4:20" ht="20" customHeight="1" x14ac:dyDescent="0.25">
      <c r="D91" s="1" t="str">
        <f>TEXT(EDATE(X_Cell_Site_StartDate,2), "mmmm yyyy")</f>
        <v>February 1900</v>
      </c>
      <c r="E91" s="76" t="e">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1" s="76" t="e">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1" s="76" t="e">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1" s="76" t="e">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1" s="76" t="e">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1" s="76" t="e">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1" s="76" t="e">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1" s="76" t="e">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1" s="76" t="e">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1" s="76" t="e">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1" s="16" t="s">
        <v>344</v>
      </c>
      <c r="T91" s="22"/>
    </row>
    <row r="92" spans="4:20" ht="20" customHeight="1" x14ac:dyDescent="0.25">
      <c r="D92" s="1" t="str">
        <f>TEXT(EDATE(X_Cell_Site_StartDate,3), "mmmm yyyy")</f>
        <v>March 1900</v>
      </c>
      <c r="E92" s="76" t="e">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2" s="76" t="e">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2" s="76" t="e">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2" s="76" t="e">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2" s="76" t="e">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2" s="76" t="e">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2" s="76" t="e">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2" s="76" t="e">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2" s="76" t="e">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2" s="76" t="e">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2" s="16" t="s">
        <v>344</v>
      </c>
      <c r="T92" s="22"/>
    </row>
    <row r="93" spans="4:20" ht="20" customHeight="1" x14ac:dyDescent="0.25">
      <c r="D93" s="1" t="str">
        <f>TEXT(EDATE(X_Cell_Site_StartDate,4), "mmmm yyyy")</f>
        <v>April 1900</v>
      </c>
      <c r="E93" s="76" t="e">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3" s="76" t="e">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3" s="76" t="e">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3" s="76" t="e">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3" s="76" t="e">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3" s="76" t="e">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3" s="76" t="e">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3" s="76" t="e">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3" s="76" t="e">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3" s="76" t="e">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3" s="16" t="s">
        <v>344</v>
      </c>
      <c r="T93" s="22"/>
    </row>
    <row r="94" spans="4:20" ht="20" customHeight="1" x14ac:dyDescent="0.25">
      <c r="D94" s="1" t="str">
        <f>TEXT(EDATE(X_Cell_Site_StartDate,5), "mmmm yyyy")</f>
        <v>May 1900</v>
      </c>
      <c r="E94" s="76" t="e">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4" s="76" t="e">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4" s="76" t="e">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4" s="76" t="e">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4" s="76" t="e">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4" s="76" t="e">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4" s="76" t="e">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4" s="76" t="e">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4" s="76" t="e">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4" s="76" t="e">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4" s="16" t="s">
        <v>344</v>
      </c>
      <c r="T94" s="22"/>
    </row>
    <row r="95" spans="4:20" ht="20" customHeight="1" x14ac:dyDescent="0.25">
      <c r="D95" s="1" t="str">
        <f>TEXT(EDATE(X_Cell_Site_StartDate,6), "mmmm yyyy")</f>
        <v>June 1900</v>
      </c>
      <c r="E95" s="76" t="e">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5" s="76" t="e">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5" s="76" t="e">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5" s="76" t="e">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5" s="76" t="e">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5" s="76" t="e">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5" s="76" t="e">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5" s="76" t="e">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5" s="76" t="e">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5" s="76" t="e">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5" s="16" t="s">
        <v>344</v>
      </c>
      <c r="T95" s="22"/>
    </row>
    <row r="96" spans="4:20" ht="20" customHeight="1" x14ac:dyDescent="0.25">
      <c r="D96" s="1" t="str">
        <f>TEXT(EDATE(X_Cell_Site_StartDate,7), "mmmm yyyy")</f>
        <v>July 1900</v>
      </c>
      <c r="E96" s="76" t="e">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6" s="76" t="e">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6" s="76" t="e">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6" s="76" t="e">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6" s="76" t="e">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6" s="76" t="e">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6" s="76" t="e">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6" s="76" t="e">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6" s="76" t="e">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6" s="76" t="e">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6" s="16" t="s">
        <v>344</v>
      </c>
      <c r="T96" s="22"/>
    </row>
    <row r="97" spans="4:20" ht="20" customHeight="1" x14ac:dyDescent="0.25">
      <c r="D97" s="1" t="str">
        <f>TEXT(EDATE(X_Cell_Site_StartDate,8), "mmmm yyyy")</f>
        <v>August 1900</v>
      </c>
      <c r="E97" s="76" t="e">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7" s="76" t="e">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7" s="76" t="e">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7" s="76" t="e">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7" s="76" t="e">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7" s="76" t="e">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7" s="76" t="e">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7" s="76" t="e">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7" s="76" t="e">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7" s="76" t="e">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7" s="16" t="s">
        <v>344</v>
      </c>
      <c r="T97" s="22"/>
    </row>
    <row r="98" spans="4:20" ht="20" customHeight="1" x14ac:dyDescent="0.25">
      <c r="D98" s="1" t="str">
        <f>TEXT(EDATE(X_Cell_Site_StartDate,9), "mmmm yyyy")</f>
        <v>September 1900</v>
      </c>
      <c r="E98" s="76" t="e">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8" s="76" t="e">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8" s="76" t="e">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8" s="76" t="e">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8" s="76" t="e">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8" s="76" t="e">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8" s="76" t="e">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8" s="76" t="e">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8" s="76" t="e">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8" s="76" t="e">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8" s="16" t="s">
        <v>344</v>
      </c>
      <c r="T98" s="22"/>
    </row>
    <row r="99" spans="4:20" ht="20" customHeight="1" x14ac:dyDescent="0.25">
      <c r="D99" s="1" t="str">
        <f>TEXT(EDATE(X_Cell_Site_StartDate,10), "mmmm yyyy")</f>
        <v>October 1900</v>
      </c>
      <c r="E99" s="76" t="e">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9" s="76" t="e">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9" s="76" t="e">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9" s="76" t="e">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9" s="76" t="e">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9" s="76" t="e">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9" s="76" t="e">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9" s="76" t="e">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9" s="76" t="e">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9" s="76" t="e">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9" s="16" t="s">
        <v>344</v>
      </c>
      <c r="T99" s="22"/>
    </row>
    <row r="100" spans="4:20" ht="20" customHeight="1" x14ac:dyDescent="0.25">
      <c r="D100" s="1" t="str">
        <f>TEXT(EDATE(X_Cell_Site_StartDate,11), "mmmm yyyy")</f>
        <v>November 1900</v>
      </c>
      <c r="E100" s="76" t="e">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100" s="76" t="e">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100" s="76" t="e">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100" s="76" t="e">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100" s="76" t="e">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100" s="76" t="e">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100" s="76" t="e">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100" s="76" t="e">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100" s="76" t="e">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100" s="76" t="e">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100" s="16" t="s">
        <v>344</v>
      </c>
      <c r="T100" s="22"/>
    </row>
    <row r="101" spans="4:20" ht="20" customHeight="1" x14ac:dyDescent="0.25">
      <c r="T101" s="22"/>
    </row>
    <row r="102" spans="4:20" ht="20" customHeight="1" x14ac:dyDescent="0.25">
      <c r="T102" s="22"/>
    </row>
    <row r="103" spans="4:20" ht="20" customHeight="1" x14ac:dyDescent="0.25">
      <c r="D103" s="79" t="s">
        <v>345</v>
      </c>
      <c r="K103" s="16"/>
      <c r="L103" s="16"/>
      <c r="M103" s="16"/>
      <c r="N103" s="16"/>
      <c r="O103" s="16"/>
      <c r="T103" s="22"/>
    </row>
    <row r="104" spans="4:20" ht="20" customHeight="1" x14ac:dyDescent="0.25">
      <c r="D104" s="100" t="s">
        <v>325</v>
      </c>
      <c r="E104" s="100" t="s">
        <v>326</v>
      </c>
      <c r="F104" s="100" t="s">
        <v>184</v>
      </c>
      <c r="G104" s="100" t="s">
        <v>327</v>
      </c>
      <c r="H104" s="100" t="s">
        <v>328</v>
      </c>
      <c r="I104" s="100" t="s">
        <v>329</v>
      </c>
      <c r="J104" s="100" t="s">
        <v>330</v>
      </c>
      <c r="K104" s="100" t="s">
        <v>331</v>
      </c>
      <c r="L104" s="100" t="s">
        <v>332</v>
      </c>
      <c r="M104" s="100" t="s">
        <v>333</v>
      </c>
      <c r="N104" s="100" t="s">
        <v>334</v>
      </c>
      <c r="T104" s="22"/>
    </row>
    <row r="105" spans="4:20" ht="20" customHeight="1" x14ac:dyDescent="0.25">
      <c r="D105" s="1" t="s">
        <v>335</v>
      </c>
      <c r="E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5" s="16" t="s">
        <v>346</v>
      </c>
      <c r="T105" s="22"/>
    </row>
    <row r="106" spans="4:20" ht="20" customHeight="1" x14ac:dyDescent="0.25">
      <c r="D106" s="1" t="s">
        <v>336</v>
      </c>
      <c r="E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6" s="16" t="s">
        <v>346</v>
      </c>
      <c r="T106" s="22"/>
    </row>
    <row r="107" spans="4:20" ht="20" customHeight="1" x14ac:dyDescent="0.25">
      <c r="D107" s="1" t="s">
        <v>337</v>
      </c>
      <c r="E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7" s="16" t="s">
        <v>346</v>
      </c>
    </row>
    <row r="108" spans="4:20" ht="20" customHeight="1" x14ac:dyDescent="0.25">
      <c r="D108" s="1" t="s">
        <v>338</v>
      </c>
      <c r="E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8" s="16" t="s">
        <v>346</v>
      </c>
    </row>
    <row r="109" spans="4:20" ht="20" customHeight="1" x14ac:dyDescent="0.25"/>
    <row r="110" spans="4:20" ht="20" customHeight="1" x14ac:dyDescent="0.25">
      <c r="D110" s="100" t="s">
        <v>339</v>
      </c>
      <c r="E110" s="100" t="s">
        <v>326</v>
      </c>
      <c r="F110" s="100" t="s">
        <v>184</v>
      </c>
      <c r="G110" s="100" t="s">
        <v>327</v>
      </c>
      <c r="H110" s="100" t="s">
        <v>328</v>
      </c>
      <c r="I110" s="100" t="s">
        <v>329</v>
      </c>
      <c r="J110" s="100" t="s">
        <v>330</v>
      </c>
      <c r="K110" s="100" t="s">
        <v>331</v>
      </c>
      <c r="L110" s="100" t="s">
        <v>332</v>
      </c>
      <c r="M110" s="100" t="s">
        <v>333</v>
      </c>
      <c r="N110" s="100" t="s">
        <v>334</v>
      </c>
    </row>
    <row r="111" spans="4:20" ht="20" customHeight="1" x14ac:dyDescent="0.25">
      <c r="D111" s="1" t="str">
        <f>TEXT(X_Cell_Site_StartDate, "mmmm yyyy")</f>
        <v>January 1900</v>
      </c>
      <c r="E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1" s="16" t="s">
        <v>346</v>
      </c>
    </row>
    <row r="112" spans="4:20" ht="20" customHeight="1" x14ac:dyDescent="0.25">
      <c r="D112" s="1" t="str">
        <f>TEXT(EDATE(X_Cell_Site_StartDate,1), "mmmm yyyy")</f>
        <v>January 1900</v>
      </c>
      <c r="E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2" s="16" t="s">
        <v>346</v>
      </c>
    </row>
    <row r="113" spans="4:15" ht="20" customHeight="1" x14ac:dyDescent="0.25">
      <c r="D113" s="1" t="str">
        <f>TEXT(EDATE(X_Cell_Site_StartDate,2), "mmmm yyyy")</f>
        <v>February 1900</v>
      </c>
      <c r="E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3" s="16" t="s">
        <v>346</v>
      </c>
    </row>
    <row r="114" spans="4:15" ht="20" customHeight="1" x14ac:dyDescent="0.25">
      <c r="D114" s="1" t="str">
        <f>TEXT(EDATE(X_Cell_Site_StartDate,3), "mmmm yyyy")</f>
        <v>March 1900</v>
      </c>
      <c r="E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4" s="16" t="s">
        <v>346</v>
      </c>
    </row>
    <row r="115" spans="4:15" ht="20" customHeight="1" x14ac:dyDescent="0.25">
      <c r="D115" s="1" t="str">
        <f>TEXT(EDATE(X_Cell_Site_StartDate,4), "mmmm yyyy")</f>
        <v>April 1900</v>
      </c>
      <c r="E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5" s="16" t="s">
        <v>346</v>
      </c>
    </row>
    <row r="116" spans="4:15" ht="20" customHeight="1" x14ac:dyDescent="0.25">
      <c r="D116" s="1" t="str">
        <f>TEXT(EDATE(X_Cell_Site_StartDate,5), "mmmm yyyy")</f>
        <v>May 1900</v>
      </c>
      <c r="E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6" s="16" t="s">
        <v>346</v>
      </c>
    </row>
    <row r="117" spans="4:15" ht="20" customHeight="1" x14ac:dyDescent="0.25">
      <c r="D117" s="1" t="str">
        <f>TEXT(EDATE(X_Cell_Site_StartDate,6), "mmmm yyyy")</f>
        <v>June 1900</v>
      </c>
      <c r="E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7" s="16" t="s">
        <v>346</v>
      </c>
    </row>
    <row r="118" spans="4:15" ht="20" customHeight="1" x14ac:dyDescent="0.25">
      <c r="D118" s="1" t="str">
        <f>TEXT(EDATE(X_Cell_Site_StartDate,7), "mmmm yyyy")</f>
        <v>July 1900</v>
      </c>
      <c r="E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8" s="16" t="s">
        <v>346</v>
      </c>
    </row>
    <row r="119" spans="4:15" ht="20" customHeight="1" x14ac:dyDescent="0.25">
      <c r="D119" s="1" t="str">
        <f>TEXT(EDATE(X_Cell_Site_StartDate,8), "mmmm yyyy")</f>
        <v>August 1900</v>
      </c>
      <c r="E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9" s="16" t="s">
        <v>346</v>
      </c>
    </row>
    <row r="120" spans="4:15" ht="20" customHeight="1" x14ac:dyDescent="0.25">
      <c r="D120" s="1" t="str">
        <f>TEXT(EDATE(X_Cell_Site_StartDate,9), "mmmm yyyy")</f>
        <v>September 1900</v>
      </c>
      <c r="E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0" s="16" t="s">
        <v>346</v>
      </c>
    </row>
    <row r="121" spans="4:15" ht="20" customHeight="1" x14ac:dyDescent="0.25">
      <c r="D121" s="1" t="str">
        <f>TEXT(EDATE(X_Cell_Site_StartDate,10), "mmmm yyyy")</f>
        <v>October 1900</v>
      </c>
      <c r="E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1" s="16" t="s">
        <v>346</v>
      </c>
    </row>
    <row r="122" spans="4:15" ht="20" customHeight="1" x14ac:dyDescent="0.25">
      <c r="D122" s="1" t="str">
        <f>TEXT(EDATE(X_Cell_Site_StartDate,11), "mmmm yyyy")</f>
        <v>November 1900</v>
      </c>
      <c r="E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2" s="16" t="s">
        <v>346</v>
      </c>
    </row>
    <row r="123" spans="4:15" ht="20" customHeight="1" x14ac:dyDescent="0.25"/>
    <row r="124" spans="4:15" ht="20" customHeight="1" x14ac:dyDescent="0.25"/>
    <row r="125" spans="4:15" ht="20" customHeight="1" x14ac:dyDescent="0.25">
      <c r="D125" s="79" t="s">
        <v>347</v>
      </c>
      <c r="K125" s="16"/>
      <c r="L125" s="16"/>
      <c r="M125" s="16"/>
      <c r="N125" s="16"/>
      <c r="O125" s="16"/>
    </row>
    <row r="126" spans="4:15" ht="20" customHeight="1" x14ac:dyDescent="0.25">
      <c r="D126" s="100" t="s">
        <v>325</v>
      </c>
      <c r="E126" s="100" t="s">
        <v>326</v>
      </c>
      <c r="F126" s="100" t="s">
        <v>184</v>
      </c>
      <c r="G126" s="100" t="s">
        <v>327</v>
      </c>
      <c r="H126" s="100" t="s">
        <v>328</v>
      </c>
      <c r="I126" s="100" t="s">
        <v>329</v>
      </c>
      <c r="J126" s="100" t="s">
        <v>330</v>
      </c>
      <c r="K126" s="100" t="s">
        <v>331</v>
      </c>
      <c r="L126" s="100" t="s">
        <v>332</v>
      </c>
      <c r="M126" s="100" t="s">
        <v>333</v>
      </c>
      <c r="N126" s="100" t="s">
        <v>334</v>
      </c>
    </row>
    <row r="127" spans="4:15" ht="20" customHeight="1" x14ac:dyDescent="0.25">
      <c r="D127" s="1" t="s">
        <v>335</v>
      </c>
      <c r="E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F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G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H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I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J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K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L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M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N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O127" s="16" t="s">
        <v>346</v>
      </c>
    </row>
    <row r="128" spans="4:15" ht="20" customHeight="1" x14ac:dyDescent="0.25">
      <c r="D128" s="1" t="s">
        <v>336</v>
      </c>
      <c r="E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F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G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H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I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J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K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L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M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N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O128" s="16" t="s">
        <v>346</v>
      </c>
    </row>
    <row r="129" spans="4:15" ht="20" customHeight="1" x14ac:dyDescent="0.25">
      <c r="D129" s="1" t="s">
        <v>337</v>
      </c>
      <c r="E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F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G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H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I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J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K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L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M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N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O129" s="16" t="s">
        <v>346</v>
      </c>
    </row>
    <row r="130" spans="4:15" ht="20" customHeight="1" x14ac:dyDescent="0.25">
      <c r="D130" s="1" t="s">
        <v>338</v>
      </c>
      <c r="E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F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G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H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I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J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K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L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M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N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O130" s="16" t="s">
        <v>346</v>
      </c>
    </row>
    <row r="131" spans="4:15" ht="20" customHeight="1" x14ac:dyDescent="0.25"/>
    <row r="132" spans="4:15" ht="20" customHeight="1" x14ac:dyDescent="0.25">
      <c r="D132" s="100" t="s">
        <v>339</v>
      </c>
      <c r="E132" s="100" t="s">
        <v>326</v>
      </c>
      <c r="F132" s="100" t="s">
        <v>184</v>
      </c>
      <c r="G132" s="100" t="s">
        <v>327</v>
      </c>
      <c r="H132" s="100" t="s">
        <v>328</v>
      </c>
      <c r="I132" s="100" t="s">
        <v>329</v>
      </c>
      <c r="J132" s="100" t="s">
        <v>330</v>
      </c>
      <c r="K132" s="100" t="s">
        <v>331</v>
      </c>
      <c r="L132" s="100" t="s">
        <v>332</v>
      </c>
      <c r="M132" s="100" t="s">
        <v>333</v>
      </c>
      <c r="N132" s="100" t="s">
        <v>334</v>
      </c>
    </row>
    <row r="133" spans="4:15" ht="20" customHeight="1" x14ac:dyDescent="0.25">
      <c r="D133" s="1" t="str">
        <f>TEXT(X_Cell_Site_StartDate, "mmmm yyyy")</f>
        <v>January 1900</v>
      </c>
      <c r="E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3" s="16" t="s">
        <v>346</v>
      </c>
    </row>
    <row r="134" spans="4:15" ht="20" customHeight="1" x14ac:dyDescent="0.25">
      <c r="D134" s="1" t="str">
        <f>TEXT(EDATE(X_Cell_Site_StartDate,1), "mmmm yyyy")</f>
        <v>January 1900</v>
      </c>
      <c r="E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4" s="16" t="s">
        <v>346</v>
      </c>
    </row>
    <row r="135" spans="4:15" ht="20" customHeight="1" x14ac:dyDescent="0.25">
      <c r="D135" s="1" t="str">
        <f>TEXT(EDATE(X_Cell_Site_StartDate,2), "mmmm yyyy")</f>
        <v>February 1900</v>
      </c>
      <c r="E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5" s="16" t="s">
        <v>346</v>
      </c>
    </row>
    <row r="136" spans="4:15" ht="20" customHeight="1" x14ac:dyDescent="0.25">
      <c r="D136" s="1" t="str">
        <f>TEXT(EDATE(X_Cell_Site_StartDate,3), "mmmm yyyy")</f>
        <v>March 1900</v>
      </c>
      <c r="E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6" s="16" t="s">
        <v>346</v>
      </c>
    </row>
    <row r="137" spans="4:15" ht="20" customHeight="1" x14ac:dyDescent="0.25">
      <c r="D137" s="1" t="str">
        <f>TEXT(EDATE(X_Cell_Site_StartDate,4), "mmmm yyyy")</f>
        <v>April 1900</v>
      </c>
      <c r="E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7" s="16" t="s">
        <v>346</v>
      </c>
    </row>
    <row r="138" spans="4:15" ht="20" customHeight="1" x14ac:dyDescent="0.25">
      <c r="D138" s="1" t="str">
        <f>TEXT(EDATE(X_Cell_Site_StartDate,5), "mmmm yyyy")</f>
        <v>May 1900</v>
      </c>
      <c r="E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8" s="16" t="s">
        <v>346</v>
      </c>
    </row>
    <row r="139" spans="4:15" ht="20" customHeight="1" x14ac:dyDescent="0.25">
      <c r="D139" s="1" t="str">
        <f>TEXT(EDATE(X_Cell_Site_StartDate,6), "mmmm yyyy")</f>
        <v>June 1900</v>
      </c>
      <c r="E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9" s="16" t="s">
        <v>346</v>
      </c>
    </row>
    <row r="140" spans="4:15" ht="20" customHeight="1" x14ac:dyDescent="0.25">
      <c r="D140" s="1" t="str">
        <f>TEXT(EDATE(X_Cell_Site_StartDate,7), "mmmm yyyy")</f>
        <v>July 1900</v>
      </c>
      <c r="E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0" s="16" t="s">
        <v>346</v>
      </c>
    </row>
    <row r="141" spans="4:15" ht="20" customHeight="1" x14ac:dyDescent="0.25">
      <c r="D141" s="1" t="str">
        <f>TEXT(EDATE(X_Cell_Site_StartDate,8), "mmmm yyyy")</f>
        <v>August 1900</v>
      </c>
      <c r="E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1" s="16" t="s">
        <v>346</v>
      </c>
    </row>
    <row r="142" spans="4:15" ht="20" customHeight="1" x14ac:dyDescent="0.25">
      <c r="D142" s="1" t="str">
        <f>TEXT(EDATE(X_Cell_Site_StartDate,9), "mmmm yyyy")</f>
        <v>September 1900</v>
      </c>
      <c r="E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2" s="16" t="s">
        <v>346</v>
      </c>
    </row>
    <row r="143" spans="4:15" ht="20" customHeight="1" x14ac:dyDescent="0.25">
      <c r="D143" s="1" t="str">
        <f>TEXT(EDATE(X_Cell_Site_StartDate,10), "mmmm yyyy")</f>
        <v>October 1900</v>
      </c>
      <c r="E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3" s="16" t="s">
        <v>346</v>
      </c>
    </row>
    <row r="144" spans="4:15" ht="20" customHeight="1" x14ac:dyDescent="0.25">
      <c r="D144" s="1" t="str">
        <f>TEXT(EDATE(X_Cell_Site_StartDate,11), "mmmm yyyy")</f>
        <v>November 1900</v>
      </c>
      <c r="E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4" s="16" t="s">
        <v>346</v>
      </c>
    </row>
    <row r="145" spans="4:15" ht="20" customHeight="1" x14ac:dyDescent="0.25">
      <c r="L145" s="16"/>
      <c r="M145" s="16"/>
      <c r="N145" s="16"/>
      <c r="O145" s="16"/>
    </row>
    <row r="146" spans="4:15" ht="20" customHeight="1" x14ac:dyDescent="0.25">
      <c r="L146" s="16"/>
      <c r="M146" s="16"/>
      <c r="N146" s="16"/>
      <c r="O146" s="16"/>
    </row>
    <row r="147" spans="4:15" ht="20" customHeight="1" x14ac:dyDescent="0.25">
      <c r="D147" s="79" t="s">
        <v>348</v>
      </c>
      <c r="L147" s="16"/>
      <c r="M147" s="16"/>
      <c r="N147" s="16"/>
      <c r="O147" s="16"/>
    </row>
    <row r="148" spans="4:15" ht="20" customHeight="1" x14ac:dyDescent="0.25"/>
    <row r="149" spans="4:15" ht="20" customHeight="1" x14ac:dyDescent="0.25">
      <c r="D149" s="1" t="s">
        <v>349</v>
      </c>
      <c r="E149" s="13"/>
      <c r="F149" s="16" t="s">
        <v>106</v>
      </c>
      <c r="L149" s="16"/>
      <c r="M149" s="16"/>
      <c r="N149" s="16"/>
      <c r="O149" s="16"/>
    </row>
    <row r="150" spans="4:15" ht="20" customHeight="1" x14ac:dyDescent="0.25"/>
    <row r="151" spans="4:15" ht="20" customHeight="1" x14ac:dyDescent="0.25">
      <c r="D151" s="100" t="s">
        <v>351</v>
      </c>
      <c r="E151" s="100" t="s">
        <v>352</v>
      </c>
      <c r="L151" s="16"/>
      <c r="M151" s="16"/>
      <c r="N151" s="16"/>
      <c r="O151" s="16"/>
    </row>
    <row r="152" spans="4:15" ht="20" customHeight="1" x14ac:dyDescent="0.25">
      <c r="D152" s="1" t="s">
        <v>91</v>
      </c>
      <c r="E152" s="101" t="e">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#VALUE!</v>
      </c>
      <c r="F152" s="16" t="s">
        <v>353</v>
      </c>
      <c r="L152" s="16"/>
      <c r="M152" s="16"/>
      <c r="N152" s="16"/>
      <c r="O152" s="16"/>
    </row>
    <row r="153" spans="4:15" ht="20" customHeight="1" x14ac:dyDescent="0.25">
      <c r="D153" s="1" t="s">
        <v>79</v>
      </c>
      <c r="E153" s="101" t="e">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#VALUE!</v>
      </c>
      <c r="F153" s="16" t="s">
        <v>353</v>
      </c>
      <c r="L153" s="16"/>
      <c r="M153" s="16"/>
      <c r="N153" s="16"/>
      <c r="O153" s="16"/>
    </row>
    <row r="154" spans="4:15" ht="20" customHeight="1" x14ac:dyDescent="0.25">
      <c r="L154" s="16"/>
      <c r="M154" s="16"/>
      <c r="N154" s="16"/>
      <c r="O154" s="16"/>
    </row>
    <row r="155" spans="4:15" ht="20" customHeight="1" x14ac:dyDescent="0.25"/>
    <row r="156" spans="4:15" ht="20" customHeight="1" x14ac:dyDescent="0.25">
      <c r="D156" s="1" t="s">
        <v>354</v>
      </c>
      <c r="E156" s="13"/>
      <c r="F156" s="16" t="s">
        <v>106</v>
      </c>
      <c r="L156" s="16"/>
      <c r="M156" s="16"/>
      <c r="N156" s="16"/>
      <c r="O156" s="16"/>
    </row>
    <row r="157" spans="4:15" ht="20" customHeight="1" x14ac:dyDescent="0.25">
      <c r="E157" s="13"/>
      <c r="F157" s="16" t="s">
        <v>106</v>
      </c>
    </row>
    <row r="158" spans="4:15" ht="20" customHeight="1" x14ac:dyDescent="0.25"/>
    <row r="159" spans="4:15" ht="20" customHeight="1" x14ac:dyDescent="0.25"/>
    <row r="160" spans="4:15" ht="20" customHeight="1" x14ac:dyDescent="0.25">
      <c r="D160" s="79" t="s">
        <v>356</v>
      </c>
      <c r="K160" s="16"/>
      <c r="L160" s="16"/>
      <c r="M160" s="16"/>
      <c r="N160" s="16"/>
      <c r="O160" s="16"/>
    </row>
    <row r="161" spans="4:15" ht="20" customHeight="1" x14ac:dyDescent="0.25">
      <c r="D161" s="100" t="s">
        <v>341</v>
      </c>
      <c r="E161" s="100"/>
      <c r="F161" s="100"/>
      <c r="G161" s="100"/>
    </row>
    <row r="162" spans="4:15" ht="20" customHeight="1" x14ac:dyDescent="0.25">
      <c r="D162" s="1" t="s">
        <v>357</v>
      </c>
      <c r="E162" s="13" t="s">
        <v>338</v>
      </c>
      <c r="F162" s="16" t="s">
        <v>106</v>
      </c>
    </row>
    <row r="163" spans="4:15" ht="20" customHeight="1" x14ac:dyDescent="0.25"/>
    <row r="164" spans="4:15" ht="20" customHeight="1" x14ac:dyDescent="0.25"/>
    <row r="165" spans="4:15" ht="20" customHeight="1" x14ac:dyDescent="0.25">
      <c r="K165" s="1" t="s">
        <v>358</v>
      </c>
    </row>
    <row r="166" spans="4:15" ht="20" customHeight="1" x14ac:dyDescent="0.25"/>
    <row r="167" spans="4:15" ht="20" customHeight="1" x14ac:dyDescent="0.25">
      <c r="E167" s="100" t="s">
        <v>359</v>
      </c>
      <c r="F167" s="100" t="s">
        <v>328</v>
      </c>
      <c r="G167" s="100" t="s">
        <v>329</v>
      </c>
      <c r="H167" s="100" t="s">
        <v>330</v>
      </c>
      <c r="L167" s="1" t="s">
        <v>327</v>
      </c>
      <c r="M167" s="1" t="s">
        <v>331</v>
      </c>
      <c r="N167" s="16"/>
      <c r="O167" s="16"/>
    </row>
    <row r="168" spans="4:15" ht="20" customHeight="1" x14ac:dyDescent="0.25">
      <c r="D168" s="1" t="str">
        <f>"Proportion of cows &gt; 1 years in calf in " &amp; E162</f>
        <v>Proportion of cows &gt; 1 years in calf in Winter</v>
      </c>
      <c r="E168" s="13" t="s">
        <v>360</v>
      </c>
      <c r="F168" s="18">
        <v>0.7</v>
      </c>
      <c r="G168" s="18">
        <v>0.5</v>
      </c>
      <c r="H168" s="18">
        <v>0.5</v>
      </c>
      <c r="I168" s="16" t="s">
        <v>353</v>
      </c>
      <c r="L168" s="15">
        <f>MAX(0, G42-G41)</f>
        <v>0</v>
      </c>
      <c r="M168" s="15">
        <f>MAX(0,K42-K41)</f>
        <v>0</v>
      </c>
      <c r="N168" s="16"/>
      <c r="O168" s="16"/>
    </row>
    <row r="169" spans="4:15" ht="20" customHeight="1" x14ac:dyDescent="0.25">
      <c r="D169" s="1" t="s">
        <v>335</v>
      </c>
      <c r="E169" s="13" t="s">
        <v>360</v>
      </c>
      <c r="F169" s="18">
        <v>0.1</v>
      </c>
      <c r="G169" s="18">
        <v>0.4</v>
      </c>
      <c r="H169" s="18">
        <v>0.4</v>
      </c>
      <c r="I169" s="16" t="s">
        <v>353</v>
      </c>
      <c r="L169" s="15">
        <f>MAX(0, G39-G42)</f>
        <v>0</v>
      </c>
      <c r="M169" s="15">
        <f>MAX(0,K39-K42)</f>
        <v>0</v>
      </c>
    </row>
    <row r="170" spans="4:15" ht="20" customHeight="1" x14ac:dyDescent="0.25">
      <c r="D170" s="1" t="s">
        <v>336</v>
      </c>
      <c r="E170" s="13" t="s">
        <v>360</v>
      </c>
      <c r="F170" s="18">
        <v>0.1</v>
      </c>
      <c r="G170" s="18">
        <v>0</v>
      </c>
      <c r="H170" s="18">
        <v>0</v>
      </c>
      <c r="I170" s="16" t="s">
        <v>353</v>
      </c>
      <c r="L170" s="15">
        <f>MAX(0, G40-G39)</f>
        <v>0</v>
      </c>
      <c r="M170" s="15">
        <f>MAX(0,K40-K39)</f>
        <v>0</v>
      </c>
    </row>
    <row r="171" spans="4:15" ht="20" customHeight="1" x14ac:dyDescent="0.25">
      <c r="D171" s="1" t="s">
        <v>337</v>
      </c>
      <c r="E171" s="13" t="s">
        <v>350</v>
      </c>
      <c r="F171" s="18">
        <v>0</v>
      </c>
      <c r="G171" s="18">
        <v>0</v>
      </c>
      <c r="H171" s="18">
        <v>0</v>
      </c>
      <c r="I171" s="16" t="s">
        <v>353</v>
      </c>
      <c r="L171" s="15">
        <f>MAX(0,G41-G40)</f>
        <v>0</v>
      </c>
      <c r="M171" s="15">
        <f>MAX(0,K41-K40)</f>
        <v>0</v>
      </c>
    </row>
    <row r="172" spans="4:15" ht="20" customHeight="1" x14ac:dyDescent="0.25">
      <c r="J172" s="1" t="s">
        <v>361</v>
      </c>
    </row>
    <row r="173" spans="4:15" ht="20" customHeight="1" x14ac:dyDescent="0.25"/>
    <row r="174" spans="4:15" ht="20" customHeight="1" x14ac:dyDescent="0.25"/>
    <row r="175" spans="4:15" ht="20" customHeight="1" x14ac:dyDescent="0.25">
      <c r="D175" s="100" t="s">
        <v>342</v>
      </c>
      <c r="E175" s="100"/>
      <c r="F175" s="100"/>
      <c r="G175" s="100"/>
      <c r="L175" s="102" t="s">
        <v>362</v>
      </c>
    </row>
    <row r="176" spans="4:15" ht="20" customHeight="1" x14ac:dyDescent="0.25">
      <c r="D176" s="1" t="s">
        <v>363</v>
      </c>
      <c r="E176" s="13" t="s">
        <v>364</v>
      </c>
      <c r="F176" s="16" t="s">
        <v>106</v>
      </c>
      <c r="J176" s="77" t="s">
        <v>326</v>
      </c>
    </row>
    <row r="177" spans="4:15" ht="20" customHeight="1" x14ac:dyDescent="0.25">
      <c r="D177" s="1" t="s">
        <v>365</v>
      </c>
      <c r="E177" s="15" t="str">
        <f>TEXT(EDATE(E176,1), "mmmm yyyy")</f>
        <v>September 2024</v>
      </c>
      <c r="J177" s="1" t="s">
        <v>340</v>
      </c>
      <c r="K177" s="1" t="s">
        <v>366</v>
      </c>
      <c r="L177" s="1" t="s">
        <v>361</v>
      </c>
      <c r="M177" s="1" t="s">
        <v>367</v>
      </c>
      <c r="N177" s="1" t="s">
        <v>368</v>
      </c>
      <c r="O177" s="1" t="s">
        <v>369</v>
      </c>
    </row>
    <row r="178" spans="4:15" ht="20" customHeight="1" x14ac:dyDescent="0.25">
      <c r="D178" s="1" t="s">
        <v>370</v>
      </c>
      <c r="E178" s="15" t="str">
        <f>TEXT(EDATE(E176,2), "mmmm yyyy")</f>
        <v>October 2024</v>
      </c>
      <c r="J178" s="15">
        <f>E39</f>
        <v>0</v>
      </c>
      <c r="K178" s="15">
        <f>MAX(0, E39-E42)</f>
        <v>0</v>
      </c>
      <c r="L178" s="1" t="e">
        <f>K178/J178</f>
        <v>#DIV/0!</v>
      </c>
      <c r="M178" s="1" t="e">
        <f>K181/J178</f>
        <v>#DIV/0!</v>
      </c>
      <c r="N178" s="16" t="e">
        <f>1-(L178+M178)</f>
        <v>#DIV/0!</v>
      </c>
      <c r="O178" s="77" t="e">
        <f>(L178*6)+(M178*4)+(N178*0)</f>
        <v>#DIV/0!</v>
      </c>
    </row>
    <row r="179" spans="4:15" ht="20" customHeight="1" x14ac:dyDescent="0.25">
      <c r="J179" s="15">
        <f>E40</f>
        <v>0</v>
      </c>
      <c r="K179" s="15">
        <f>MAX(0, E40-E39)</f>
        <v>0</v>
      </c>
      <c r="L179" s="1" t="e">
        <f>K179/J179</f>
        <v>#DIV/0!</v>
      </c>
      <c r="M179" s="1" t="e">
        <f>K178/J179</f>
        <v>#DIV/0!</v>
      </c>
      <c r="N179" s="16" t="e">
        <f>1-(L179+M179)</f>
        <v>#DIV/0!</v>
      </c>
      <c r="O179" s="77" t="e">
        <f t="shared" ref="O179:O181" si="3">(L179*6)+(M179*4)+(N179*0)</f>
        <v>#DIV/0!</v>
      </c>
    </row>
    <row r="180" spans="4:15" ht="20" customHeight="1" x14ac:dyDescent="0.25">
      <c r="J180" s="15">
        <f>E41</f>
        <v>0</v>
      </c>
      <c r="K180" s="15">
        <f>MAX(0,E41-E40)</f>
        <v>0</v>
      </c>
      <c r="L180" s="1" t="e">
        <f>K180/J180</f>
        <v>#DIV/0!</v>
      </c>
      <c r="M180" s="1" t="e">
        <f>K179/J180</f>
        <v>#DIV/0!</v>
      </c>
      <c r="N180" s="16" t="e">
        <f>1-(L180+M180)</f>
        <v>#DIV/0!</v>
      </c>
      <c r="O180" s="77" t="e">
        <f t="shared" si="3"/>
        <v>#DIV/0!</v>
      </c>
    </row>
    <row r="181" spans="4:15" ht="20" customHeight="1" x14ac:dyDescent="0.25">
      <c r="E181" s="100" t="s">
        <v>328</v>
      </c>
      <c r="F181" s="100" t="s">
        <v>329</v>
      </c>
      <c r="G181" s="100" t="s">
        <v>330</v>
      </c>
      <c r="J181" s="15">
        <f>E42</f>
        <v>0</v>
      </c>
      <c r="K181" s="15">
        <f>MAX(0, E42-E41)</f>
        <v>0</v>
      </c>
      <c r="L181" s="1" t="e">
        <f>K181/J181</f>
        <v>#DIV/0!</v>
      </c>
      <c r="M181" s="16" t="e">
        <f>K180/J181</f>
        <v>#DIV/0!</v>
      </c>
      <c r="N181" s="16" t="e">
        <f>1-(L181+M181)</f>
        <v>#DIV/0!</v>
      </c>
      <c r="O181" s="77" t="e">
        <f t="shared" si="3"/>
        <v>#DIV/0!</v>
      </c>
    </row>
    <row r="182" spans="4:15" ht="20" customHeight="1" x14ac:dyDescent="0.25">
      <c r="D182" s="1" t="str">
        <f>E176</f>
        <v>August 2024</v>
      </c>
      <c r="E182" s="18">
        <v>0.25</v>
      </c>
      <c r="F182" s="18">
        <v>0.25</v>
      </c>
      <c r="G182" s="18">
        <v>0.25</v>
      </c>
      <c r="H182" s="16" t="s">
        <v>353</v>
      </c>
      <c r="L182" s="16"/>
      <c r="M182" s="16"/>
      <c r="N182" s="16"/>
      <c r="O182" s="16"/>
    </row>
    <row r="183" spans="4:15" ht="20" customHeight="1" x14ac:dyDescent="0.25">
      <c r="D183" s="1" t="str">
        <f>E177</f>
        <v>September 2024</v>
      </c>
      <c r="E183" s="18">
        <v>0.25</v>
      </c>
      <c r="F183" s="18">
        <v>0.25</v>
      </c>
      <c r="G183" s="18">
        <v>0.25</v>
      </c>
      <c r="H183" s="16" t="s">
        <v>353</v>
      </c>
    </row>
    <row r="184" spans="4:15" ht="20" customHeight="1" x14ac:dyDescent="0.25">
      <c r="D184" s="1" t="str">
        <f>E178</f>
        <v>October 2024</v>
      </c>
      <c r="E184" s="18">
        <v>0.25</v>
      </c>
      <c r="F184" s="18">
        <v>0.25</v>
      </c>
      <c r="G184" s="18">
        <v>0.25</v>
      </c>
      <c r="H184" s="16" t="s">
        <v>353</v>
      </c>
    </row>
    <row r="185" spans="4:15" ht="20" customHeight="1" x14ac:dyDescent="0.25">
      <c r="D185" s="1" t="str">
        <f>"Proportion of cows &gt; 1 years in calf in " &amp; D182 &amp; " to " &amp; D184</f>
        <v>Proportion of cows &gt; 1 years in calf in August 2024 to October 2024</v>
      </c>
      <c r="E185" s="19">
        <f>SUM(E182:E184)</f>
        <v>0.75</v>
      </c>
      <c r="F185" s="19">
        <f>SUM(F182:F184)</f>
        <v>0.75</v>
      </c>
      <c r="G185" s="19">
        <f>SUM(G182:G184)</f>
        <v>0.75</v>
      </c>
      <c r="H185" s="16" t="s">
        <v>353</v>
      </c>
    </row>
    <row r="186" spans="4:15" ht="20" customHeight="1" x14ac:dyDescent="0.25"/>
    <row r="187" spans="4:15" ht="20" customHeight="1" x14ac:dyDescent="0.25"/>
    <row r="188" spans="4:15" ht="20" customHeight="1" x14ac:dyDescent="0.25"/>
    <row r="189" spans="4:15" ht="20" customHeight="1" x14ac:dyDescent="0.25"/>
    <row r="190" spans="4:15" ht="20" customHeight="1" x14ac:dyDescent="0.25"/>
    <row r="191" spans="4:15" ht="20" customHeight="1" x14ac:dyDescent="0.25"/>
    <row r="192" spans="4:15" ht="20" customHeight="1" x14ac:dyDescent="0.25"/>
    <row r="193" spans="11:27" ht="20" customHeight="1" x14ac:dyDescent="0.25"/>
    <row r="194" spans="11:27" ht="20" customHeight="1" x14ac:dyDescent="0.25"/>
    <row r="195" spans="11:27" ht="20" customHeight="1" x14ac:dyDescent="0.25">
      <c r="K195" s="16"/>
    </row>
    <row r="196" spans="11:27" ht="20" customHeight="1" x14ac:dyDescent="0.25"/>
    <row r="197" spans="11:27" ht="20" customHeight="1" x14ac:dyDescent="0.25"/>
    <row r="198" spans="11:27" ht="20" customHeight="1" x14ac:dyDescent="0.25"/>
    <row r="199" spans="11:27" ht="20" customHeight="1" x14ac:dyDescent="0.25"/>
    <row r="200" spans="11:27" ht="20" customHeight="1" x14ac:dyDescent="0.25"/>
    <row r="201" spans="11:27" ht="20" customHeight="1" x14ac:dyDescent="0.25"/>
    <row r="202" spans="11:27" ht="20" customHeight="1" x14ac:dyDescent="0.25"/>
    <row r="203" spans="11:27" ht="20" customHeight="1" x14ac:dyDescent="0.25"/>
    <row r="204" spans="11:27" ht="20" customHeight="1" x14ac:dyDescent="0.25"/>
    <row r="205" spans="11:27" ht="20" customHeight="1" x14ac:dyDescent="0.25">
      <c r="Z205" s="98"/>
    </row>
    <row r="206" spans="11:27" ht="20" customHeight="1" x14ac:dyDescent="0.25">
      <c r="Z206" s="98"/>
      <c r="AA206" s="98"/>
    </row>
    <row r="207" spans="11:27" ht="20" customHeight="1" x14ac:dyDescent="0.25">
      <c r="Z207" s="98"/>
      <c r="AA207" s="98"/>
    </row>
    <row r="208" spans="11:27" ht="20" customHeight="1" x14ac:dyDescent="0.25">
      <c r="Z208" s="98"/>
      <c r="AA208" s="98"/>
    </row>
    <row r="209" spans="26:27" ht="20" customHeight="1" x14ac:dyDescent="0.25">
      <c r="Z209" s="98"/>
      <c r="AA209" s="98"/>
    </row>
    <row r="210" spans="26:27" ht="20" customHeight="1" x14ac:dyDescent="0.25">
      <c r="Z210" s="98"/>
      <c r="AA210" s="98"/>
    </row>
    <row r="211" spans="26:27" ht="20" customHeight="1" x14ac:dyDescent="0.25">
      <c r="Z211" s="98"/>
      <c r="AA211" s="98"/>
    </row>
    <row r="212" spans="26:27" ht="20" customHeight="1" x14ac:dyDescent="0.25">
      <c r="Z212" s="98"/>
      <c r="AA212" s="98"/>
    </row>
    <row r="213" spans="26:27" ht="20" customHeight="1" x14ac:dyDescent="0.25">
      <c r="Z213" s="98"/>
      <c r="AA213" s="98"/>
    </row>
    <row r="214" spans="26:27" ht="20" customHeight="1" x14ac:dyDescent="0.25">
      <c r="Z214" s="98"/>
      <c r="AA214" s="98"/>
    </row>
    <row r="215" spans="26:27" ht="20" customHeight="1" x14ac:dyDescent="0.25">
      <c r="Z215" s="98"/>
      <c r="AA215" s="98"/>
    </row>
    <row r="216" spans="26:27" ht="20" customHeight="1" x14ac:dyDescent="0.25">
      <c r="Z216" s="98"/>
    </row>
    <row r="217" spans="26:27" ht="20" customHeight="1" x14ac:dyDescent="0.25"/>
    <row r="218" spans="26:27" ht="20" customHeight="1" x14ac:dyDescent="0.25"/>
    <row r="219" spans="26:27" ht="20" customHeight="1" x14ac:dyDescent="0.25"/>
    <row r="220" spans="26:27" ht="20" customHeight="1" x14ac:dyDescent="0.25"/>
    <row r="221" spans="26:27" ht="20" customHeight="1" x14ac:dyDescent="0.25"/>
    <row r="222" spans="26:27" ht="20" customHeight="1" x14ac:dyDescent="0.25"/>
    <row r="223" spans="26:27" ht="20" customHeight="1" x14ac:dyDescent="0.25"/>
    <row r="227" spans="11:15" x14ac:dyDescent="0.25" ht="20" customHeight="1">
      <c r="L227" s="16"/>
      <c r="M227" s="16"/>
      <c r="N227" s="16"/>
      <c r="O227" s="16"/>
    </row>
    <row r="228" spans="11:15" x14ac:dyDescent="0.25" ht="20" customHeight="1">
      <c r="K228" s="16"/>
      <c r="L228" s="16"/>
      <c r="M228" s="16"/>
      <c r="N228" s="16"/>
      <c r="O228" s="16"/>
    </row>
    <row r="229" spans="11:15" x14ac:dyDescent="0.25" ht="20" customHeight="1">
      <c r="L229" s="16"/>
      <c r="M229" s="16"/>
      <c r="N229" s="16"/>
      <c r="O229" s="16"/>
    </row>
    <row r="232" spans="11:15" x14ac:dyDescent="0.25" ht="20" customHeight="1">
      <c r="L232" s="16"/>
      <c r="M232" s="16"/>
      <c r="N232" s="16"/>
      <c r="O232" s="16"/>
    </row>
    <row r="233" spans="11:15" x14ac:dyDescent="0.25" ht="20" customHeight="1">
      <c r="K233" s="16"/>
      <c r="L233" s="16"/>
      <c r="M233" s="16"/>
      <c r="N233" s="16"/>
      <c r="O233" s="16"/>
    </row>
    <row r="234" spans="11:15" x14ac:dyDescent="0.25" ht="20" customHeight="1">
      <c r="L234" s="16"/>
      <c r="M234" s="16"/>
      <c r="N234" s="16"/>
      <c r="O234" s="16"/>
    </row>
    <row r="237" spans="11:15" x14ac:dyDescent="0.25" ht="20" customHeight="1">
      <c r="L237" s="16"/>
      <c r="M237" s="16"/>
      <c r="N237" s="16"/>
      <c r="O237" s="16"/>
    </row>
    <row r="238" spans="11:15" x14ac:dyDescent="0.25" ht="20" customHeight="1">
      <c r="K238" s="16"/>
      <c r="L238" s="16"/>
      <c r="M238" s="16"/>
      <c r="N238" s="16"/>
      <c r="O238" s="16"/>
    </row>
    <row r="239" spans="11:15" x14ac:dyDescent="0.25" ht="20" customHeight="1">
      <c r="K239" s="16"/>
      <c r="L239" s="16"/>
      <c r="M239" s="16"/>
      <c r="N239" s="16"/>
      <c r="O239" s="16"/>
    </row>
    <row r="240" spans="11:15" x14ac:dyDescent="0.25" ht="20" customHeight="1">
      <c r="K240" s="16"/>
    </row>
    <row r="241" spans="11:15" x14ac:dyDescent="0.25" ht="20" customHeight="1">
      <c r="K241" s="16"/>
    </row>
    <row r="242" spans="11:15" x14ac:dyDescent="0.25" ht="20" customHeight="1">
      <c r="K242" s="16"/>
      <c r="L242" s="16"/>
      <c r="M242" s="16"/>
      <c r="N242" s="16"/>
      <c r="O242" s="16"/>
    </row>
    <row r="243" spans="11:15" x14ac:dyDescent="0.25" ht="20" customHeight="1">
      <c r="L243" s="16"/>
      <c r="M243" s="16"/>
      <c r="N243" s="16"/>
      <c r="O243" s="16"/>
    </row>
    <row r="244" spans="11:15" x14ac:dyDescent="0.25" ht="20" customHeight="1">
      <c r="K244" s="16"/>
      <c r="L244" s="16"/>
      <c r="M244" s="16"/>
      <c r="N244" s="16"/>
      <c r="O244" s="16"/>
    </row>
    <row r="246" spans="11:15" x14ac:dyDescent="0.25" ht="20" customHeight="1">
      <c r="K246" s="16"/>
    </row>
    <row r="247" spans="11:15" x14ac:dyDescent="0.25" ht="20" customHeight="1">
      <c r="K247" s="16"/>
    </row>
    <row r="248" spans="11:15" x14ac:dyDescent="0.25" ht="20" customHeight="1">
      <c r="K248" s="16"/>
    </row>
    <row r="249" spans="11:15" x14ac:dyDescent="0.25" ht="20" customHeight="1">
      <c r="K249" s="16"/>
    </row>
    <row r="251" spans="11:15" x14ac:dyDescent="0.25" ht="20" customHeight="1">
      <c r="K251" s="16"/>
      <c r="L251" s="16"/>
      <c r="M251" s="16"/>
      <c r="N251" s="16"/>
      <c r="O251" s="16"/>
    </row>
    <row r="252" spans="11:15" x14ac:dyDescent="0.25" ht="20" customHeight="1">
      <c r="L252" s="16"/>
      <c r="M252" s="16"/>
      <c r="N252" s="16"/>
      <c r="O252" s="16"/>
    </row>
    <row r="253" spans="11:15" x14ac:dyDescent="0.25" ht="20" customHeight="1">
      <c r="L253" s="16"/>
      <c r="M253" s="16"/>
      <c r="N253" s="16"/>
      <c r="O253" s="16"/>
    </row>
    <row r="256" spans="11:15" x14ac:dyDescent="0.25" ht="20" customHeight="1">
      <c r="L256" s="16"/>
      <c r="M256" s="16"/>
      <c r="N256" s="16"/>
      <c r="O256" s="16"/>
    </row>
    <row r="257" spans="11:15" x14ac:dyDescent="0.25" ht="20" customHeight="1">
      <c r="K257" s="16"/>
      <c r="L257" s="16"/>
      <c r="M257" s="16"/>
      <c r="N257" s="16"/>
      <c r="O257" s="16"/>
    </row>
    <row r="258" spans="11:15" x14ac:dyDescent="0.25" ht="20" customHeight="1">
      <c r="L258" s="16"/>
      <c r="M258" s="16"/>
      <c r="N258" s="16"/>
      <c r="O258" s="16"/>
    </row>
    <row r="261" spans="11:15" x14ac:dyDescent="0.25" ht="20" customHeight="1">
      <c r="L261" s="16"/>
      <c r="M261" s="16"/>
      <c r="N261" s="16"/>
      <c r="O261" s="16"/>
    </row>
    <row r="262" spans="11:15" x14ac:dyDescent="0.25" ht="20" customHeight="1">
      <c r="K262" s="16"/>
      <c r="L262" s="16"/>
      <c r="M262" s="16"/>
      <c r="N262" s="16"/>
      <c r="O262" s="16"/>
    </row>
    <row r="263" spans="11:15" x14ac:dyDescent="0.25" ht="20" customHeight="1">
      <c r="L263" s="16"/>
      <c r="M263" s="16"/>
      <c r="N263" s="16"/>
      <c r="O263" s="16"/>
    </row>
    <row r="266" spans="11:15" x14ac:dyDescent="0.25" ht="20" customHeight="1">
      <c r="L266" s="16"/>
      <c r="M266" s="16"/>
      <c r="N266" s="16"/>
      <c r="O266" s="16"/>
    </row>
    <row r="267" spans="11:15" x14ac:dyDescent="0.25" ht="20" customHeight="1">
      <c r="K267" s="16"/>
      <c r="L267" s="16"/>
      <c r="M267" s="16"/>
      <c r="N267" s="16"/>
      <c r="O267" s="16"/>
    </row>
    <row r="268" spans="11:15" x14ac:dyDescent="0.25" ht="20" customHeight="1">
      <c r="L268" s="16"/>
      <c r="M268" s="16"/>
      <c r="N268" s="16"/>
      <c r="O268" s="16"/>
    </row>
    <row r="272" spans="11:15" x14ac:dyDescent="0.25" ht="20" customHeight="1">
      <c r="K272" s="16"/>
    </row>
    <row r="273" spans="11:11" x14ac:dyDescent="0.25" ht="20" customHeight="1">
      <c r="K273" s="16"/>
    </row>
    <row r="274" spans="11:11" x14ac:dyDescent="0.25" ht="20" customHeight="1">
      <c r="K274" s="16"/>
    </row>
    <row r="275" spans="11:11" x14ac:dyDescent="0.25" ht="20" customHeight="1">
      <c r="K275" s="16"/>
    </row>
    <row r="276" spans="11:11" x14ac:dyDescent="0.25" ht="20" customHeight="1">
      <c r="K276" s="16"/>
    </row>
    <row r="278" spans="11:11" x14ac:dyDescent="0.25" ht="20" customHeight="1">
      <c r="K278" s="16"/>
    </row>
    <row r="280" spans="11:11" x14ac:dyDescent="0.25" ht="20" customHeight="1">
      <c r="K280" s="16"/>
    </row>
    <row r="281" spans="11:11" x14ac:dyDescent="0.25" ht="20" customHeight="1">
      <c r="K281" s="16"/>
    </row>
    <row r="282" spans="11:11" x14ac:dyDescent="0.25" ht="20" customHeight="1">
      <c r="K282" s="16"/>
    </row>
    <row r="283" spans="11:11" x14ac:dyDescent="0.25" ht="20" customHeight="1">
      <c r="K283" s="16"/>
    </row>
    <row r="285" spans="11:11" x14ac:dyDescent="0.25" ht="20" customHeight="1">
      <c r="K285" s="16"/>
    </row>
    <row r="293" spans="11:11" x14ac:dyDescent="0.25" ht="20" customHeight="1">
      <c r="K293" s="16"/>
    </row>
    <row r="294" spans="11:11" x14ac:dyDescent="0.25" ht="20" customHeight="1">
      <c r="K294" s="16"/>
    </row>
    <row r="295" spans="11:11" x14ac:dyDescent="0.25" ht="20" customHeight="1">
      <c r="K295" s="16"/>
    </row>
    <row r="298" spans="11:11" x14ac:dyDescent="0.25" ht="20" customHeight="1">
      <c r="K298" s="16"/>
    </row>
    <row r="299" spans="11:11" x14ac:dyDescent="0.25" ht="20" customHeight="1">
      <c r="K299" s="16"/>
    </row>
    <row r="300" spans="11:11" x14ac:dyDescent="0.25" ht="20" customHeight="1">
      <c r="K300" s="16"/>
    </row>
    <row r="303" spans="11:11" x14ac:dyDescent="0.25" ht="20" customHeight="1">
      <c r="K303" s="16"/>
    </row>
    <row r="304" spans="11:11" x14ac:dyDescent="0.25" ht="20" customHeight="1">
      <c r="K304" s="16"/>
    </row>
    <row r="305" spans="11:11" x14ac:dyDescent="0.25" ht="20" customHeight="1">
      <c r="K305" s="16"/>
    </row>
    <row r="308" spans="11:11" x14ac:dyDescent="0.25" ht="20" customHeight="1">
      <c r="K308" s="16"/>
    </row>
    <row r="309" spans="11:11" x14ac:dyDescent="0.25" ht="20" customHeight="1">
      <c r="K309" s="16"/>
    </row>
    <row r="310" spans="11:11" x14ac:dyDescent="0.25" ht="20" customHeight="1">
      <c r="K310" s="16"/>
    </row>
    <row r="317" spans="11:11" x14ac:dyDescent="0.25" ht="20" customHeight="1">
      <c r="K317" s="16"/>
    </row>
    <row r="318" spans="11:11" x14ac:dyDescent="0.25" ht="20" customHeight="1">
      <c r="K318" s="16"/>
    </row>
    <row r="319" spans="11:11" x14ac:dyDescent="0.25" ht="20" customHeight="1">
      <c r="K319" s="16"/>
    </row>
    <row r="322" spans="4:11" x14ac:dyDescent="0.25" ht="20" customHeight="1">
      <c r="K322" s="16"/>
    </row>
    <row r="323" spans="4:11" x14ac:dyDescent="0.25" ht="20" customHeight="1">
      <c r="K323" s="16"/>
    </row>
    <row r="324" spans="4:11" x14ac:dyDescent="0.25" ht="20" customHeight="1">
      <c r="K324" s="16"/>
    </row>
    <row r="327" spans="4:11" x14ac:dyDescent="0.25" ht="20" customHeight="1">
      <c r="K327" s="16"/>
    </row>
    <row r="328" spans="4:11" x14ac:dyDescent="0.25" ht="20" customHeight="1">
      <c r="D328" s="80"/>
      <c r="K328" s="16"/>
    </row>
    <row r="329" spans="4:11" x14ac:dyDescent="0.25" ht="20" customHeight="1">
      <c r="K329" s="16"/>
    </row>
    <row r="332" spans="4:11" x14ac:dyDescent="0.25" ht="20" customHeight="1">
      <c r="K332" s="16"/>
    </row>
    <row r="333" spans="4:11" x14ac:dyDescent="0.25" ht="20" customHeight="1">
      <c r="K333" s="16"/>
    </row>
    <row r="334" spans="4:11" x14ac:dyDescent="0.25" ht="20" customHeight="1">
      <c r="K334" s="16"/>
    </row>
  </sheetData>
  <conditionalFormatting sqref="F189:F190">
    <cfRule type="cellIs" dxfId="90" priority="10" operator="lessThan">
      <formula>0</formula>
    </cfRule>
  </conditionalFormatting>
  <conditionalFormatting sqref="F194:F195">
    <cfRule type="cellIs" dxfId="89" priority="9" operator="lessThan">
      <formula>0</formula>
    </cfRule>
  </conditionalFormatting>
  <conditionalFormatting sqref="F227:F228">
    <cfRule type="cellIs" dxfId="88" priority="8" operator="lessThan">
      <formula>0</formula>
    </cfRule>
  </conditionalFormatting>
  <conditionalFormatting sqref="F251:F252">
    <cfRule type="cellIs" dxfId="87" priority="7" operator="lessThan">
      <formula>0</formula>
    </cfRule>
  </conditionalFormatting>
  <conditionalFormatting sqref="F256:F257">
    <cfRule type="cellIs" dxfId="86" priority="6" operator="lessThan">
      <formula>0</formula>
    </cfRule>
  </conditionalFormatting>
  <conditionalFormatting sqref="F261:F262">
    <cfRule type="cellIs" dxfId="85" priority="5" operator="lessThan">
      <formula>0</formula>
    </cfRule>
  </conditionalFormatting>
  <conditionalFormatting sqref="H181:K181">
    <cfRule type="cellIs" dxfId="84" priority="4" operator="lessThan">
      <formula>0</formula>
    </cfRule>
  </conditionalFormatting>
  <conditionalFormatting sqref="I103:O103 L145:O147 L149:O149 L151:O154 L156:O156 E160:O160 L167:O168 M181:N181 I182 L182:O182 J195:K195 J228:K228 J233:K233 J238:K242 J244:K244 J246:K249 J251:K251 J257:K257 J262:K262 J267:K267 J272:K276 J278:K278 J280:K283 J285:K285">
    <cfRule type="cellIs" dxfId="83" priority="11" operator="lessThan">
      <formula>0</formula>
    </cfRule>
  </conditionalFormatting>
  <conditionalFormatting sqref="I125:O125">
    <cfRule type="cellIs" dxfId="82" priority="3" operator="lessThan">
      <formula>0</formula>
    </cfRule>
  </conditionalFormatting>
  <conditionalFormatting sqref="K180:K181">
    <cfRule type="cellIs" dxfId="81" priority="2" operator="lessThan">
      <formula>0</formula>
    </cfRule>
  </conditionalFormatting>
  <conditionalFormatting sqref="N178:N180">
    <cfRule type="cellIs" dxfId="80" priority="1" operator="lessThan">
      <formula>0</formula>
    </cfRule>
  </conditionalFormatting>
  <conditionalFormatting sqref="P43:R43">
    <cfRule type="cellIs" dxfId="79" priority="12" operator="lessThan">
      <formula>0</formula>
    </cfRule>
  </conditionalFormatting>
  <dataValidations count="9">
    <dataValidation type="list" allowBlank="1" showInputMessage="1" showErrorMessage="1" sqref="E176" xr:uid="{8F627AC8-B629-4821-8870-F11F9FB7544A}">
      <formula1>$D$23:$D$34</formula1>
    </dataValidation>
    <dataValidation type="list" allowBlank="1" showInputMessage="1" showErrorMessage="1" sqref="E162" xr:uid="{50F5643C-3E41-4E4C-9A11-4F2153AEBE1A}">
      <formula1>"Spring, Summer, Autumn, Winter"</formula1>
    </dataValidation>
    <dataValidation type="list" allowBlank="1" showInputMessage="1" showErrorMessage="1" sqref="E156" xr:uid="{31FD6CBE-1CFC-461C-AE9F-C11AB9FB7BF0}">
      <formula1>INDIRECT("Table_SourceData_PastureBeef_CropProdSystems[Production system]")</formula1>
    </dataValidation>
    <dataValidation type="list" allowBlank="1" showInputMessage="1" showErrorMessage="1" sqref="E157" xr:uid="{078FCE9B-E29F-4537-8F77-C18133044BFB}">
      <formula1>INDIRECT("Table_SourceData_PastureBeef_IrrigationMethods[Irrigation method]")</formula1>
    </dataValidation>
    <dataValidation type="list" allowBlank="1" showInputMessage="1" showErrorMessage="1" sqref="E9" xr:uid="{EC40A001-EB64-4B06-8F16-43082D58A3A9}">
      <formula1>INDIRECT("Table_SourceData_PastureBeef_FeedIntakeAdjustment[Breed]")</formula1>
    </dataValidation>
    <dataValidation type="list" allowBlank="1" showInputMessage="1" showErrorMessage="1" sqref="E8" xr:uid="{7555EDA9-2C0B-4C9B-A8DB-FB72448DDC71}">
      <formula1>INDIRECT("Table_SourceData_PastureBeef_Region_" &amp; SUBSTITUTE($E$7, " ", "") &amp; "[Region]")</formula1>
    </dataValidation>
    <dataValidation type="list" allowBlank="1" showInputMessage="1" showErrorMessage="1" sqref="E15 E37 E59 E81" xr:uid="{ABBCEAD2-3825-4236-9FAB-F9615D683AE6}">
      <formula1>INDIRECT("Table_SourceData_Dairy_WjCowsHeifers[Breed]")</formula1>
    </dataValidation>
    <dataValidation type="list" allowBlank="1" showInputMessage="1" showErrorMessage="1" sqref="E188 E193 E226 E260 E255 E250 E149" xr:uid="{C70A4B53-8D6E-4531-849E-0EDD370AD6FF}">
      <formula1>"Yes, No"</formula1>
    </dataValidation>
    <dataValidation type="list" allowBlank="1" showInputMessage="1" showErrorMessage="1" sqref="D244" xr:uid="{47685CEB-49C7-4185-89EF-CF8A14644FD1}">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25AD-9AE3-44A6-90A7-1DB424260FEF}">
  <sheetPr>
    <tabColor rgb="FFCC6600"/>
  </sheetPr>
  <dimension ref="A1:M60"/>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30" x14ac:dyDescent="0.35" customHeight="1">
      <c r="A1" s="10" t="e" vm="1">
        <v>#VALUE!</v>
      </c>
      <c r="C1" s="10" t="s">
        <v>176</v>
      </c>
    </row>
    <row r="2" spans="1:13" s="3" customFormat="1" x14ac:dyDescent="0.25" ht="20" customHeight="1">
      <c r="A2"/>
    </row>
    <row r="3" spans="1:13" ht="20" x14ac:dyDescent="0.25" customHeight="1">
      <c r="A3" s="5" t="str">
        <f>HYPERLINK("#'Home'!A1", "Home")</f>
        <v>Home</v>
      </c>
      <c r="C3" s="29"/>
      <c r="D3" s="29"/>
      <c r="E3" s="29"/>
      <c r="F3" s="29"/>
      <c r="G3" s="29"/>
      <c r="H3" s="29"/>
      <c r="I3" s="29"/>
      <c r="J3" s="29"/>
      <c r="K3" s="29"/>
      <c r="L3" s="29"/>
      <c r="M3" s="29"/>
    </row>
    <row r="4" spans="1:13" x14ac:dyDescent="0.25" ht="20" customHeight="1">
      <c r="A4" s="5" t="str">
        <f>HYPERLINK("#'Results - Activity period'!A1", "Results - Activity period")</f>
        <v>Results - Activity period</v>
      </c>
    </row>
    <row r="5" spans="1:13" x14ac:dyDescent="0.25" ht="20" customHeight="1">
      <c r="A5" s="5" t="str">
        <f>HYPERLINK("#'Results - Product EI'!A1", "Results - Product Emissions Intensity")</f>
        <v>Results - Product Emissions Intensity</v>
      </c>
      <c r="D5" s="80" t="s">
        <v>177</v>
      </c>
    </row>
    <row r="6" spans="1:13" x14ac:dyDescent="0.25" ht="20" customHeight="1">
      <c r="D6" s="20" t="s">
        <v>178</v>
      </c>
      <c r="E6" s="20" t="s">
        <v>179</v>
      </c>
      <c r="F6" s="20" t="s">
        <v>180</v>
      </c>
      <c r="G6" s="20" t="s">
        <v>181</v>
      </c>
      <c r="H6" s="20" t="s">
        <v>182</v>
      </c>
      <c r="I6" s="20" t="s">
        <v>183</v>
      </c>
    </row>
    <row r="7" spans="1:13" x14ac:dyDescent="0.25" ht="20" customHeight="1">
      <c r="D7" s="34"/>
      <c r="E7" s="13"/>
      <c r="F7" s="81"/>
      <c r="G7" s="20"/>
      <c r="H7" s="20"/>
      <c r="I7" s="15">
        <f t="shared" ref="I7:I16" si="0">G7*H7</f>
        <v>0</v>
      </c>
    </row>
    <row r="8" spans="1:13" x14ac:dyDescent="0.25" ht="20" customHeight="1">
      <c r="A8" s="7" t="s">
        <v>0</v>
      </c>
      <c r="D8" s="34"/>
      <c r="E8" s="13"/>
      <c r="F8" s="81"/>
      <c r="G8" s="20"/>
      <c r="H8" s="20"/>
      <c r="I8" s="15">
        <f t="shared" si="0"/>
        <v>0</v>
      </c>
    </row>
    <row r="9" spans="1:13" x14ac:dyDescent="0.25" ht="20" customHeight="1">
      <c r="A9" s="5" t="str">
        <f>HYPERLINK("#'Input - Enterprise'!A1", "Enterprise")</f>
        <v>Enterprise</v>
      </c>
      <c r="D9" s="34"/>
      <c r="E9" s="13"/>
      <c r="F9" s="81"/>
      <c r="G9" s="20"/>
      <c r="H9" s="20"/>
      <c r="I9" s="15">
        <f t="shared" si="0"/>
        <v>0</v>
      </c>
    </row>
    <row r="10" spans="1:13" x14ac:dyDescent="0.25" ht="20" customHeight="1">
      <c r="A10" s="5" t="str">
        <f>HYPERLINK("#'Input - Site'!A1", "Site")</f>
        <v>Site</v>
      </c>
      <c r="D10" s="34"/>
      <c r="E10" s="13"/>
      <c r="F10" s="81"/>
      <c r="G10" s="20"/>
      <c r="H10" s="20"/>
      <c r="I10" s="15">
        <f t="shared" si="0"/>
        <v>0</v>
      </c>
    </row>
    <row r="11" spans="1:13" x14ac:dyDescent="0.25" ht="20" customHeight="1">
      <c r="A11" s="5" t="str">
        <f>HYPERLINK("#'Input - Pasture Beef'!A1", "Pasture Beef")</f>
        <v>Pasture Beef</v>
      </c>
      <c r="D11" s="34"/>
      <c r="E11" s="13"/>
      <c r="F11" s="81"/>
      <c r="G11" s="20"/>
      <c r="H11" s="20"/>
      <c r="I11" s="15">
        <f t="shared" si="0"/>
        <v>0</v>
      </c>
    </row>
    <row r="12" spans="1:13" x14ac:dyDescent="0.25" ht="20" customHeight="1">
      <c r="A12" s="99" t="str">
        <f>HYPERLINK("#'Input - Livestock sales'!A1", "Livestock sales")</f>
        <v>Livestock sales</v>
      </c>
      <c r="D12" s="34"/>
      <c r="E12" s="13"/>
      <c r="F12" s="81"/>
      <c r="G12" s="20"/>
      <c r="H12" s="20"/>
      <c r="I12" s="15">
        <f t="shared" si="0"/>
        <v>0</v>
      </c>
    </row>
    <row r="13" spans="1:13" x14ac:dyDescent="0.25" ht="20" customHeight="1">
      <c r="A13" s="5" t="str">
        <f>HYPERLINK("#'Input - Beef cattle purchases'!A1", "Beef cattle purchases")</f>
        <v>Beef cattle purchases</v>
      </c>
      <c r="D13" s="34"/>
      <c r="E13" s="13"/>
      <c r="F13" s="81"/>
      <c r="G13" s="20"/>
      <c r="H13" s="20"/>
      <c r="I13" s="15">
        <f t="shared" si="0"/>
        <v>0</v>
      </c>
    </row>
    <row r="14" spans="1:13" x14ac:dyDescent="0.25" ht="20" customHeight="1">
      <c r="A14" s="5" t="str">
        <f>HYPERLINK("#'Input - Pasture'!A1", "Pasture")</f>
        <v>Pasture</v>
      </c>
      <c r="D14" s="34"/>
      <c r="E14" s="13"/>
      <c r="F14" s="81"/>
      <c r="G14" s="20"/>
      <c r="H14" s="20"/>
      <c r="I14" s="15">
        <f t="shared" si="0"/>
        <v>0</v>
      </c>
    </row>
    <row r="15" spans="1:13" x14ac:dyDescent="0.25" ht="20" customHeight="1">
      <c r="A15" s="5" t="str">
        <f>HYPERLINK("#'Input - Fert Prod System'!A1", "Fert Prod System")</f>
        <v>Fert Prod System</v>
      </c>
      <c r="D15" s="34"/>
      <c r="E15" s="13"/>
      <c r="F15" s="81"/>
      <c r="G15" s="20"/>
      <c r="H15" s="20"/>
      <c r="I15" s="15">
        <f t="shared" si="0"/>
        <v>0</v>
      </c>
    </row>
    <row r="16" spans="1:13" x14ac:dyDescent="0.25" ht="20" customHeight="1">
      <c r="A16" s="5" t="str">
        <f>HYPERLINK("#'Input - Fertiliser'!A1", "Fertiliser")</f>
        <v>Fertiliser</v>
      </c>
      <c r="D16" s="34"/>
      <c r="E16" s="13"/>
      <c r="F16" s="81"/>
      <c r="G16" s="20"/>
      <c r="H16" s="20"/>
      <c r="I16" s="15">
        <f t="shared" si="0"/>
        <v>0</v>
      </c>
    </row>
    <row r="17" spans="1:1" x14ac:dyDescent="0.25" ht="20" customHeight="1">
      <c r="A17" s="5" t="str">
        <f>HYPERLINK("#'Input - Fuel'!A1", "Fuel")</f>
        <v>Fuel</v>
      </c>
    </row>
    <row r="18" spans="1:1" x14ac:dyDescent="0.25" ht="20" customHeight="1">
      <c r="A18" s="5" t="str">
        <f>HYPERLINK("#'Input - Electricity'!A1", "Electricity")</f>
        <v>Electricity</v>
      </c>
    </row>
    <row r="19" spans="1:1" x14ac:dyDescent="0.25" ht="20" customHeight="1">
      <c r="A19" s="5" t="str">
        <f>HYPERLINK("#'Input - Common farm inputs'!A1", "Common farm inputs")</f>
        <v>Common farm inputs</v>
      </c>
    </row>
    <row r="20" spans="1:1" x14ac:dyDescent="0.25" ht="20" customHeight="1">
      <c r="A20" s="5" t="str">
        <f>HYPERLINK("#'Input - Crop pasture farm input'!A1", "Crop pasture farm input")</f>
        <v>Crop pasture farm input</v>
      </c>
    </row>
    <row r="21" spans="1:1" x14ac:dyDescent="0.25" ht="20" customHeight="1">
      <c r="A21" s="5" t="str">
        <f>HYPERLINK("#'Input - Livestock farm Inputs'!A1", "Livestock farm Inputs")</f>
        <v>Livestock farm Inputs</v>
      </c>
    </row>
    <row r="22" spans="1:1" x14ac:dyDescent="0.25" ht="20" customHeight="1">
      <c r="A22" s="5" t="str">
        <f>HYPERLINK("#'Input - Freight'!A1", "Freight")</f>
        <v>Freight</v>
      </c>
    </row>
    <row r="23" spans="1:1" x14ac:dyDescent="0.25" ht="20" customHeight="1">
      <c r="A23" s="5" t="str">
        <f>HYPERLINK("#'Input - Solid waste'!A1", "Solid waste")</f>
        <v>Solid waste</v>
      </c>
    </row>
    <row r="24" spans="1:1" x14ac:dyDescent="0.25" ht="20" customHeight="1">
      <c r="A24" s="5" t="str">
        <f>HYPERLINK("#'Input - Manure sent off-site'!A1", "Manure sent off-site")</f>
        <v>Manure sent off-site</v>
      </c>
    </row>
    <row r="25" spans="1:1" x14ac:dyDescent="0.25" ht="20" customHeight="1">
      <c r="A25" s="5" t="str">
        <f>HYPERLINK("#'Input - Data quality'!A1", "Data quality")</f>
        <v>Data quality</v>
      </c>
    </row>
    <row r="28" spans="1:1" x14ac:dyDescent="0.25" ht="20" customHeight="1">
      <c r="A28" s="6" t="s">
        <v>2</v>
      </c>
    </row>
    <row r="29" spans="1:1" x14ac:dyDescent="0.25" ht="20" customHeight="1">
      <c r="A29" s="5" t="str">
        <f>HYPERLINK("#'3.2.1.1-2 Enteric Methane'!A1", "3.2.1.1-2 Enteric Methane")</f>
        <v>3.2.1.1-2 Enteric Methane</v>
      </c>
    </row>
    <row r="30" spans="1:1" x14ac:dyDescent="0.25" ht="20" customHeight="1">
      <c r="A30" s="5" t="str">
        <f>HYPERLINK("#'4.2.1.1-2 Methane'!A1", "4.2.1.1-2 Manure methane")</f>
        <v>4.2.1.1-2 Manure methane</v>
      </c>
    </row>
    <row r="31" spans="1:1" x14ac:dyDescent="0.25" ht="20" customHeight="1">
      <c r="A31" s="5" t="str">
        <f>HYPERLINK("#'4.2.1.3-4 Soil direct N20'!A1", "4.2.1.3-4 Soil direct N2O")</f>
        <v>4.2.1.3-4 Soil direct N2O</v>
      </c>
    </row>
    <row r="32" spans="1:1" x14ac:dyDescent="0.25" ht="20" customHeight="1">
      <c r="A32" s="5" t="str">
        <f>HYPERLINK("#'4.2.1.5-6 Soil Atmos Dep'!A1", "4.2.1.5-6 Soil atm. deposition")</f>
        <v>4.2.1.5-6 Soil atm. deposition</v>
      </c>
    </row>
    <row r="33" spans="1:1" x14ac:dyDescent="0.25" ht="20" customHeight="1">
      <c r="A33" s="5" t="str">
        <f>HYPERLINK("#'4.2.1.7-8 Soil leach runoff'!A1", "4.2.1.7-8 Soil leach &amp; runoff")</f>
        <v>4.2.1.7-8 Soil leach &amp; runoff</v>
      </c>
    </row>
    <row r="34" spans="1:1" x14ac:dyDescent="0.25" ht="20" customHeight="1">
      <c r="A34" s="5" t="str">
        <f>HYPERLINK("#'5.1.1.1-2 Inorganic fert N2O'!A1", "5.1.1.1-2 Inorganic fert N2O")</f>
        <v>5.1.1.1-2 Inorganic fert N2O</v>
      </c>
    </row>
    <row r="35" spans="1:1" x14ac:dyDescent="0.25" ht="20" customHeight="1">
      <c r="A35" s="5" t="str">
        <f>HYPERLINK("#'5.1.1.3-4 Inorganic fert CO2'!A1", "5.1.1.3-4 Inorganic fert CO2")</f>
        <v>5.1.1.3-4 Inorganic fert CO2</v>
      </c>
    </row>
    <row r="36" spans="1:1" x14ac:dyDescent="0.25" ht="20" customHeight="1">
      <c r="A36" s="5" t="str">
        <f>HYPERLINK("#'5.2.1.1-2 Organic Fert N2O'!A1", "5.2.1.1-2 Organic fert N2O")</f>
        <v>5.2.1.1-2 Organic fert N2O</v>
      </c>
    </row>
    <row r="37" spans="1:1" x14ac:dyDescent="0.25" ht="20" customHeight="1">
      <c r="A37" s="5" t="str">
        <f>HYPERLINK("#'5.3.1.1-2 Lime CO2'!A1", "5.3.1.1-2 Lime CO2")</f>
        <v>5.3.1.1-2 Lime CO2</v>
      </c>
    </row>
    <row r="38" spans="1:1" x14ac:dyDescent="0.25" ht="20" customHeight="1">
      <c r="A38" s="5" t="str">
        <f>HYPERLINK("#'5.4.1.1-4 Atmos deposition'!A1", "5.4.1.1-4 Atmos. deposition")</f>
        <v>5.4.1.1-4 Atmos. deposition</v>
      </c>
    </row>
    <row r="39" spans="1:1" x14ac:dyDescent="0.25" ht="20" customHeight="1">
      <c r="A39" s="5" t="str">
        <f>HYPERLINK("#'5.5.1.1-2 Leaching and runoff'!A1", "5.5.1.1-2 Leaching &amp; runoff")</f>
        <v>5.5.1.1-2 Leaching &amp; runoff</v>
      </c>
    </row>
    <row r="40" spans="1:1" x14ac:dyDescent="0.25" ht="20" customHeight="1">
      <c r="A40" s="5" t="str">
        <f>HYPERLINK("#'6.2.1.1-2 Pasture residue N2O'!A1", "6.2.1.1-2 Pasture residue N2O")</f>
        <v>6.2.1.1-2 Pasture residue N2O</v>
      </c>
    </row>
    <row r="41" spans="1:1" x14ac:dyDescent="0.25" ht="20" customHeight="1">
      <c r="A41" s="5" t="str">
        <f>HYPERLINK("#'6.3.1.1-2 Leach runoff pasture'!A1", "6.3.1.1-2 Leach &amp; runoff (pasture)")</f>
        <v>6.3.1.1-2 Leach &amp; runoff (pasture)</v>
      </c>
    </row>
    <row r="42" spans="1:1" x14ac:dyDescent="0.25" ht="20" customHeight="1">
      <c r="A42" s="5" t="str">
        <f>HYPERLINK("#'8.1.1.1-2 Transport fuel'!A1", "8.1.1.1-2 Transport fuel")</f>
        <v>8.1.1.1-2 Transport fuel</v>
      </c>
    </row>
    <row r="43" spans="1:1" x14ac:dyDescent="0.25" ht="20" customHeight="1">
      <c r="A43" s="5" t="str">
        <f>HYPERLINK("#'8.2.1.1-2 Stationary fuel'!A1", "8.2.1.1-2 Stationary fuel")</f>
        <v>8.2.1.1-2 Stationary fuel</v>
      </c>
    </row>
    <row r="44" spans="1:1" x14ac:dyDescent="0.25" ht="20" customHeight="1">
      <c r="A44" s="5" t="str">
        <f>HYPERLINK("#'10.1.1-2 Solid waste treatment'!A1", "10.1.1.1-2 Solid waste")</f>
        <v>10.1.1.1-2 Solid waste</v>
      </c>
    </row>
    <row r="45" spans="1:1" x14ac:dyDescent="0.25" ht="20" customHeight="1">
      <c r="A45" s="5" t="str">
        <f>HYPERLINK("#'14.1.1-2 Purchased electricity'!A1", "14.1.1-2 Purchased electricity")</f>
        <v>14.1.1-2 Purchased electricity</v>
      </c>
    </row>
    <row r="46" spans="1:1" x14ac:dyDescent="0.25" ht="20" customHeight="1">
      <c r="A46" s="5" t="str">
        <f>HYPERLINK("#'15 Scope 3'!A1", "15 Scope 3")</f>
        <v>15 Scope 3</v>
      </c>
    </row>
    <row r="47" spans="1:1" x14ac:dyDescent="0.25" ht="20" customHeight="1">
      <c r="A47" s="5" t="str">
        <f>HYPERLINK("#'Calcs - Manure sent off-site'!A1", "Calcs - Manure sent off-site")</f>
        <v>Calcs - Manure sent off-site</v>
      </c>
    </row>
    <row r="50" spans="1:1" x14ac:dyDescent="0.25" ht="20" customHeight="1">
      <c r="A50" s="85" t="s">
        <v>1</v>
      </c>
    </row>
    <row r="51" spans="1:1" x14ac:dyDescent="0.25" ht="20" customHeight="1">
      <c r="A51" s="5" t="str">
        <f>HYPERLINK("#'Constants - Pasture Beef'!A1", "Constants - Pasture Beef")</f>
        <v>Constants - Pasture Beef</v>
      </c>
    </row>
    <row r="52" spans="1:1" x14ac:dyDescent="0.25" ht="20" customHeight="1">
      <c r="A52" s="5" t="str">
        <f>HYPERLINK("#'Constants - Ag Residue'!A1", "Constants - Ag residue")</f>
        <v>Constants - Ag residue</v>
      </c>
    </row>
    <row r="53" spans="1:1" x14ac:dyDescent="0.25" ht="20" customHeight="1">
      <c r="A53" s="5" t="str">
        <f>HYPERLINK("#'Constants - Common Livestock'!A1", "Constants - Common Livestock")</f>
        <v>Constants - Common Livestock</v>
      </c>
    </row>
    <row r="54" spans="1:1" x14ac:dyDescent="0.25" ht="20" customHeight="1">
      <c r="A54" s="5" t="str">
        <f>HYPERLINK("#'Constants - Electricity'!A1", "Constants - Electricity")</f>
        <v>Constants - Electricity</v>
      </c>
    </row>
    <row r="55" spans="1:1" x14ac:dyDescent="0.25" ht="20" customHeight="1">
      <c r="A55" s="5" t="str">
        <f>HYPERLINK("#'Constants - Fertiliser'!A1", "Constants - Fertiliser")</f>
        <v>Constants - Fertiliser</v>
      </c>
    </row>
    <row r="56" spans="1:1" x14ac:dyDescent="0.25" ht="20" customHeight="1">
      <c r="A56" s="5" t="str">
        <f>HYPERLINK("#'Constants - Fuel'!A1", "Constants - Fuel")</f>
        <v>Constants - Fuel</v>
      </c>
    </row>
    <row r="57" spans="1:1" x14ac:dyDescent="0.25" ht="20" customHeight="1">
      <c r="A57" s="5" t="str">
        <f>HYPERLINK("#'Constants - Scope 3'!A1", "Constants - Scope 3")</f>
        <v>Constants - Scope 3</v>
      </c>
    </row>
    <row r="58" spans="1:1" x14ac:dyDescent="0.25" ht="20" customHeight="1">
      <c r="A58" s="5" t="str">
        <f>HYPERLINK("#'Constants - Solid Waste'!A1", "Constants - Solid Waste")</f>
        <v>Constants - Solid Waste</v>
      </c>
    </row>
    <row r="59" spans="1:1" x14ac:dyDescent="0.25" ht="20" customHeight="1">
      <c r="A59" s="5" t="str">
        <f>HYPERLINK("#'Constants - Common'!A1", "Constants - Common")</f>
        <v>Constants - Common</v>
      </c>
    </row>
    <row r="60" spans="1:1" x14ac:dyDescent="0.25" ht="20" customHeight="1">
      <c r="A60" s="5" t="str">
        <f>HYPERLINK("#'Acknowledgements'!A1", "Acknowledgements")</f>
        <v>Acknowledgements</v>
      </c>
    </row>
  </sheetData>
  <dataValidations count="1">
    <dataValidation type="list" allowBlank="1" showInputMessage="1" showErrorMessage="1" sqref="E7:E16" xr:uid="{0E55E714-DF79-4C4F-9167-29562056E30A}">
      <formula1>INDIRECT("Table_LivestockClasses_Beefcattle[Livestock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79AED-80C7-4D28-BE38-6DE177E22D61}">
  <sheetPr>
    <tabColor theme="5" tint="-0.249977111117893"/>
  </sheetPr>
  <dimension ref="A1:L160"/>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style="239" customWidth="1"/>
    <col min="2" max="2" width="5.28515625" style="239" customWidth="1"/>
    <col min="3" max="3" width="5.28515625" style="1" customWidth="1"/>
    <col min="4" max="11" width="35" style="1" customWidth="1"/>
    <col min="12" max="12" width="5.28515625" style="1" customWidth="1"/>
    <col min="13" max="16" width="35" style="239" customWidth="1"/>
    <col min="17" max="16384" width="9.140625" style="239"/>
  </cols>
  <sheetData>
    <row r="1" spans="1:12" ht="30" x14ac:dyDescent="0.35" customHeight="1">
      <c r="A1" s="10" t="e" vm="1">
        <v>#VALUE!</v>
      </c>
      <c r="B1" s="98"/>
      <c r="C1" s="10" t="s">
        <v>988</v>
      </c>
      <c r="D1" s="10"/>
      <c r="E1" s="10"/>
      <c r="F1" s="10"/>
      <c r="G1" s="10"/>
      <c r="H1" s="10"/>
      <c r="I1" s="10"/>
      <c r="J1" s="10"/>
      <c r="K1" s="10"/>
      <c r="L1" s="10"/>
    </row>
    <row r="2" spans="1:12" x14ac:dyDescent="0.25" ht="20" customHeight="1">
      <c r="A2"/>
      <c r="C2" s="3"/>
      <c r="D2" s="3"/>
      <c r="E2" s="3"/>
      <c r="F2" s="3"/>
      <c r="G2" s="3"/>
      <c r="H2" s="3"/>
      <c r="I2" s="3"/>
      <c r="J2" s="3"/>
      <c r="K2" s="3"/>
      <c r="L2" s="3"/>
    </row>
    <row r="3" spans="1:12" ht="20" x14ac:dyDescent="0.25" customHeight="1">
      <c r="A3" s="5" t="str">
        <f>HYPERLINK("#'Home'!A1", "Home")</f>
        <v>Home</v>
      </c>
      <c r="C3" s="29"/>
      <c r="D3" s="29"/>
      <c r="E3" s="29"/>
      <c r="F3" s="29"/>
      <c r="G3" s="29"/>
      <c r="H3" s="29"/>
      <c r="I3" s="29"/>
      <c r="J3" s="29"/>
      <c r="K3" s="29"/>
      <c r="L3" s="29"/>
    </row>
    <row r="4" spans="1:12" x14ac:dyDescent="0.25" ht="20" customHeight="1">
      <c r="A4" s="5" t="str">
        <f>HYPERLINK("#'Results - Activity period'!A1", "Results - Activity period")</f>
        <v>Results - Activity period</v>
      </c>
    </row>
    <row r="5" spans="1:12" x14ac:dyDescent="0.25" ht="20" customHeight="1">
      <c r="A5" s="5" t="str">
        <f>HYPERLINK("#'Results - Product EI'!A1", "Results - Product Emissions Intensity")</f>
        <v>Results - Product Emissions Intensity</v>
      </c>
      <c r="D5" s="80" t="s">
        <v>989</v>
      </c>
      <c r="E5" s="240"/>
      <c r="F5" s="240"/>
      <c r="G5" s="240"/>
      <c r="H5" s="240"/>
      <c r="I5" s="240"/>
      <c r="J5" s="240"/>
    </row>
    <row r="6" spans="1:12" x14ac:dyDescent="0.25" ht="20" customHeight="1">
      <c r="A6"/>
      <c r="D6" s="20" t="s">
        <v>178</v>
      </c>
      <c r="E6" s="20" t="s">
        <v>990</v>
      </c>
      <c r="F6" s="20" t="s">
        <v>179</v>
      </c>
      <c r="G6" s="20" t="s">
        <v>991</v>
      </c>
      <c r="H6" s="20" t="s">
        <v>992</v>
      </c>
      <c r="I6" s="20" t="s">
        <v>993</v>
      </c>
      <c r="J6" s="241" t="s">
        <v>994</v>
      </c>
      <c r="K6" s="241" t="s">
        <v>995</v>
      </c>
    </row>
    <row r="7" spans="1:12" x14ac:dyDescent="0.25" ht="20" customHeight="1">
      <c r="A7"/>
      <c r="D7" s="34"/>
      <c r="E7" s="242"/>
      <c r="F7" s="13"/>
      <c r="G7" s="133"/>
      <c r="H7" s="13"/>
      <c r="I7" s="76"/>
      <c r="J7" s="15"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7" s="76"/>
    </row>
    <row r="8" spans="1:12" x14ac:dyDescent="0.25" ht="20" customHeight="1">
      <c r="A8" s="7" t="s">
        <v>0</v>
      </c>
      <c r="D8" s="34"/>
      <c r="E8" s="242"/>
      <c r="F8" s="84"/>
      <c r="G8" s="133"/>
      <c r="H8" s="13"/>
      <c r="I8" s="76"/>
      <c r="J8" s="15"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8" s="76"/>
    </row>
    <row r="9" spans="1:12" x14ac:dyDescent="0.25" ht="20" customHeight="1">
      <c r="A9" s="5" t="str">
        <f>HYPERLINK("#'Input - Enterprise'!A1", "Enterprise")</f>
        <v>Enterprise</v>
      </c>
      <c r="D9" s="34"/>
      <c r="E9" s="34"/>
      <c r="F9" s="84"/>
      <c r="G9" s="133"/>
      <c r="H9" s="13"/>
      <c r="I9" s="76"/>
      <c r="J9" s="15"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9" s="76"/>
    </row>
    <row r="10" spans="1:12" x14ac:dyDescent="0.25" ht="20" customHeight="1">
      <c r="A10" s="5" t="str">
        <f>HYPERLINK("#'Input - Site'!A1", "Site")</f>
        <v>Site</v>
      </c>
      <c r="D10" s="34"/>
      <c r="E10" s="34"/>
      <c r="F10" s="84"/>
      <c r="G10" s="133"/>
      <c r="H10" s="13"/>
      <c r="I10" s="76"/>
      <c r="J10" s="15"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0" s="76"/>
    </row>
    <row r="11" spans="1:12" x14ac:dyDescent="0.25" ht="20" customHeight="1">
      <c r="A11" s="5" t="str">
        <f>HYPERLINK("#'Input - Pasture Beef'!A1", "Pasture Beef")</f>
        <v>Pasture Beef</v>
      </c>
      <c r="D11" s="34"/>
      <c r="E11" s="34"/>
      <c r="F11" s="84"/>
      <c r="G11" s="133"/>
      <c r="H11" s="13"/>
      <c r="I11" s="76"/>
      <c r="J11" s="15"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1" s="76"/>
    </row>
    <row r="12" spans="1:12" x14ac:dyDescent="0.25" ht="20" customHeight="1">
      <c r="A12" s="5" t="str">
        <f>HYPERLINK("#'Input - Livestock sales'!A1", "Livestock sales")</f>
        <v>Livestock sales</v>
      </c>
      <c r="D12" s="34"/>
      <c r="E12" s="34"/>
      <c r="F12" s="84"/>
      <c r="G12" s="133"/>
      <c r="H12" s="13"/>
      <c r="I12" s="76"/>
      <c r="J12" s="15"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2" s="76"/>
    </row>
    <row r="13" spans="1:12" x14ac:dyDescent="0.25" ht="20" customHeight="1">
      <c r="A13" s="99" t="str">
        <f>HYPERLINK("#'Input - Beef cattle purchases'!A1", "Beef cattle purchases")</f>
        <v>Beef cattle purchases</v>
      </c>
      <c r="D13" s="34"/>
      <c r="E13" s="34"/>
      <c r="F13" s="84"/>
      <c r="G13" s="133"/>
      <c r="H13" s="13"/>
      <c r="I13" s="76"/>
      <c r="J13" s="15"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3" s="76"/>
    </row>
    <row r="14" spans="1:12" x14ac:dyDescent="0.25" ht="20" customHeight="1">
      <c r="A14" s="5" t="str">
        <f>HYPERLINK("#'Input - Pasture'!A1", "Pasture")</f>
        <v>Pasture</v>
      </c>
      <c r="D14" s="34"/>
      <c r="E14" s="34"/>
      <c r="F14" s="84"/>
      <c r="G14" s="133"/>
      <c r="H14" s="13"/>
      <c r="I14" s="76"/>
      <c r="J14" s="15"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4" s="76"/>
    </row>
    <row r="15" spans="1:12" x14ac:dyDescent="0.25" ht="20" customHeight="1">
      <c r="A15" s="5" t="str">
        <f>HYPERLINK("#'Input - Fert Prod System'!A1", "Fert Prod System")</f>
        <v>Fert Prod System</v>
      </c>
      <c r="D15" s="34"/>
      <c r="E15" s="34"/>
      <c r="F15" s="84"/>
      <c r="G15" s="133"/>
      <c r="H15" s="13"/>
      <c r="I15" s="76"/>
      <c r="J15" s="15"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5" s="76"/>
    </row>
    <row r="16" spans="1:12" x14ac:dyDescent="0.25" ht="20" customHeight="1">
      <c r="A16" s="5" t="str">
        <f>HYPERLINK("#'Input - Fertiliser'!A1", "Fertiliser")</f>
        <v>Fertiliser</v>
      </c>
      <c r="D16" s="34"/>
      <c r="E16" s="34"/>
      <c r="F16" s="84"/>
      <c r="G16" s="133"/>
      <c r="H16" s="13"/>
      <c r="I16" s="76"/>
      <c r="J16" s="15"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6" s="76"/>
    </row>
    <row r="17" spans="1:10" x14ac:dyDescent="0.25" ht="20" customHeight="1">
      <c r="A17" s="5" t="str">
        <f>HYPERLINK("#'Input - Fuel'!A1", "Fuel")</f>
        <v>Fuel</v>
      </c>
    </row>
    <row r="18" spans="1:10" x14ac:dyDescent="0.25" ht="20" customHeight="1">
      <c r="A18" s="5" t="str">
        <f>HYPERLINK("#'Input - Electricity'!A1", "Electricity")</f>
        <v>Electricity</v>
      </c>
      <c r="D18" s="240"/>
      <c r="E18" s="240"/>
      <c r="F18" s="240"/>
      <c r="G18" s="240"/>
      <c r="H18" s="240"/>
      <c r="I18" s="240"/>
      <c r="J18" s="240"/>
    </row>
    <row r="19" spans="1:10" x14ac:dyDescent="0.25" ht="20" customHeight="1">
      <c r="A19" s="5" t="str">
        <f>HYPERLINK("#'Input - Common farm inputs'!A1", "Common farm inputs")</f>
        <v>Common farm inputs</v>
      </c>
      <c r="J19" s="240"/>
    </row>
    <row r="20" spans="1:10" x14ac:dyDescent="0.25" ht="20" customHeight="1">
      <c r="A20" s="5" t="str">
        <f>HYPERLINK("#'Input - Crop pasture farm input'!A1", "Crop pasture farm input")</f>
        <v>Crop pasture farm input</v>
      </c>
      <c r="J20" s="240"/>
    </row>
    <row r="21" spans="1:10" x14ac:dyDescent="0.25" ht="20" customHeight="1">
      <c r="A21" s="5" t="str">
        <f>HYPERLINK("#'Input - Livestock farm Inputs'!A1", "Livestock farm Inputs")</f>
        <v>Livestock farm Inputs</v>
      </c>
      <c r="J21" s="240"/>
    </row>
    <row r="22" spans="1:10" x14ac:dyDescent="0.25" ht="20" customHeight="1">
      <c r="A22" s="5" t="str">
        <f>HYPERLINK("#'Input - Freight'!A1", "Freight")</f>
        <v>Freight</v>
      </c>
      <c r="J22" s="240"/>
    </row>
    <row r="23" spans="1:10" x14ac:dyDescent="0.25" ht="20" customHeight="1">
      <c r="A23" s="5" t="str">
        <f>HYPERLINK("#'Input - Solid waste'!A1", "Solid waste")</f>
        <v>Solid waste</v>
      </c>
      <c r="J23" s="240"/>
    </row>
    <row r="24" spans="1:10" x14ac:dyDescent="0.25" ht="20" customHeight="1">
      <c r="A24" s="5" t="str">
        <f>HYPERLINK("#'Input - Manure sent off-site'!A1", "Manure sent off-site")</f>
        <v>Manure sent off-site</v>
      </c>
      <c r="J24" s="240"/>
    </row>
    <row r="25" spans="1:10" x14ac:dyDescent="0.25" ht="20" customHeight="1">
      <c r="A25" s="5" t="str">
        <f>HYPERLINK("#'Input - Data quality'!A1", "Data quality")</f>
        <v>Data quality</v>
      </c>
      <c r="J25" s="240"/>
    </row>
    <row r="26" spans="1:10" x14ac:dyDescent="0.25" ht="20" customHeight="1">
      <c r="A26"/>
      <c r="J26" s="240"/>
    </row>
    <row r="27" spans="1:10" x14ac:dyDescent="0.25" ht="20" customHeight="1">
      <c r="A27"/>
      <c r="J27" s="240"/>
    </row>
    <row r="28" spans="1:10" x14ac:dyDescent="0.25" ht="20" customHeight="1">
      <c r="A28" s="6" t="s">
        <v>2</v>
      </c>
      <c r="J28" s="240"/>
    </row>
    <row r="29" spans="1:10" x14ac:dyDescent="0.25" ht="20" customHeight="1">
      <c r="A29" s="5" t="str">
        <f>HYPERLINK("#'3.2.1.1-2 Enteric Methane'!A1", "3.2.1.1-2 Enteric Methane")</f>
        <v>3.2.1.1-2 Enteric Methane</v>
      </c>
      <c r="J29" s="240"/>
    </row>
    <row r="30" spans="1:10" x14ac:dyDescent="0.25" ht="20" customHeight="1">
      <c r="A30" s="5" t="str">
        <f>HYPERLINK("#'4.2.1.1-2 Methane'!A1", "4.2.1.1-2 Manure methane")</f>
        <v>4.2.1.1-2 Manure methane</v>
      </c>
      <c r="J30" s="240"/>
    </row>
    <row r="31" spans="1:10" x14ac:dyDescent="0.25" ht="20" customHeight="1">
      <c r="A31" s="5" t="str">
        <f>HYPERLINK("#'4.2.1.3-4 Soil direct N20'!A1", "4.2.1.3-4 Soil direct N2O")</f>
        <v>4.2.1.3-4 Soil direct N2O</v>
      </c>
      <c r="D31" s="240"/>
      <c r="E31" s="240"/>
      <c r="F31" s="240"/>
      <c r="G31" s="240"/>
      <c r="H31" s="240"/>
      <c r="I31" s="240"/>
      <c r="J31" s="240"/>
    </row>
    <row r="32" spans="1:10" x14ac:dyDescent="0.25" ht="20" customHeight="1">
      <c r="A32" s="5" t="str">
        <f>HYPERLINK("#'4.2.1.5-6 Soil Atmos Dep'!A1", "4.2.1.5-6 Soil atm. deposition")</f>
        <v>4.2.1.5-6 Soil atm. deposition</v>
      </c>
      <c r="I32" s="240"/>
      <c r="J32" s="240"/>
    </row>
    <row r="33" spans="1:10" x14ac:dyDescent="0.25" ht="20" customHeight="1">
      <c r="A33" s="5" t="str">
        <f>HYPERLINK("#'4.2.1.7-8 Soil leach runoff'!A1", "4.2.1.7-8 Soil leach &amp; runoff")</f>
        <v>4.2.1.7-8 Soil leach &amp; runoff</v>
      </c>
      <c r="I33" s="240"/>
      <c r="J33" s="240"/>
    </row>
    <row r="34" spans="1:10" x14ac:dyDescent="0.25" ht="20" customHeight="1">
      <c r="A34" s="5" t="str">
        <f>HYPERLINK("#'5.1.1.1-2 Inorganic fert N2O'!A1", "5.1.1.1-2 Inorganic fert N2O")</f>
        <v>5.1.1.1-2 Inorganic fert N2O</v>
      </c>
      <c r="I34" s="240"/>
      <c r="J34" s="240"/>
    </row>
    <row r="35" spans="1:10" x14ac:dyDescent="0.25" ht="20" customHeight="1">
      <c r="A35" s="5" t="str">
        <f>HYPERLINK("#'5.1.1.3-4 Inorganic fert CO2'!A1", "5.1.1.3-4 Inorganic fert CO2")</f>
        <v>5.1.1.3-4 Inorganic fert CO2</v>
      </c>
      <c r="I35" s="240"/>
      <c r="J35" s="240"/>
    </row>
    <row r="36" spans="1:10" x14ac:dyDescent="0.25" ht="20" customHeight="1">
      <c r="A36" s="5" t="str">
        <f>HYPERLINK("#'5.2.1.1-2 Organic Fert N2O'!A1", "5.2.1.1-2 Organic fert N2O")</f>
        <v>5.2.1.1-2 Organic fert N2O</v>
      </c>
      <c r="I36" s="240"/>
      <c r="J36" s="240"/>
    </row>
    <row r="37" spans="1:10" x14ac:dyDescent="0.25" ht="20" customHeight="1">
      <c r="A37" s="5" t="str">
        <f>HYPERLINK("#'5.3.1.1-2 Lime CO2'!A1", "5.3.1.1-2 Lime CO2")</f>
        <v>5.3.1.1-2 Lime CO2</v>
      </c>
      <c r="I37" s="240"/>
      <c r="J37" s="240"/>
    </row>
    <row r="38" spans="1:10" x14ac:dyDescent="0.25" ht="20" customHeight="1">
      <c r="A38" s="5" t="str">
        <f>HYPERLINK("#'5.4.1.1-4 Atmos deposition'!A1", "5.4.1.1-4 Atmos. deposition")</f>
        <v>5.4.1.1-4 Atmos. deposition</v>
      </c>
      <c r="I38" s="240"/>
      <c r="J38" s="240"/>
    </row>
    <row r="39" spans="1:10" x14ac:dyDescent="0.25" ht="20" customHeight="1">
      <c r="A39" s="5" t="str">
        <f>HYPERLINK("#'5.5.1.1-2 Leaching and runoff'!A1", "5.5.1.1-2 Leaching &amp; runoff")</f>
        <v>5.5.1.1-2 Leaching &amp; runoff</v>
      </c>
      <c r="I39" s="240"/>
      <c r="J39" s="240"/>
    </row>
    <row r="40" spans="1:10" x14ac:dyDescent="0.25" ht="20" customHeight="1">
      <c r="A40" s="5" t="str">
        <f>HYPERLINK("#'6.2.1.1-2 Pasture residue N2O'!A1", "6.2.1.1-2 Pasture residue N2O")</f>
        <v>6.2.1.1-2 Pasture residue N2O</v>
      </c>
      <c r="I40" s="240"/>
      <c r="J40" s="240"/>
    </row>
    <row r="41" spans="1:10" x14ac:dyDescent="0.25" ht="20" customHeight="1">
      <c r="A41" s="5" t="str">
        <f>HYPERLINK("#'6.3.1.1-2 Leach runoff pasture'!A1", "6.3.1.1-2 Leach &amp; runoff (pasture)")</f>
        <v>6.3.1.1-2 Leach &amp; runoff (pasture)</v>
      </c>
      <c r="I41" s="240"/>
      <c r="J41" s="240"/>
    </row>
    <row r="42" spans="1:10" x14ac:dyDescent="0.25" ht="20" customHeight="1">
      <c r="A42" s="5" t="str">
        <f>HYPERLINK("#'8.1.1.1-2 Transport fuel'!A1", "8.1.1.1-2 Transport fuel")</f>
        <v>8.1.1.1-2 Transport fuel</v>
      </c>
      <c r="I42" s="240"/>
      <c r="J42" s="240"/>
    </row>
    <row r="43" spans="1:10" x14ac:dyDescent="0.25" ht="20" customHeight="1">
      <c r="A43" s="5" t="str">
        <f>HYPERLINK("#'8.2.1.1-2 Stationary fuel'!A1", "8.2.1.1-2 Stationary fuel")</f>
        <v>8.2.1.1-2 Stationary fuel</v>
      </c>
      <c r="I43" s="240"/>
      <c r="J43" s="240"/>
    </row>
    <row r="44" spans="1:10" x14ac:dyDescent="0.25" ht="20" customHeight="1">
      <c r="A44" s="5" t="str">
        <f>HYPERLINK("#'10.1.1-2 Solid waste treatment'!A1", "10.1.1.1-2 Solid waste")</f>
        <v>10.1.1.1-2 Solid waste</v>
      </c>
      <c r="D44" s="240"/>
      <c r="E44" s="240"/>
      <c r="F44" s="240"/>
      <c r="G44" s="240"/>
      <c r="H44" s="240"/>
      <c r="I44" s="240"/>
      <c r="J44" s="240"/>
    </row>
    <row r="45" spans="1:10" x14ac:dyDescent="0.25" ht="20" customHeight="1">
      <c r="A45" s="5" t="str">
        <f>HYPERLINK("#'14.1.1-2 Purchased electricity'!A1", "14.1.1-2 Purchased electricity")</f>
        <v>14.1.1-2 Purchased electricity</v>
      </c>
      <c r="I45" s="240"/>
      <c r="J45" s="240"/>
    </row>
    <row r="46" spans="1:10" x14ac:dyDescent="0.25" ht="20" customHeight="1">
      <c r="A46" s="5" t="str">
        <f>HYPERLINK("#'15 Scope 3'!A1", "15 Scope 3")</f>
        <v>15 Scope 3</v>
      </c>
      <c r="I46" s="240"/>
      <c r="J46" s="240"/>
    </row>
    <row r="47" spans="1:10" x14ac:dyDescent="0.25" ht="20" customHeight="1">
      <c r="A47" s="5" t="str">
        <f>HYPERLINK("#'Calcs - Manure sent off-site'!A1", "Calcs - Manure sent off-site")</f>
        <v>Calcs - Manure sent off-site</v>
      </c>
      <c r="I47" s="240"/>
      <c r="J47" s="240"/>
    </row>
    <row r="48" spans="1:10" x14ac:dyDescent="0.25" ht="20" customHeight="1">
      <c r="A48"/>
      <c r="I48" s="240"/>
      <c r="J48" s="240"/>
    </row>
    <row r="49" spans="1:10" x14ac:dyDescent="0.25" ht="20" customHeight="1">
      <c r="A49"/>
      <c r="I49" s="240"/>
      <c r="J49" s="240"/>
    </row>
    <row r="50" spans="1:10" x14ac:dyDescent="0.25" ht="20" customHeight="1">
      <c r="A50" s="85" t="s">
        <v>1</v>
      </c>
      <c r="I50" s="240"/>
      <c r="J50" s="240"/>
    </row>
    <row r="51" spans="1:10" x14ac:dyDescent="0.25" ht="20" customHeight="1">
      <c r="A51" s="5" t="str">
        <f>HYPERLINK("#'Constants - Pasture Beef'!A1", "Constants - Pasture Beef")</f>
        <v>Constants - Pasture Beef</v>
      </c>
      <c r="I51" s="240"/>
      <c r="J51" s="240"/>
    </row>
    <row r="52" spans="1:10" x14ac:dyDescent="0.25" ht="20" customHeight="1">
      <c r="A52" s="5" t="str">
        <f>HYPERLINK("#'Constants - Ag Residue'!A1", "Constants - Ag residue")</f>
        <v>Constants - Ag residue</v>
      </c>
      <c r="I52" s="240"/>
      <c r="J52" s="240"/>
    </row>
    <row r="53" spans="1:10" x14ac:dyDescent="0.25" ht="20" customHeight="1">
      <c r="A53" s="5" t="str">
        <f>HYPERLINK("#'Constants - Common Livestock'!A1", "Constants - Common Livestock")</f>
        <v>Constants - Common Livestock</v>
      </c>
      <c r="I53" s="240"/>
      <c r="J53" s="240"/>
    </row>
    <row r="54" spans="1:10" x14ac:dyDescent="0.25" ht="20" customHeight="1">
      <c r="A54" s="5" t="str">
        <f>HYPERLINK("#'Constants - Electricity'!A1", "Constants - Electricity")</f>
        <v>Constants - Electricity</v>
      </c>
      <c r="I54" s="240"/>
      <c r="J54" s="240"/>
    </row>
    <row r="55" spans="1:10" x14ac:dyDescent="0.25" ht="20" customHeight="1">
      <c r="A55" s="5" t="str">
        <f>HYPERLINK("#'Constants - Fertiliser'!A1", "Constants - Fertiliser")</f>
        <v>Constants - Fertiliser</v>
      </c>
      <c r="I55" s="240"/>
      <c r="J55" s="240"/>
    </row>
    <row r="56" spans="1:10" x14ac:dyDescent="0.25" ht="20" customHeight="1">
      <c r="A56" s="5" t="str">
        <f>HYPERLINK("#'Constants - Fuel'!A1", "Constants - Fuel")</f>
        <v>Constants - Fuel</v>
      </c>
      <c r="I56" s="240"/>
      <c r="J56" s="240"/>
    </row>
    <row r="57" spans="1:10" x14ac:dyDescent="0.25" ht="20" customHeight="1">
      <c r="A57" s="5" t="str">
        <f>HYPERLINK("#'Constants - Scope 3'!A1", "Constants - Scope 3")</f>
        <v>Constants - Scope 3</v>
      </c>
      <c r="D57" s="240"/>
      <c r="E57" s="240"/>
      <c r="F57" s="240"/>
      <c r="G57" s="240"/>
      <c r="H57" s="240"/>
      <c r="I57" s="240"/>
      <c r="J57" s="240"/>
    </row>
    <row r="58" spans="1:10" ht="20" x14ac:dyDescent="0.25" customHeight="1">
      <c r="A58" s="5" t="str">
        <f>HYPERLINK("#'Constants - Solid Waste'!A1", "Constants - Solid Waste")</f>
        <v>Constants - Solid Waste</v>
      </c>
      <c r="D58" s="243"/>
      <c r="E58" s="240"/>
      <c r="F58" s="240"/>
      <c r="G58" s="240"/>
      <c r="H58" s="240"/>
      <c r="I58" s="240"/>
      <c r="J58" s="240"/>
    </row>
    <row r="59" spans="1:10" x14ac:dyDescent="0.25" ht="20" customHeight="1">
      <c r="A59" s="5" t="str">
        <f>HYPERLINK("#'Constants - Common'!A1", "Constants - Common")</f>
        <v>Constants - Common</v>
      </c>
      <c r="D59" s="240"/>
      <c r="E59" s="240"/>
      <c r="F59" s="240"/>
      <c r="G59" s="240"/>
      <c r="H59" s="240"/>
      <c r="I59" s="240"/>
      <c r="J59" s="240"/>
    </row>
    <row r="60" spans="1:10" x14ac:dyDescent="0.25" ht="20" customHeight="1">
      <c r="A60" s="5" t="str">
        <f>HYPERLINK("#'Acknowledgements'!A1", "Acknowledgements")</f>
        <v>Acknowledgements</v>
      </c>
      <c r="D60" s="240"/>
      <c r="E60" s="240"/>
      <c r="F60" s="240"/>
      <c r="G60" s="240"/>
      <c r="H60" s="240"/>
      <c r="I60" s="240"/>
      <c r="J60" s="240"/>
    </row>
    <row r="61" spans="1:10" x14ac:dyDescent="0.25" ht="20" customHeight="1">
      <c r="A61"/>
      <c r="D61" s="240"/>
      <c r="E61" s="240"/>
      <c r="F61" s="240"/>
      <c r="G61" s="240"/>
      <c r="H61" s="240"/>
      <c r="I61" s="240"/>
      <c r="J61" s="240"/>
    </row>
    <row r="62" spans="1:10" x14ac:dyDescent="0.25" ht="20" customHeight="1">
      <c r="A62"/>
      <c r="D62" s="240"/>
      <c r="E62" s="240"/>
      <c r="F62" s="240"/>
      <c r="G62" s="240"/>
      <c r="H62" s="240"/>
      <c r="I62" s="240"/>
      <c r="J62" s="240"/>
    </row>
    <row r="63" spans="1:10" x14ac:dyDescent="0.25" ht="20" customHeight="1">
      <c r="A63"/>
      <c r="D63" s="240"/>
      <c r="E63" s="240"/>
      <c r="F63" s="240"/>
      <c r="G63" s="240"/>
      <c r="H63" s="240"/>
      <c r="I63" s="240"/>
      <c r="J63" s="240"/>
    </row>
    <row r="64" spans="1:10" x14ac:dyDescent="0.25" ht="20" customHeight="1">
      <c r="A64"/>
    </row>
    <row r="65" spans="1:1" x14ac:dyDescent="0.25" ht="20" customHeight="1">
      <c r="A65"/>
    </row>
    <row r="66" spans="1:1" x14ac:dyDescent="0.25" ht="20" customHeight="1">
      <c r="A66"/>
    </row>
    <row r="67" spans="1:1" x14ac:dyDescent="0.25" ht="20" customHeight="1">
      <c r="A67"/>
    </row>
    <row r="68" spans="1:1" x14ac:dyDescent="0.25" ht="20" customHeight="1">
      <c r="A68"/>
    </row>
    <row r="69" spans="1:1" x14ac:dyDescent="0.25" ht="20" customHeight="1">
      <c r="A69"/>
    </row>
    <row r="70" spans="1:1" x14ac:dyDescent="0.25" ht="20" customHeight="1">
      <c r="A70"/>
    </row>
    <row r="71" spans="1:1" x14ac:dyDescent="0.25" ht="20" customHeight="1">
      <c r="A71"/>
    </row>
    <row r="72" spans="1:1" x14ac:dyDescent="0.25" ht="20" customHeight="1">
      <c r="A72"/>
    </row>
    <row r="73" spans="1:1" x14ac:dyDescent="0.25" ht="20" customHeight="1">
      <c r="A73"/>
    </row>
    <row r="74" spans="1:1" x14ac:dyDescent="0.25" ht="20" customHeight="1">
      <c r="A74"/>
    </row>
    <row r="75" spans="1:1" x14ac:dyDescent="0.25" ht="20" customHeight="1">
      <c r="A75"/>
    </row>
    <row r="76" spans="1:1" x14ac:dyDescent="0.25" ht="20" customHeight="1">
      <c r="A76"/>
    </row>
    <row r="77" spans="1:1" x14ac:dyDescent="0.25" ht="20" customHeight="1">
      <c r="A77"/>
    </row>
    <row r="78" spans="1:1" x14ac:dyDescent="0.25" ht="20" customHeight="1">
      <c r="A78"/>
    </row>
    <row r="79" spans="1:1" x14ac:dyDescent="0.25" ht="20" customHeight="1">
      <c r="A79"/>
    </row>
    <row r="80" spans="1:1" x14ac:dyDescent="0.25" ht="20" customHeight="1">
      <c r="A80"/>
    </row>
    <row r="81" spans="1:1" x14ac:dyDescent="0.25" ht="20" customHeight="1">
      <c r="A81"/>
    </row>
    <row r="82" spans="1:1" x14ac:dyDescent="0.25" ht="20" customHeight="1">
      <c r="A82"/>
    </row>
    <row r="83" spans="1:1" x14ac:dyDescent="0.25" ht="20" customHeight="1">
      <c r="A83"/>
    </row>
    <row r="84" spans="1:1" x14ac:dyDescent="0.25" ht="20" customHeight="1">
      <c r="A84"/>
    </row>
    <row r="85" spans="1:1" x14ac:dyDescent="0.25" ht="20" customHeight="1">
      <c r="A85"/>
    </row>
    <row r="86" spans="1:1" x14ac:dyDescent="0.25" ht="20" customHeight="1">
      <c r="A86"/>
    </row>
    <row r="87" spans="1:1" x14ac:dyDescent="0.25" ht="20" customHeight="1">
      <c r="A87"/>
    </row>
    <row r="88" spans="1:1" x14ac:dyDescent="0.25" ht="20" customHeight="1">
      <c r="A88"/>
    </row>
    <row r="89" spans="1:1" x14ac:dyDescent="0.25" ht="20" customHeight="1">
      <c r="A89"/>
    </row>
    <row r="90" spans="1:1" x14ac:dyDescent="0.25" ht="20" customHeight="1">
      <c r="A90"/>
    </row>
    <row r="91" spans="1:1" x14ac:dyDescent="0.25" ht="20" customHeight="1">
      <c r="A91"/>
    </row>
    <row r="92" spans="1:1" x14ac:dyDescent="0.25" ht="20" customHeight="1">
      <c r="A92"/>
    </row>
    <row r="93" spans="1:1" x14ac:dyDescent="0.25" ht="20" customHeight="1">
      <c r="A93"/>
    </row>
    <row r="94" spans="1:1" x14ac:dyDescent="0.25" ht="20" customHeight="1">
      <c r="A94"/>
    </row>
    <row r="95" spans="1:1" x14ac:dyDescent="0.25" ht="20" customHeight="1">
      <c r="A95"/>
    </row>
    <row r="96" spans="1:1" x14ac:dyDescent="0.25" ht="20" customHeight="1">
      <c r="A96"/>
    </row>
    <row r="97" spans="1:1" x14ac:dyDescent="0.25" ht="20" customHeight="1">
      <c r="A97"/>
    </row>
    <row r="98" spans="1:1" x14ac:dyDescent="0.25" ht="20" customHeight="1">
      <c r="A98"/>
    </row>
    <row r="99" spans="1:1" x14ac:dyDescent="0.25" ht="20" customHeight="1">
      <c r="A99"/>
    </row>
    <row r="100" spans="1:1" x14ac:dyDescent="0.25" ht="20" customHeight="1">
      <c r="A100"/>
    </row>
    <row r="101" spans="1:1" x14ac:dyDescent="0.25" ht="20" customHeight="1">
      <c r="A101"/>
    </row>
    <row r="102" spans="1:1" x14ac:dyDescent="0.25" ht="20" customHeight="1">
      <c r="A102"/>
    </row>
    <row r="103" spans="1:1" x14ac:dyDescent="0.25" ht="20" customHeight="1">
      <c r="A103"/>
    </row>
    <row r="104" spans="1:1" x14ac:dyDescent="0.25" ht="20" customHeight="1">
      <c r="A104"/>
    </row>
    <row r="105" spans="1:1" x14ac:dyDescent="0.25" ht="20" customHeight="1">
      <c r="A105"/>
    </row>
    <row r="106" spans="1:1" x14ac:dyDescent="0.25" ht="20" customHeight="1">
      <c r="A106"/>
    </row>
    <row r="107" spans="1:1" x14ac:dyDescent="0.25" ht="20" customHeight="1">
      <c r="A107"/>
    </row>
    <row r="108" spans="1:1" x14ac:dyDescent="0.25" ht="20" customHeight="1">
      <c r="A108"/>
    </row>
    <row r="109" spans="1:1" x14ac:dyDescent="0.25" ht="20" customHeight="1">
      <c r="A109"/>
    </row>
    <row r="110" spans="1:1" x14ac:dyDescent="0.25" ht="20" customHeight="1">
      <c r="A110"/>
    </row>
    <row r="111" spans="1:1" x14ac:dyDescent="0.25" ht="20" customHeight="1">
      <c r="A111"/>
    </row>
    <row r="112" spans="1:1" x14ac:dyDescent="0.25" ht="20" customHeight="1">
      <c r="A112"/>
    </row>
    <row r="113" spans="1:1" x14ac:dyDescent="0.25" ht="20" customHeight="1">
      <c r="A113"/>
    </row>
    <row r="114" spans="1:1" x14ac:dyDescent="0.25" ht="20" customHeight="1">
      <c r="A114"/>
    </row>
    <row r="115" spans="1:1" x14ac:dyDescent="0.25" ht="20" customHeight="1">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dataValidations count="3">
    <dataValidation type="list" allowBlank="1" showInputMessage="1" showErrorMessage="1" sqref="H7:H16" xr:uid="{FC06EE0F-2FAB-40DD-A86F-0CC329377A4C}">
      <formula1>INDIRECT("Table_ProductRegions_Beefcattle[Region]")</formula1>
    </dataValidation>
    <dataValidation type="list" allowBlank="1" showInputMessage="1" showErrorMessage="1" sqref="G7:G16" xr:uid="{286036DF-667F-4554-9FF7-BD042A581400}">
      <formula1>INDIRECT(TRIM("Table_SourceData_LivestockProduct_Beefcattle[Product]"))</formula1>
    </dataValidation>
    <dataValidation type="list" allowBlank="1" showInputMessage="1" showErrorMessage="1" sqref="F7:F16" xr:uid="{41F23F93-53E8-438F-AACF-DBB22E004EEA}">
      <formula1>INDIRECT("Table_LivestockClasses_Beefcattle[Livestock class]")</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E5FBD-D588-4932-8531-AE4FD31B6C48}">
  <sheetPr>
    <tabColor theme="5" tint="-0.249977111117893"/>
  </sheetPr>
  <dimension ref="A1:G60"/>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0" t="e" vm="1">
        <v>#VALUE!</v>
      </c>
      <c r="C1" s="10" t="s">
        <v>931</v>
      </c>
      <c r="D1" s="10"/>
      <c r="E1" s="10"/>
      <c r="F1" s="10"/>
      <c r="G1" s="10"/>
    </row>
    <row r="2" spans="1:7" ht="20" customHeight="1" x14ac:dyDescent="0.25">
      <c r="C2" s="3"/>
      <c r="D2" s="3"/>
      <c r="E2" s="3"/>
      <c r="F2" s="3"/>
      <c r="G2" s="3"/>
    </row>
    <row r="3" spans="1:7" ht="20" customHeight="1" x14ac:dyDescent="0.25">
      <c r="A3" s="5" t="str">
        <f>HYPERLINK("#'Home'!A1", "Home")</f>
        <v>Home</v>
      </c>
      <c r="C3" s="29"/>
      <c r="D3" s="29"/>
      <c r="E3" s="29"/>
      <c r="F3" s="29"/>
      <c r="G3" s="29"/>
    </row>
    <row r="4" spans="1:7" ht="20" customHeight="1" x14ac:dyDescent="0.25">
      <c r="A4" s="5" t="str">
        <f>HYPERLINK("#'Results - Activity period'!A1", "Results - Activity period")</f>
        <v>Results - Activity period</v>
      </c>
    </row>
    <row r="5" spans="1:7" ht="20" customHeight="1" x14ac:dyDescent="0.25">
      <c r="A5" s="5" t="str">
        <f>HYPERLINK("#'Results - Product EI'!A1", "Results - Product Emissions Intensity")</f>
        <v>Results - Product Emissions Intensity</v>
      </c>
      <c r="D5" s="2" t="s">
        <v>932</v>
      </c>
    </row>
    <row r="6" spans="1:7" ht="20" customHeight="1" x14ac:dyDescent="0.25"/>
    <row r="7" spans="1:7" ht="20" customHeight="1" x14ac:dyDescent="0.25">
      <c r="D7" s="70" t="s">
        <v>933</v>
      </c>
      <c r="E7" s="70"/>
      <c r="F7" s="70"/>
    </row>
    <row r="8" spans="1:7" ht="20" customHeight="1" x14ac:dyDescent="0.25">
      <c r="A8" s="7" t="s">
        <v>0</v>
      </c>
    </row>
    <row r="9" spans="1:7" ht="20" customHeight="1" x14ac:dyDescent="0.25">
      <c r="A9" s="5" t="str">
        <f>HYPERLINK("#'Input - Enterprise'!A1", "Enterprise")</f>
        <v>Enterprise</v>
      </c>
      <c r="D9" s="1" t="s">
        <v>257</v>
      </c>
      <c r="E9" s="13"/>
      <c r="F9" s="16" t="s">
        <v>934</v>
      </c>
    </row>
    <row r="10" spans="1:7" ht="20" customHeight="1" x14ac:dyDescent="0.25">
      <c r="A10" s="5" t="str">
        <f>HYPERLINK("#'Input - Site'!A1", "Site")</f>
        <v>Site</v>
      </c>
      <c r="D10" s="1" t="s">
        <v>72</v>
      </c>
      <c r="E10" s="13"/>
      <c r="F10" s="16" t="s">
        <v>934</v>
      </c>
    </row>
    <row r="11" spans="1:7" ht="20" customHeight="1" x14ac:dyDescent="0.25">
      <c r="A11" s="5" t="str">
        <f>HYPERLINK("#'Input - Pasture Beef'!A1", "Pasture Beef")</f>
        <v>Pasture Beef</v>
      </c>
    </row>
    <row r="12" spans="1:7" ht="20" customHeight="1" x14ac:dyDescent="0.25">
      <c r="A12" s="5" t="str">
        <f>HYPERLINK("#'Input - Livestock sales'!A1", "Livestock sales")</f>
        <v>Livestock sales</v>
      </c>
      <c r="D12" s="1" t="s">
        <v>258</v>
      </c>
      <c r="E12" s="76"/>
      <c r="F12" s="16" t="s">
        <v>935</v>
      </c>
    </row>
    <row r="13" spans="1:7" ht="20" customHeight="1" x14ac:dyDescent="0.25">
      <c r="A13" s="5" t="str">
        <f>HYPERLINK("#'Input - Beef cattle purchases'!A1", "Beef cattle purchases")</f>
        <v>Beef cattle purchases</v>
      </c>
    </row>
    <row r="14" spans="1:7" ht="20" customHeight="1" x14ac:dyDescent="0.25">
      <c r="A14" s="99" t="str">
        <f>HYPERLINK("#'Input - Pasture'!A1", "Pasture")</f>
        <v>Pasture</v>
      </c>
      <c r="D14" s="2" t="s">
        <v>936</v>
      </c>
    </row>
    <row r="15" spans="1:7" ht="20" customHeight="1" x14ac:dyDescent="0.25">
      <c r="A15" s="5" t="str">
        <f>HYPERLINK("#'Input - Fert Prod System'!A1", "Fert Prod System")</f>
        <v>Fert Prod System</v>
      </c>
    </row>
    <row r="16" spans="1:7" ht="20" customHeight="1" x14ac:dyDescent="0.25">
      <c r="A16" s="5" t="str">
        <f>HYPERLINK("#'Input - Fertiliser'!A1", "Fertiliser")</f>
        <v>Fertiliser</v>
      </c>
      <c r="D16" s="232" t="s">
        <v>937</v>
      </c>
      <c r="E16" s="44"/>
      <c r="F16" s="45"/>
    </row>
    <row r="17" spans="1:6" ht="20" customHeight="1" x14ac:dyDescent="0.25">
      <c r="A17" s="5" t="str">
        <f>HYPERLINK("#'Input - Fuel'!A1", "Fuel")</f>
        <v>Fuel</v>
      </c>
      <c r="D17" s="46" t="s">
        <v>938</v>
      </c>
      <c r="E17" s="47"/>
      <c r="F17" s="48"/>
    </row>
    <row r="18" spans="1:6" ht="20" customHeight="1" x14ac:dyDescent="0.25">
      <c r="A18" s="5" t="str">
        <f>HYPERLINK("#'Input - Electricity'!A1", "Electricity")</f>
        <v>Electricity</v>
      </c>
    </row>
    <row r="19" spans="1:6" ht="20" customHeight="1" x14ac:dyDescent="0.25">
      <c r="A19" s="5" t="str">
        <f>HYPERLINK("#'Input - Common farm inputs'!A1", "Common farm inputs")</f>
        <v>Common farm inputs</v>
      </c>
      <c r="D19" s="1" t="s">
        <v>259</v>
      </c>
      <c r="E19" s="76" t="e">
        <f>_xlfn.XLOOKUP(X_Cell_Pasture_PastureType, Table_SourceData_PastureAttributes[Pasture type],Table_SourceData_PastureAttributes[Average Yield (t DM ha) Yp])</f>
        <v>#N/A</v>
      </c>
      <c r="F19" s="16" t="s">
        <v>939</v>
      </c>
    </row>
    <row r="20" spans="1:6" ht="20" customHeight="1" x14ac:dyDescent="0.25">
      <c r="A20" s="5" t="str">
        <f>HYPERLINK("#'Input - Crop pasture farm input'!A1", "Crop pasture farm input")</f>
        <v>Crop pasture farm input</v>
      </c>
      <c r="D20" s="1" t="s">
        <v>940</v>
      </c>
      <c r="E20" s="15" t="e">
        <f>X_Cell_Pasture_AreaUnderPasture*X_Cell_Pasture_YieldPerHectare</f>
        <v>#N/A</v>
      </c>
      <c r="F20" s="16" t="s">
        <v>941</v>
      </c>
    </row>
    <row r="21" spans="1:6" ht="20" customHeight="1" x14ac:dyDescent="0.25">
      <c r="A21" s="5" t="str">
        <f>HYPERLINK("#'Input - Livestock farm Inputs'!A1", "Livestock farm Inputs")</f>
        <v>Livestock farm Inputs</v>
      </c>
    </row>
    <row r="22" spans="1:6" ht="20" customHeight="1" x14ac:dyDescent="0.25">
      <c r="A22" s="5" t="str">
        <f>HYPERLINK("#'Input - Freight'!A1", "Freight")</f>
        <v>Freight</v>
      </c>
    </row>
    <row r="23" spans="1:6" ht="20" customHeight="1" x14ac:dyDescent="0.25">
      <c r="A23" s="5" t="str">
        <f>HYPERLINK("#'Input - Solid waste'!A1", "Solid waste")</f>
        <v>Solid waste</v>
      </c>
      <c r="D23" s="2" t="s">
        <v>942</v>
      </c>
    </row>
    <row r="24" spans="1:6" ht="20" customHeight="1" x14ac:dyDescent="0.25">
      <c r="A24" s="5" t="str">
        <f>HYPERLINK("#'Input - Manure sent off-site'!A1", "Manure sent off-site")</f>
        <v>Manure sent off-site</v>
      </c>
    </row>
    <row r="25" spans="1:6" ht="20" customHeight="1" x14ac:dyDescent="0.25">
      <c r="A25" s="5" t="str">
        <f>HYPERLINK("#'Input - Data quality'!A1", "Data quality")</f>
        <v>Data quality</v>
      </c>
      <c r="D25" s="1" t="s">
        <v>261</v>
      </c>
      <c r="E25" s="76"/>
      <c r="F25" s="16" t="s">
        <v>935</v>
      </c>
    </row>
    <row r="26" spans="1:6" ht="20" customHeight="1" x14ac:dyDescent="0.25"/>
    <row r="27" spans="1:6" ht="20" customHeight="1" x14ac:dyDescent="0.25"/>
    <row r="28" spans="1:6" ht="20" customHeight="1" x14ac:dyDescent="0.25">
      <c r="A28" s="6" t="s">
        <v>2</v>
      </c>
    </row>
    <row r="29" spans="1:6" ht="20" customHeight="1" x14ac:dyDescent="0.25">
      <c r="A29" s="5" t="str">
        <f>HYPERLINK("#'3.2.1.1-2 Enteric Methane'!A1", "3.2.1.1-2 Enteric Methane")</f>
        <v>3.2.1.1-2 Enteric Methane</v>
      </c>
    </row>
    <row r="30" spans="1:6" ht="20" customHeight="1" x14ac:dyDescent="0.25">
      <c r="A30" s="5" t="str">
        <f>HYPERLINK("#'4.2.1.1-2 Methane'!A1", "4.2.1.1-2 Manure methane")</f>
        <v>4.2.1.1-2 Manure methane</v>
      </c>
    </row>
    <row r="31" spans="1:6" ht="20" customHeight="1" x14ac:dyDescent="0.25">
      <c r="A31" s="5" t="str">
        <f>HYPERLINK("#'4.2.1.3-4 Soil direct N20'!A1", "4.2.1.3-4 Soil direct N2O")</f>
        <v>4.2.1.3-4 Soil direct N2O</v>
      </c>
    </row>
    <row r="32" spans="1:6" ht="20" customHeight="1" x14ac:dyDescent="0.25">
      <c r="A32" s="5" t="str">
        <f>HYPERLINK("#'4.2.1.5-6 Soil Atmos Dep'!A1", "4.2.1.5-6 Soil atm. deposition")</f>
        <v>4.2.1.5-6 Soil atm. deposition</v>
      </c>
    </row>
    <row r="33" spans="1:1" ht="20" customHeight="1" x14ac:dyDescent="0.25">
      <c r="A33" s="5" t="str">
        <f>HYPERLINK("#'4.2.1.7-8 Soil leach runoff'!A1", "4.2.1.7-8 Soil leach &amp; runoff")</f>
        <v>4.2.1.7-8 Soil leach &amp; runoff</v>
      </c>
    </row>
    <row r="34" spans="1:1" ht="20" customHeight="1" x14ac:dyDescent="0.25">
      <c r="A34" s="5" t="str">
        <f>HYPERLINK("#'5.1.1.1-2 Inorganic fert N2O'!A1", "5.1.1.1-2 Inorganic fert N2O")</f>
        <v>5.1.1.1-2 Inorganic fert N2O</v>
      </c>
    </row>
    <row r="35" spans="1:1" ht="20" customHeight="1" x14ac:dyDescent="0.25">
      <c r="A35" s="5" t="str">
        <f>HYPERLINK("#'5.1.1.3-4 Inorganic fert CO2'!A1", "5.1.1.3-4 Inorganic fert CO2")</f>
        <v>5.1.1.3-4 Inorganic fert CO2</v>
      </c>
    </row>
    <row r="36" spans="1:1" ht="20" customHeight="1" x14ac:dyDescent="0.25">
      <c r="A36" s="5" t="str">
        <f>HYPERLINK("#'5.2.1.1-2 Organic Fert N2O'!A1", "5.2.1.1-2 Organic fert N2O")</f>
        <v>5.2.1.1-2 Organic fert N2O</v>
      </c>
    </row>
    <row r="37" spans="1:1" ht="20" customHeight="1" x14ac:dyDescent="0.25">
      <c r="A37" s="5" t="str">
        <f>HYPERLINK("#'5.3.1.1-2 Lime CO2'!A1", "5.3.1.1-2 Lime CO2")</f>
        <v>5.3.1.1-2 Lime CO2</v>
      </c>
    </row>
    <row r="38" spans="1:1" ht="20" customHeight="1" x14ac:dyDescent="0.25">
      <c r="A38" s="5" t="str">
        <f>HYPERLINK("#'5.4.1.1-4 Atmos deposition'!A1", "5.4.1.1-4 Atmos. deposition")</f>
        <v>5.4.1.1-4 Atmos. deposition</v>
      </c>
    </row>
    <row r="39" spans="1:1" ht="20" customHeight="1" x14ac:dyDescent="0.25">
      <c r="A39" s="5" t="str">
        <f>HYPERLINK("#'5.5.1.1-2 Leaching and runoff'!A1", "5.5.1.1-2 Leaching &amp; runoff")</f>
        <v>5.5.1.1-2 Leaching &amp; runoff</v>
      </c>
    </row>
    <row r="40" spans="1:1" x14ac:dyDescent="0.25" ht="20" customHeight="1">
      <c r="A40" s="5" t="str">
        <f>HYPERLINK("#'6.2.1.1-2 Pasture residue N2O'!A1", "6.2.1.1-2 Pasture residue N2O")</f>
        <v>6.2.1.1-2 Pasture residue N2O</v>
      </c>
    </row>
    <row r="41" spans="1:1" x14ac:dyDescent="0.25" ht="20" customHeight="1">
      <c r="A41" s="5" t="str">
        <f>HYPERLINK("#'6.3.1.1-2 Leach runoff pasture'!A1", "6.3.1.1-2 Leach &amp; runoff (pasture)")</f>
        <v>6.3.1.1-2 Leach &amp; runoff (pasture)</v>
      </c>
    </row>
    <row r="42" spans="1:1" x14ac:dyDescent="0.25" ht="20" customHeight="1">
      <c r="A42" s="5" t="str">
        <f>HYPERLINK("#'8.1.1.1-2 Transport fuel'!A1", "8.1.1.1-2 Transport fuel")</f>
        <v>8.1.1.1-2 Transport fuel</v>
      </c>
    </row>
    <row r="43" spans="1:1" x14ac:dyDescent="0.25" ht="20" customHeight="1">
      <c r="A43" s="5" t="str">
        <f>HYPERLINK("#'8.2.1.1-2 Stationary fuel'!A1", "8.2.1.1-2 Stationary fuel")</f>
        <v>8.2.1.1-2 Stationary fuel</v>
      </c>
    </row>
    <row r="44" spans="1:1" x14ac:dyDescent="0.25" ht="20" customHeight="1">
      <c r="A44" s="5" t="str">
        <f>HYPERLINK("#'10.1.1-2 Solid waste treatment'!A1", "10.1.1.1-2 Solid waste")</f>
        <v>10.1.1.1-2 Solid waste</v>
      </c>
    </row>
    <row r="45" spans="1:1" x14ac:dyDescent="0.25" ht="20" customHeight="1">
      <c r="A45" s="5" t="str">
        <f>HYPERLINK("#'14.1.1-2 Purchased electricity'!A1", "14.1.1-2 Purchased electricity")</f>
        <v>14.1.1-2 Purchased electricity</v>
      </c>
    </row>
    <row r="46" spans="1:1" x14ac:dyDescent="0.25" ht="20" customHeight="1">
      <c r="A46" s="5" t="str">
        <f>HYPERLINK("#'15 Scope 3'!A1", "15 Scope 3")</f>
        <v>15 Scope 3</v>
      </c>
    </row>
    <row r="47" spans="1:1" x14ac:dyDescent="0.25" ht="20" customHeight="1">
      <c r="A47" s="5" t="str">
        <f>HYPERLINK("#'Calcs - Manure sent off-site'!A1", "Calcs - Manure sent off-site")</f>
        <v>Calcs - Manure sent off-site</v>
      </c>
    </row>
    <row r="50" spans="1:1" x14ac:dyDescent="0.25" ht="20" customHeight="1">
      <c r="A50" s="85" t="s">
        <v>1</v>
      </c>
    </row>
    <row r="51" spans="1:1" x14ac:dyDescent="0.25" ht="20" customHeight="1">
      <c r="A51" s="5" t="str">
        <f>HYPERLINK("#'Constants - Pasture Beef'!A1", "Constants - Pasture Beef")</f>
        <v>Constants - Pasture Beef</v>
      </c>
    </row>
    <row r="52" spans="1:1" x14ac:dyDescent="0.25" ht="20" customHeight="1">
      <c r="A52" s="5" t="str">
        <f>HYPERLINK("#'Constants - Ag Residue'!A1", "Constants - Ag residue")</f>
        <v>Constants - Ag residue</v>
      </c>
    </row>
    <row r="53" spans="1:1" x14ac:dyDescent="0.25" ht="20" customHeight="1">
      <c r="A53" s="5" t="str">
        <f>HYPERLINK("#'Constants - Common Livestock'!A1", "Constants - Common Livestock")</f>
        <v>Constants - Common Livestock</v>
      </c>
    </row>
    <row r="54" spans="1:1" x14ac:dyDescent="0.25" ht="20" customHeight="1">
      <c r="A54" s="5" t="str">
        <f>HYPERLINK("#'Constants - Electricity'!A1", "Constants - Electricity")</f>
        <v>Constants - Electricity</v>
      </c>
    </row>
    <row r="55" spans="1:1" x14ac:dyDescent="0.25" ht="20" customHeight="1">
      <c r="A55" s="5" t="str">
        <f>HYPERLINK("#'Constants - Fertiliser'!A1", "Constants - Fertiliser")</f>
        <v>Constants - Fertiliser</v>
      </c>
    </row>
    <row r="56" spans="1:1" x14ac:dyDescent="0.25" ht="20" customHeight="1">
      <c r="A56" s="5" t="str">
        <f>HYPERLINK("#'Constants - Fuel'!A1", "Constants - Fuel")</f>
        <v>Constants - Fuel</v>
      </c>
    </row>
    <row r="57" spans="1:1" x14ac:dyDescent="0.25" ht="20" customHeight="1">
      <c r="A57" s="5" t="str">
        <f>HYPERLINK("#'Constants - Scope 3'!A1", "Constants - Scope 3")</f>
        <v>Constants - Scope 3</v>
      </c>
    </row>
    <row r="58" spans="1:1" x14ac:dyDescent="0.25" ht="20" customHeight="1">
      <c r="A58" s="5" t="str">
        <f>HYPERLINK("#'Constants - Solid Waste'!A1", "Constants - Solid Waste")</f>
        <v>Constants - Solid Waste</v>
      </c>
    </row>
    <row r="59" spans="1:1" x14ac:dyDescent="0.25" ht="20" customHeight="1">
      <c r="A59" s="5" t="str">
        <f>HYPERLINK("#'Constants - Common'!A1", "Constants - Common")</f>
        <v>Constants - Common</v>
      </c>
    </row>
    <row r="60" spans="1:1" x14ac:dyDescent="0.25" ht="20" customHeight="1">
      <c r="A60" s="5" t="str">
        <f>HYPERLINK("#'Acknowledgements'!A1", "Acknowledgements")</f>
        <v>Acknowledgements</v>
      </c>
    </row>
  </sheetData>
  <conditionalFormatting sqref="D16:G16">
    <cfRule type="expression" dxfId="78" priority="1">
      <formula>$D$24&gt;$D$11</formula>
    </cfRule>
  </conditionalFormatting>
  <dataValidations count="2">
    <dataValidation type="list" allowBlank="1" showInputMessage="1" showErrorMessage="1" sqref="E10" xr:uid="{DC3FE98D-7C03-40B6-855D-70D0DDA73532}">
      <formula1>INDIRECT("Table_SourceData_Fertiliser_IrrigationMethods[Irrigation method]")</formula1>
    </dataValidation>
    <dataValidation type="list" allowBlank="1" showInputMessage="1" showErrorMessage="1" sqref="E9" xr:uid="{22A95913-E5F2-445C-AB27-52A01671EE33}">
      <formula1>INDIRECT("Table_SourceData_PastureAttributes[Pasture type]")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60"/>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x14ac:dyDescent="0.35" customHeight="1">
      <c r="A1" s="10" t="e" vm="1">
        <v>#VALUE!</v>
      </c>
      <c r="C1" s="10" t="s">
        <v>170</v>
      </c>
    </row>
    <row r="2" spans="1:11" s="3" customFormat="1" x14ac:dyDescent="0.25" ht="20" customHeight="1">
      <c r="A2"/>
    </row>
    <row r="3" spans="1:11" ht="20" x14ac:dyDescent="0.25" customHeight="1">
      <c r="A3" s="5" t="str">
        <f>HYPERLINK("#'Home'!A1", "Home")</f>
        <v>Home</v>
      </c>
      <c r="C3" s="29"/>
      <c r="D3" s="29"/>
      <c r="E3" s="29"/>
      <c r="F3" s="29"/>
      <c r="G3" s="29"/>
      <c r="H3" s="29"/>
      <c r="I3" s="29"/>
      <c r="J3" s="29"/>
      <c r="K3" s="29"/>
    </row>
    <row r="4" spans="1:11" x14ac:dyDescent="0.25" ht="20" customHeight="1">
      <c r="A4" s="5" t="str">
        <f>HYPERLINK("#'Results - Activity period'!A1", "Results - Activity period")</f>
        <v>Results - Activity period</v>
      </c>
    </row>
    <row r="5" spans="1:11" x14ac:dyDescent="0.25" ht="20" customHeight="1">
      <c r="A5" s="5" t="str">
        <f>HYPERLINK("#'Results - Product EI'!A1", "Results - Product Emissions Intensity")</f>
        <v>Results - Product Emissions Intensity</v>
      </c>
      <c r="D5" s="70" t="s">
        <v>175</v>
      </c>
      <c r="E5" s="70"/>
      <c r="F5" s="70"/>
      <c r="G5" s="70"/>
    </row>
    <row r="6" spans="1:11" x14ac:dyDescent="0.25" ht="20" customHeight="1">
      <c r="F6" s="16"/>
    </row>
    <row r="7" spans="1:11" x14ac:dyDescent="0.25" ht="20" customHeight="1">
      <c r="D7" s="1" t="s">
        <v>171</v>
      </c>
      <c r="E7" s="15"/>
      <c r="F7" s="16"/>
    </row>
    <row r="8" spans="1:11" x14ac:dyDescent="0.25" ht="20" customHeight="1">
      <c r="A8" s="7" t="s">
        <v>0</v>
      </c>
      <c r="D8" s="1" t="s">
        <v>172</v>
      </c>
      <c r="E8" s="15"/>
      <c r="F8" s="16"/>
    </row>
    <row r="9" spans="1:11" x14ac:dyDescent="0.25" ht="20" customHeight="1">
      <c r="A9" s="5" t="str">
        <f>HYPERLINK("#'Input - Enterprise'!A1", "Enterprise")</f>
        <v>Enterprise</v>
      </c>
      <c r="D9" s="1" t="s">
        <v>72</v>
      </c>
      <c r="E9" s="15" cm="1">
        <f t="array" ref="E9">X_Cell_Pasture_IrrigationMethod</f>
        <v>0</v>
      </c>
    </row>
    <row r="10" spans="1:11" x14ac:dyDescent="0.25" ht="20" customHeight="1">
      <c r="A10" s="5" t="str">
        <f>HYPERLINK("#'Input - Site'!A1", "Site")</f>
        <v>Site</v>
      </c>
      <c r="D10" s="1" t="s">
        <v>173</v>
      </c>
      <c r="E10" s="15" cm="1">
        <f t="array" ref="E10">X_Cell_Pasture_AreaUnderPasture</f>
        <v>0</v>
      </c>
    </row>
    <row r="11" spans="1:11" x14ac:dyDescent="0.25" ht="20" customHeight="1">
      <c r="A11" s="5" t="str">
        <f>HYPERLINK("#'Input - Pasture Beef'!A1", "Pasture Beef")</f>
        <v>Pasture Beef</v>
      </c>
    </row>
    <row r="12" spans="1:11" x14ac:dyDescent="0.25" ht="20" customHeight="1">
      <c r="A12" s="5" t="str">
        <f>HYPERLINK("#'Input - Livestock sales'!A1", "Livestock sales")</f>
        <v>Livestock sales</v>
      </c>
    </row>
    <row r="13" spans="1:11" x14ac:dyDescent="0.25" ht="20" customHeight="1">
      <c r="A13" s="5" t="str">
        <f>HYPERLINK("#'Input - Beef cattle purchases'!A1", "Beef cattle purchases")</f>
        <v>Beef cattle purchases</v>
      </c>
    </row>
    <row r="14" spans="1:11" x14ac:dyDescent="0.25" ht="20" customHeight="1">
      <c r="A14" s="5" t="str">
        <f>HYPERLINK("#'Input - Pasture'!A1", "Pasture")</f>
        <v>Pasture</v>
      </c>
    </row>
    <row r="15" spans="1:11" x14ac:dyDescent="0.25" ht="20" customHeight="1">
      <c r="A15" s="99" t="str">
        <f>HYPERLINK("#'Input - Fert Prod System'!A1", "Fert Prod System")</f>
        <v>Fert Prod System</v>
      </c>
    </row>
    <row r="16" spans="1:11" x14ac:dyDescent="0.25" ht="20" customHeight="1">
      <c r="A16" s="5" t="str">
        <f>HYPERLINK("#'Input - Fertiliser'!A1", "Fertiliser")</f>
        <v>Fertiliser</v>
      </c>
    </row>
    <row r="17" spans="1:1" x14ac:dyDescent="0.25" ht="20" customHeight="1">
      <c r="A17" s="5" t="str">
        <f>HYPERLINK("#'Input - Fuel'!A1", "Fuel")</f>
        <v>Fuel</v>
      </c>
    </row>
    <row r="18" spans="1:1" x14ac:dyDescent="0.25" ht="20" customHeight="1">
      <c r="A18" s="5" t="str">
        <f>HYPERLINK("#'Input - Electricity'!A1", "Electricity")</f>
        <v>Electricity</v>
      </c>
    </row>
    <row r="19" spans="1:1" x14ac:dyDescent="0.25" ht="20" customHeight="1">
      <c r="A19" s="5" t="str">
        <f>HYPERLINK("#'Input - Common farm inputs'!A1", "Common farm inputs")</f>
        <v>Common farm inputs</v>
      </c>
    </row>
    <row r="20" spans="1:1" x14ac:dyDescent="0.25" ht="20" customHeight="1">
      <c r="A20" s="5" t="str">
        <f>HYPERLINK("#'Input - Crop pasture farm input'!A1", "Crop pasture farm input")</f>
        <v>Crop pasture farm input</v>
      </c>
    </row>
    <row r="21" spans="1:1" x14ac:dyDescent="0.25" ht="20" customHeight="1">
      <c r="A21" s="5" t="str">
        <f>HYPERLINK("#'Input - Livestock farm Inputs'!A1", "Livestock farm Inputs")</f>
        <v>Livestock farm Inputs</v>
      </c>
    </row>
    <row r="22" spans="1:1" x14ac:dyDescent="0.25" ht="20" customHeight="1">
      <c r="A22" s="5" t="str">
        <f>HYPERLINK("#'Input - Freight'!A1", "Freight")</f>
        <v>Freight</v>
      </c>
    </row>
    <row r="23" spans="1:1" x14ac:dyDescent="0.25" ht="20" customHeight="1">
      <c r="A23" s="5" t="str">
        <f>HYPERLINK("#'Input - Solid waste'!A1", "Solid waste")</f>
        <v>Solid waste</v>
      </c>
    </row>
    <row r="24" spans="1:1" x14ac:dyDescent="0.25" ht="20" customHeight="1">
      <c r="A24" s="5" t="str">
        <f>HYPERLINK("#'Input - Manure sent off-site'!A1", "Manure sent off-site")</f>
        <v>Manure sent off-site</v>
      </c>
    </row>
    <row r="25" spans="1:1" x14ac:dyDescent="0.25" ht="20" customHeight="1">
      <c r="A25" s="5" t="str">
        <f>HYPERLINK("#'Input - Data quality'!A1", "Data quality")</f>
        <v>Data quality</v>
      </c>
    </row>
    <row r="28" spans="1:1" x14ac:dyDescent="0.25" ht="20" customHeight="1">
      <c r="A28" s="6" t="s">
        <v>2</v>
      </c>
    </row>
    <row r="29" spans="1:1" x14ac:dyDescent="0.25" ht="20" customHeight="1">
      <c r="A29" s="5" t="str">
        <f>HYPERLINK("#'3.2.1.1-2 Enteric Methane'!A1", "3.2.1.1-2 Enteric Methane")</f>
        <v>3.2.1.1-2 Enteric Methane</v>
      </c>
    </row>
    <row r="30" spans="1:1" x14ac:dyDescent="0.25" ht="20" customHeight="1">
      <c r="A30" s="5" t="str">
        <f>HYPERLINK("#'4.2.1.1-2 Methane'!A1", "4.2.1.1-2 Manure methane")</f>
        <v>4.2.1.1-2 Manure methane</v>
      </c>
    </row>
    <row r="31" spans="1:1" x14ac:dyDescent="0.25" ht="20" customHeight="1">
      <c r="A31" s="5" t="str">
        <f>HYPERLINK("#'4.2.1.3-4 Soil direct N20'!A1", "4.2.1.3-4 Soil direct N2O")</f>
        <v>4.2.1.3-4 Soil direct N2O</v>
      </c>
    </row>
    <row r="32" spans="1:1" x14ac:dyDescent="0.25" ht="20" customHeight="1">
      <c r="A32" s="5" t="str">
        <f>HYPERLINK("#'4.2.1.5-6 Soil Atmos Dep'!A1", "4.2.1.5-6 Soil atm. deposition")</f>
        <v>4.2.1.5-6 Soil atm. deposition</v>
      </c>
    </row>
    <row r="33" spans="1:1" x14ac:dyDescent="0.25" ht="20" customHeight="1">
      <c r="A33" s="5" t="str">
        <f>HYPERLINK("#'4.2.1.7-8 Soil leach runoff'!A1", "4.2.1.7-8 Soil leach &amp; runoff")</f>
        <v>4.2.1.7-8 Soil leach &amp; runoff</v>
      </c>
    </row>
    <row r="34" spans="1:1" x14ac:dyDescent="0.25" ht="20" customHeight="1">
      <c r="A34" s="5" t="str">
        <f>HYPERLINK("#'5.1.1.1-2 Inorganic fert N2O'!A1", "5.1.1.1-2 Inorganic fert N2O")</f>
        <v>5.1.1.1-2 Inorganic fert N2O</v>
      </c>
    </row>
    <row r="35" spans="1:1" x14ac:dyDescent="0.25" ht="20" customHeight="1">
      <c r="A35" s="5" t="str">
        <f>HYPERLINK("#'5.1.1.3-4 Inorganic fert CO2'!A1", "5.1.1.3-4 Inorganic fert CO2")</f>
        <v>5.1.1.3-4 Inorganic fert CO2</v>
      </c>
    </row>
    <row r="36" spans="1:1" x14ac:dyDescent="0.25" ht="20" customHeight="1">
      <c r="A36" s="5" t="str">
        <f>HYPERLINK("#'5.2.1.1-2 Organic Fert N2O'!A1", "5.2.1.1-2 Organic fert N2O")</f>
        <v>5.2.1.1-2 Organic fert N2O</v>
      </c>
    </row>
    <row r="37" spans="1:1" x14ac:dyDescent="0.25" ht="20" customHeight="1">
      <c r="A37" s="5" t="str">
        <f>HYPERLINK("#'5.3.1.1-2 Lime CO2'!A1", "5.3.1.1-2 Lime CO2")</f>
        <v>5.3.1.1-2 Lime CO2</v>
      </c>
    </row>
    <row r="38" spans="1:1" x14ac:dyDescent="0.25" ht="20" customHeight="1">
      <c r="A38" s="5" t="str">
        <f>HYPERLINK("#'5.4.1.1-4 Atmos deposition'!A1", "5.4.1.1-4 Atmos. deposition")</f>
        <v>5.4.1.1-4 Atmos. deposition</v>
      </c>
    </row>
    <row r="39" spans="1:1" x14ac:dyDescent="0.25" ht="20" customHeight="1">
      <c r="A39" s="5" t="str">
        <f>HYPERLINK("#'5.5.1.1-2 Leaching and runoff'!A1", "5.5.1.1-2 Leaching &amp; runoff")</f>
        <v>5.5.1.1-2 Leaching &amp; runoff</v>
      </c>
    </row>
    <row r="40" spans="1:1" x14ac:dyDescent="0.25" ht="20" customHeight="1">
      <c r="A40" s="5" t="str">
        <f>HYPERLINK("#'6.2.1.1-2 Pasture residue N2O'!A1", "6.2.1.1-2 Pasture residue N2O")</f>
        <v>6.2.1.1-2 Pasture residue N2O</v>
      </c>
    </row>
    <row r="41" spans="1:1" x14ac:dyDescent="0.25" ht="20" customHeight="1">
      <c r="A41" s="5" t="str">
        <f>HYPERLINK("#'6.3.1.1-2 Leach runoff pasture'!A1", "6.3.1.1-2 Leach &amp; runoff (pasture)")</f>
        <v>6.3.1.1-2 Leach &amp; runoff (pasture)</v>
      </c>
    </row>
    <row r="42" spans="1:1" x14ac:dyDescent="0.25" ht="20" customHeight="1">
      <c r="A42" s="5" t="str">
        <f>HYPERLINK("#'8.1.1.1-2 Transport fuel'!A1", "8.1.1.1-2 Transport fuel")</f>
        <v>8.1.1.1-2 Transport fuel</v>
      </c>
    </row>
    <row r="43" spans="1:1" x14ac:dyDescent="0.25" ht="20" customHeight="1">
      <c r="A43" s="5" t="str">
        <f>HYPERLINK("#'8.2.1.1-2 Stationary fuel'!A1", "8.2.1.1-2 Stationary fuel")</f>
        <v>8.2.1.1-2 Stationary fuel</v>
      </c>
    </row>
    <row r="44" spans="1:1" x14ac:dyDescent="0.25" ht="20" customHeight="1">
      <c r="A44" s="5" t="str">
        <f>HYPERLINK("#'10.1.1-2 Solid waste treatment'!A1", "10.1.1.1-2 Solid waste")</f>
        <v>10.1.1.1-2 Solid waste</v>
      </c>
    </row>
    <row r="45" spans="1:1" x14ac:dyDescent="0.25" ht="20" customHeight="1">
      <c r="A45" s="5" t="str">
        <f>HYPERLINK("#'14.1.1-2 Purchased electricity'!A1", "14.1.1-2 Purchased electricity")</f>
        <v>14.1.1-2 Purchased electricity</v>
      </c>
    </row>
    <row r="46" spans="1:1" x14ac:dyDescent="0.25" ht="20" customHeight="1">
      <c r="A46" s="5" t="str">
        <f>HYPERLINK("#'15 Scope 3'!A1", "15 Scope 3")</f>
        <v>15 Scope 3</v>
      </c>
    </row>
    <row r="47" spans="1:1" x14ac:dyDescent="0.25" ht="20" customHeight="1">
      <c r="A47" s="5" t="str">
        <f>HYPERLINK("#'Calcs - Manure sent off-site'!A1", "Calcs - Manure sent off-site")</f>
        <v>Calcs - Manure sent off-site</v>
      </c>
    </row>
    <row r="50" spans="1:1" x14ac:dyDescent="0.25" ht="20" customHeight="1">
      <c r="A50" s="85" t="s">
        <v>1</v>
      </c>
    </row>
    <row r="51" spans="1:1" x14ac:dyDescent="0.25" ht="20" customHeight="1">
      <c r="A51" s="5" t="str">
        <f>HYPERLINK("#'Constants - Pasture Beef'!A1", "Constants - Pasture Beef")</f>
        <v>Constants - Pasture Beef</v>
      </c>
    </row>
    <row r="52" spans="1:1" x14ac:dyDescent="0.25" ht="20" customHeight="1">
      <c r="A52" s="5" t="str">
        <f>HYPERLINK("#'Constants - Ag Residue'!A1", "Constants - Ag residue")</f>
        <v>Constants - Ag residue</v>
      </c>
    </row>
    <row r="53" spans="1:1" x14ac:dyDescent="0.25" ht="20" customHeight="1">
      <c r="A53" s="5" t="str">
        <f>HYPERLINK("#'Constants - Common Livestock'!A1", "Constants - Common Livestock")</f>
        <v>Constants - Common Livestock</v>
      </c>
    </row>
    <row r="54" spans="1:1" x14ac:dyDescent="0.25" ht="20" customHeight="1">
      <c r="A54" s="5" t="str">
        <f>HYPERLINK("#'Constants - Electricity'!A1", "Constants - Electricity")</f>
        <v>Constants - Electricity</v>
      </c>
    </row>
    <row r="55" spans="1:1" x14ac:dyDescent="0.25" ht="20" customHeight="1">
      <c r="A55" s="5" t="str">
        <f>HYPERLINK("#'Constants - Fertiliser'!A1", "Constants - Fertiliser")</f>
        <v>Constants - Fertiliser</v>
      </c>
    </row>
    <row r="56" spans="1:1" x14ac:dyDescent="0.25" ht="20" customHeight="1">
      <c r="A56" s="5" t="str">
        <f>HYPERLINK("#'Constants - Fuel'!A1", "Constants - Fuel")</f>
        <v>Constants - Fuel</v>
      </c>
    </row>
    <row r="57" spans="1:1" x14ac:dyDescent="0.25" ht="20" customHeight="1">
      <c r="A57" s="5" t="str">
        <f>HYPERLINK("#'Constants - Scope 3'!A1", "Constants - Scope 3")</f>
        <v>Constants - Scope 3</v>
      </c>
    </row>
    <row r="58" spans="1:1" x14ac:dyDescent="0.25" ht="20" customHeight="1">
      <c r="A58" s="5" t="str">
        <f>HYPERLINK("#'Constants - Solid Waste'!A1", "Constants - Solid Waste")</f>
        <v>Constants - Solid Waste</v>
      </c>
    </row>
    <row r="59" spans="1:1" x14ac:dyDescent="0.25" ht="20" customHeight="1">
      <c r="A59" s="5" t="str">
        <f>HYPERLINK("#'Constants - Common'!A1", "Constants - Common")</f>
        <v>Constants - Common</v>
      </c>
    </row>
    <row r="60" spans="1:1" x14ac:dyDescent="0.25" ht="20" customHeight="1">
      <c r="A60" s="5" t="str">
        <f>HYPERLINK("#'Acknowledgements'!A1", "Acknowledgements")</f>
        <v>Acknowledgements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B894-7694-4FF3-B077-1C0B0D5F4C2A}">
  <sheetPr>
    <tabColor theme="5" tint="-0.249977111117893"/>
  </sheetPr>
  <dimension ref="A1:AA378"/>
  <sheetViews>
    <sheetView showGridLines="0" zoomScaleNormal="100" workbookViewId="0">
      <pane xSplit="1" topLeftCell="B1" activePane="topRight" state="frozen"/>
      <selection pane="topRight" activeCell="A4" sqref="A4"/>
    </sheetView>
  </sheetViews>
  <sheetFormatPr defaultRowHeight="20" x14ac:dyDescent="0.25" customHeight="1"/>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579</v>
      </c>
    </row>
    <row r="2" spans="1:27" s="3" customFormat="1" ht="20" customHeight="1" x14ac:dyDescent="0.25">
      <c r="A2"/>
    </row>
    <row r="3" spans="1:27" ht="20" customHeight="1" x14ac:dyDescent="0.25">
      <c r="A3" s="5" t="str">
        <f>HYPERLINK("#'Home'!A1", "Home")</f>
        <v>Home</v>
      </c>
      <c r="C3" s="29"/>
      <c r="D3" s="29"/>
      <c r="E3" s="29"/>
      <c r="F3" s="29"/>
      <c r="G3" s="29"/>
      <c r="H3" s="29"/>
      <c r="I3" s="29"/>
      <c r="J3" s="29"/>
      <c r="K3" s="29"/>
      <c r="L3" s="29"/>
      <c r="M3" s="29"/>
      <c r="N3" s="29"/>
      <c r="O3" s="29"/>
      <c r="P3" s="29"/>
      <c r="Q3" s="29"/>
      <c r="R3" s="29"/>
      <c r="S3" s="29"/>
      <c r="T3" s="29"/>
      <c r="U3" s="29"/>
      <c r="V3" s="29"/>
      <c r="W3" s="29"/>
      <c r="X3" s="29"/>
      <c r="Y3" s="29"/>
      <c r="Z3" s="29"/>
      <c r="AA3" s="29"/>
    </row>
    <row r="4" spans="1:27" ht="20" customHeight="1" x14ac:dyDescent="0.25">
      <c r="A4" s="5" t="str">
        <f>HYPERLINK("#'Results - Activity period'!A1", "Results - Activity period")</f>
        <v>Results - Activity period</v>
      </c>
    </row>
    <row r="5" spans="1:27" ht="20" customHeight="1" x14ac:dyDescent="0.25">
      <c r="A5" s="5" t="str">
        <f>HYPERLINK("#'Results - Product EI'!A1", "Results - Product Emissions Intensity")</f>
        <v>Results - Product Emissions Intensity</v>
      </c>
      <c r="D5" s="2" t="s">
        <v>580</v>
      </c>
      <c r="E5" s="25"/>
      <c r="F5" s="25"/>
      <c r="G5" s="25"/>
      <c r="H5" s="25"/>
      <c r="I5" s="25"/>
      <c r="J5" s="25"/>
      <c r="K5" s="25"/>
      <c r="L5" s="25"/>
      <c r="M5" s="25"/>
    </row>
    <row r="6" spans="1:27" ht="20" customHeight="1" x14ac:dyDescent="0.25">
      <c r="D6" s="8"/>
      <c r="E6" s="8"/>
      <c r="F6" s="8"/>
      <c r="G6" s="8"/>
      <c r="H6" s="8"/>
      <c r="I6" s="8"/>
      <c r="J6" s="8"/>
      <c r="K6" s="8"/>
      <c r="L6" s="8"/>
      <c r="M6" s="8"/>
    </row>
    <row r="7" spans="1:27" ht="20" customHeight="1" x14ac:dyDescent="0.25">
      <c r="D7" s="126" t="s">
        <v>581</v>
      </c>
      <c r="E7" s="44"/>
      <c r="F7" s="44"/>
      <c r="G7" s="44"/>
      <c r="H7" s="45"/>
      <c r="I7" s="127"/>
      <c r="J7" s="128"/>
      <c r="K7" s="129"/>
      <c r="L7" s="129"/>
      <c r="M7" s="129"/>
    </row>
    <row r="8" spans="1:27" ht="20" customHeight="1" x14ac:dyDescent="0.25">
      <c r="A8" s="7" t="s">
        <v>0</v>
      </c>
      <c r="D8" s="46" t="s">
        <v>582</v>
      </c>
      <c r="E8" s="47"/>
      <c r="F8" s="47"/>
      <c r="G8" s="47"/>
      <c r="H8" s="48"/>
      <c r="I8" s="8"/>
      <c r="J8" s="8"/>
      <c r="K8" s="8"/>
      <c r="L8" s="8"/>
      <c r="M8" s="8"/>
    </row>
    <row r="9" spans="1:27" ht="20" customHeight="1" x14ac:dyDescent="0.25">
      <c r="A9" s="5" t="str">
        <f>HYPERLINK("#'Input - Enterprise'!A1", "Enterprise")</f>
        <v>Enterprise</v>
      </c>
      <c r="D9" s="8"/>
      <c r="E9" s="8"/>
      <c r="F9" s="8"/>
      <c r="G9" s="8"/>
      <c r="H9" s="8"/>
      <c r="I9" s="8"/>
      <c r="J9" s="8"/>
      <c r="K9" s="8"/>
      <c r="L9" s="8"/>
      <c r="M9" s="8"/>
    </row>
    <row r="10" spans="1:27" ht="20" customHeight="1" x14ac:dyDescent="0.25">
      <c r="A10" s="5" t="str">
        <f>HYPERLINK("#'Input - Site'!A1", "Site")</f>
        <v>Site</v>
      </c>
      <c r="D10" s="79" t="s">
        <v>583</v>
      </c>
      <c r="E10" s="8"/>
      <c r="F10" s="8"/>
      <c r="G10" s="8"/>
      <c r="H10" s="8"/>
      <c r="I10" s="8"/>
      <c r="J10" s="8"/>
      <c r="K10" s="8"/>
      <c r="L10" s="8"/>
      <c r="M10" s="8"/>
    </row>
    <row r="11" spans="1:27" ht="20" customHeight="1" x14ac:dyDescent="0.25">
      <c r="A11" s="5" t="str">
        <f>HYPERLINK("#'Input - Pasture Beef'!A1", "Pasture Beef")</f>
        <v>Pasture Beef</v>
      </c>
      <c r="D11" s="130" t="s">
        <v>584</v>
      </c>
      <c r="E11" s="131" t="s">
        <v>585</v>
      </c>
      <c r="F11" s="132" t="s">
        <v>586</v>
      </c>
      <c r="G11" s="131" t="s">
        <v>587</v>
      </c>
      <c r="H11" s="132" t="s">
        <v>588</v>
      </c>
      <c r="I11" s="131" t="s">
        <v>589</v>
      </c>
      <c r="J11" s="130" t="s">
        <v>590</v>
      </c>
      <c r="K11" s="130" t="s">
        <v>591</v>
      </c>
      <c r="L11" s="130" t="s">
        <v>592</v>
      </c>
      <c r="M11" s="130" t="s">
        <v>593</v>
      </c>
      <c r="N11" s="130" t="s">
        <v>594</v>
      </c>
      <c r="O11" s="130" t="s">
        <v>595</v>
      </c>
      <c r="P11" s="130" t="s">
        <v>596</v>
      </c>
      <c r="Q11" s="130" t="s">
        <v>597</v>
      </c>
      <c r="R11" s="130" t="s">
        <v>598</v>
      </c>
      <c r="S11" s="130" t="s">
        <v>599</v>
      </c>
      <c r="T11" s="130" t="s">
        <v>600</v>
      </c>
      <c r="U11" s="130" t="s">
        <v>601</v>
      </c>
      <c r="V11" s="130" t="s">
        <v>602</v>
      </c>
      <c r="W11" s="130" t="s">
        <v>603</v>
      </c>
      <c r="X11" s="130" t="s">
        <v>604</v>
      </c>
      <c r="Y11" s="130" t="s">
        <v>605</v>
      </c>
      <c r="Z11" s="130" t="s">
        <v>606</v>
      </c>
    </row>
    <row r="12" spans="1:27" ht="20" customHeight="1" x14ac:dyDescent="0.25">
      <c r="A12" s="5" t="str">
        <f>HYPERLINK("#'Input - Livestock sales'!A1", "Livestock sales")</f>
        <v>Livestock sales</v>
      </c>
      <c r="D12" s="133"/>
      <c r="E12" s="134"/>
      <c r="F12" s="15" t="str">
        <f>IFERROR(_xlfn.XLOOKUP(Table_Input_InorganicFertiliser_Brands[[#This Row],[Product (select)]],FertiliserProducts[Product],FertiliserProducts[Unit]), "kg")</f>
        <v>kg</v>
      </c>
      <c r="G12" s="134">
        <f t="shared" ref="G12:G15" si="0">X_Cell_Fertiliser_AreaUnderCropping</f>
        <v>0</v>
      </c>
      <c r="H12" s="135">
        <f>IFERROR(_xlfn.XLOOKUP(Table_Input_InorganicFertiliser_Brands[[#This Row],[Product (select)]],FertiliserProducts[Product],FertiliserProducts[Density]), 1)</f>
        <v>1</v>
      </c>
      <c r="I12" s="136">
        <f>(Table_Input_InorganicFertiliser_Brands[[#This Row],[Amount applied per hectare]]*Table_Input_InorganicFertiliser_Brands[[#This Row],[Density]])*Table_Input_InorganicFertiliser_Brands[[#This Row],[Application area (ha)]]</f>
        <v>0</v>
      </c>
      <c r="J12" s="136"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
      </c>
      <c r="K12" s="136" t="str"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
      </c>
      <c r="L12" s="136"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36"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36"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36"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36"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36"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36"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36"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36"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36"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2" s="136" cm="1">
        <f t="array" ref="W12">IFERROR(Fertiliser_InputFunctions.Fertiliser_FertiliserProductLookup(Table_Input_InorganicFertiliser_Brands[[#This Row],[Product (select)]], "N declared", FertiliserProducts[#Data], FertiliserProducts[Product], FertiliserProducts[#Headers])*0.01, 0)</f>
        <v>0</v>
      </c>
      <c r="X12"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2" s="136" t="str">
        <f>IFERROR(_xlfn.XLOOKUP(Table_Input_InorganicFertiliser_Brands[[#This Row],[Product (select)]],FertiliserProducts[Product],FertiliserProducts[Urea source]), "")</f>
        <v/>
      </c>
      <c r="Z12" s="136" t="str">
        <f>IFERROR(_xlfn.XLOOKUP(Table_Input_InorganicFertiliser_Brands[[#This Row],[Product (select)]],FertiliserProducts[Product],FertiliserProducts[Ammonia source]), "")</f>
        <v/>
      </c>
    </row>
    <row r="13" spans="1:27" ht="20" customHeight="1" x14ac:dyDescent="0.25">
      <c r="A13" s="5" t="str">
        <f>HYPERLINK("#'Input - Beef cattle purchases'!A1", "Beef cattle purchases")</f>
        <v>Beef cattle purchases</v>
      </c>
      <c r="D13" s="133"/>
      <c r="E13" s="134"/>
      <c r="F13" s="15" t="str">
        <f>IFERROR(_xlfn.XLOOKUP(Table_Input_InorganicFertiliser_Brands[[#This Row],[Product (select)]],FertiliserProducts[Product],FertiliserProducts[Unit]), "kg")</f>
        <v>kg</v>
      </c>
      <c r="G13" s="134">
        <f t="shared" ref="G13" si="1">X_Cell_Fertiliser_AreaUnderCropping</f>
        <v>0</v>
      </c>
      <c r="H13" s="135">
        <f>IFERROR(_xlfn.XLOOKUP(Table_Input_InorganicFertiliser_Brands[[#This Row],[Product (select)]],FertiliserProducts[Product],FertiliserProducts[Density]), 1)</f>
        <v>1</v>
      </c>
      <c r="I13" s="136">
        <f>(Table_Input_InorganicFertiliser_Brands[[#This Row],[Amount applied per hectare]]*Table_Input_InorganicFertiliser_Brands[[#This Row],[Density]])*Table_Input_InorganicFertiliser_Brands[[#This Row],[Application area (ha)]]</f>
        <v>0</v>
      </c>
      <c r="J13" s="136"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
      </c>
      <c r="K13" s="136" t="str"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
      </c>
      <c r="L13" s="136"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
      </c>
      <c r="M13" s="136" t="str"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
      </c>
      <c r="N13" s="136"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
      </c>
      <c r="O13" s="136" t="str"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
      </c>
      <c r="P13" s="136"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
      </c>
      <c r="Q13" s="136" t="str"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
      </c>
      <c r="R13" s="136"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
      </c>
      <c r="S13" s="136" t="str"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
      </c>
      <c r="T13" s="136"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
      </c>
      <c r="U13" s="136" t="str"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
      </c>
      <c r="V13"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37" cm="1">
        <f t="array" ref="W13">IFERROR(Fertiliser_InputFunctions.Fertiliser_FertiliserProductLookup(Table_Input_InorganicFertiliser_Brands[[#This Row],[Product (select)]], "N declared", FertiliserProducts[#Data], FertiliserProducts[Product], FertiliserProducts[#Headers])*0.01, 0)</f>
        <v>0</v>
      </c>
      <c r="X13"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3" s="136" t="str">
        <f>IFERROR(_xlfn.XLOOKUP(Table_Input_InorganicFertiliser_Brands[[#This Row],[Product (select)]],FertiliserProducts[Product],FertiliserProducts[Urea source]), "")</f>
        <v/>
      </c>
      <c r="Z13" s="136" t="str">
        <f>IFERROR(_xlfn.XLOOKUP(Table_Input_InorganicFertiliser_Brands[[#This Row],[Product (select)]],FertiliserProducts[Product],FertiliserProducts[Ammonia source]), "")</f>
        <v/>
      </c>
    </row>
    <row r="14" spans="1:27" ht="20" customHeight="1" x14ac:dyDescent="0.25">
      <c r="A14" s="5" t="str">
        <f>HYPERLINK("#'Input - Pasture'!A1", "Pasture")</f>
        <v>Pasture</v>
      </c>
      <c r="D14" s="133"/>
      <c r="E14" s="134"/>
      <c r="F14" s="15" t="str">
        <f>IFERROR(_xlfn.XLOOKUP(Table_Input_InorganicFertiliser_Brands[[#This Row],[Product (select)]],FertiliserProducts[Product],FertiliserProducts[Unit]), "kg")</f>
        <v>kg</v>
      </c>
      <c r="G14" s="134">
        <f t="shared" si="0"/>
        <v>0</v>
      </c>
      <c r="H14" s="135">
        <f>IFERROR(_xlfn.XLOOKUP(Table_Input_InorganicFertiliser_Brands[[#This Row],[Product (select)]],FertiliserProducts[Product],FertiliserProducts[Density]), 1)</f>
        <v>1</v>
      </c>
      <c r="I14" s="136">
        <f>(Table_Input_InorganicFertiliser_Brands[[#This Row],[Amount applied per hectare]]*Table_Input_InorganicFertiliser_Brands[[#This Row],[Density]])*Table_Input_InorganicFertiliser_Brands[[#This Row],[Application area (ha)]]</f>
        <v>0</v>
      </c>
      <c r="J14" s="136"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
      </c>
      <c r="K14" s="136" t="str"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
      </c>
      <c r="L14" s="136"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
      </c>
      <c r="M14" s="136" t="str"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
      </c>
      <c r="N14" s="136"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
      </c>
      <c r="O14" s="136" t="str"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
      </c>
      <c r="P14" s="136"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
      </c>
      <c r="Q14" s="136" t="str"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
      </c>
      <c r="R14" s="136"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
      </c>
      <c r="S14" s="136" t="str"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
      </c>
      <c r="T14" s="136"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36"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37" cm="1">
        <f t="array" ref="W14">IFERROR(Fertiliser_InputFunctions.Fertiliser_FertiliserProductLookup(Table_Input_InorganicFertiliser_Brands[[#This Row],[Product (select)]], "N declared", FertiliserProducts[#Data], FertiliserProducts[Product], FertiliserProducts[#Headers])*0.01, 0)</f>
        <v>0</v>
      </c>
      <c r="X14"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4" s="136" t="str">
        <f>IFERROR(_xlfn.XLOOKUP(Table_Input_InorganicFertiliser_Brands[[#This Row],[Product (select)]],FertiliserProducts[Product],FertiliserProducts[Urea source]), "")</f>
        <v/>
      </c>
      <c r="Z14" s="136" t="str">
        <f>IFERROR(_xlfn.XLOOKUP(Table_Input_InorganicFertiliser_Brands[[#This Row],[Product (select)]],FertiliserProducts[Product],FertiliserProducts[Ammonia source]), "")</f>
        <v/>
      </c>
    </row>
    <row r="15" spans="1:27" ht="20" customHeight="1" x14ac:dyDescent="0.25">
      <c r="A15" s="5" t="str">
        <f>HYPERLINK("#'Input - Fert Prod System'!A1", "Fert Prod System")</f>
        <v>Fert Prod System</v>
      </c>
      <c r="D15" s="133"/>
      <c r="E15" s="134"/>
      <c r="F15" s="15" t="str">
        <f>IFERROR(_xlfn.XLOOKUP(Table_Input_InorganicFertiliser_Brands[[#This Row],[Product (select)]],FertiliserProducts[Product],FertiliserProducts[Unit]), "kg")</f>
        <v>kg</v>
      </c>
      <c r="G15" s="134">
        <f t="shared" si="0"/>
        <v>0</v>
      </c>
      <c r="H15" s="135">
        <f>IFERROR(_xlfn.XLOOKUP(Table_Input_InorganicFertiliser_Brands[[#This Row],[Product (select)]],FertiliserProducts[Product],FertiliserProducts[Density]), 1)</f>
        <v>1</v>
      </c>
      <c r="I15" s="136">
        <f>(Table_Input_InorganicFertiliser_Brands[[#This Row],[Amount applied per hectare]]*Table_Input_InorganicFertiliser_Brands[[#This Row],[Density]])*Table_Input_InorganicFertiliser_Brands[[#This Row],[Application area (ha)]]</f>
        <v>0</v>
      </c>
      <c r="J15" s="136"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36"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36"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36"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36"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36"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36"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36"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36"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36"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36"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36"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37" cm="1">
        <f t="array" ref="W15">IFERROR(Fertiliser_InputFunctions.Fertiliser_FertiliserProductLookup(Table_Input_InorganicFertiliser_Brands[[#This Row],[Product (select)]], "N declared", FertiliserProducts[#Data], FertiliserProducts[Product], FertiliserProducts[#Headers])*0.01, 0)</f>
        <v>0</v>
      </c>
      <c r="X15"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36" t="str">
        <f>IFERROR(_xlfn.XLOOKUP(Table_Input_InorganicFertiliser_Brands[[#This Row],[Product (select)]],FertiliserProducts[Product],FertiliserProducts[Urea source]), "")</f>
        <v/>
      </c>
      <c r="Z15" s="136" t="str">
        <f>IFERROR(_xlfn.XLOOKUP(Table_Input_InorganicFertiliser_Brands[[#This Row],[Product (select)]],FertiliserProducts[Product],FertiliserProducts[Ammonia source]), "")</f>
        <v/>
      </c>
    </row>
    <row r="16" spans="1:27" ht="20" customHeight="1" x14ac:dyDescent="0.25">
      <c r="A16" s="99" t="str">
        <f>HYPERLINK("#'Input - Fertiliser'!A1", "Fertiliser")</f>
        <v>Fertiliser</v>
      </c>
      <c r="D16" s="133"/>
      <c r="E16" s="134"/>
      <c r="F16" s="15" t="str">
        <f>IFERROR(_xlfn.XLOOKUP(Table_Input_InorganicFertiliser_Brands[[#This Row],[Product (select)]],FertiliserProducts[Product],FertiliserProducts[Unit]), "kg")</f>
        <v>kg</v>
      </c>
      <c r="G16" s="134">
        <f t="shared" ref="G16" si="2">X_Cell_Fertiliser_AreaUnderCropping</f>
        <v>0</v>
      </c>
      <c r="H16" s="135">
        <f>IFERROR(_xlfn.XLOOKUP(Table_Input_InorganicFertiliser_Brands[[#This Row],[Product (select)]],FertiliserProducts[Product],FertiliserProducts[Density]), 1)</f>
        <v>1</v>
      </c>
      <c r="I16" s="136">
        <f>(Table_Input_InorganicFertiliser_Brands[[#This Row],[Amount applied per hectare]]*Table_Input_InorganicFertiliser_Brands[[#This Row],[Density]])*Table_Input_InorganicFertiliser_Brands[[#This Row],[Application area (ha)]]</f>
        <v>0</v>
      </c>
      <c r="J16" s="136"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36"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36"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36"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36"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36"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36"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36"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36"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36"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36"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36"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37" cm="1">
        <f t="array" ref="W16">IFERROR(Fertiliser_InputFunctions.Fertiliser_FertiliserProductLookup(Table_Input_InorganicFertiliser_Brands[[#This Row],[Product (select)]], "N declared", FertiliserProducts[#Data], FertiliserProducts[Product], FertiliserProducts[#Headers])*0.01, 0)</f>
        <v>0</v>
      </c>
      <c r="X16"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36" t="str">
        <f>IFERROR(_xlfn.XLOOKUP(Table_Input_InorganicFertiliser_Brands[[#This Row],[Product (select)]],FertiliserProducts[Product],FertiliserProducts[Urea source]), "")</f>
        <v/>
      </c>
      <c r="Z16" s="136" t="str">
        <f>IFERROR(_xlfn.XLOOKUP(Table_Input_InorganicFertiliser_Brands[[#This Row],[Product (select)]],FertiliserProducts[Product],FertiliserProducts[Ammonia source]), "")</f>
        <v/>
      </c>
    </row>
    <row r="17" spans="1:26" ht="20" customHeight="1" x14ac:dyDescent="0.25">
      <c r="A17" s="5" t="str">
        <f>HYPERLINK("#'Input - Fuel'!A1", "Fuel")</f>
        <v>Fuel</v>
      </c>
      <c r="D17" s="133"/>
      <c r="E17" s="134"/>
      <c r="F17" s="15" t="str">
        <f>IFERROR(_xlfn.XLOOKUP(Table_Input_InorganicFertiliser_Brands[[#This Row],[Product (select)]],FertiliserProducts[Product],FertiliserProducts[Unit]), "kg")</f>
        <v>kg</v>
      </c>
      <c r="G17" s="134">
        <f t="shared" ref="G17" si="3">X_Cell_Fertiliser_AreaUnderCropping</f>
        <v>0</v>
      </c>
      <c r="H17" s="135">
        <f>IFERROR(_xlfn.XLOOKUP(Table_Input_InorganicFertiliser_Brands[[#This Row],[Product (select)]],FertiliserProducts[Product],FertiliserProducts[Density]), 1)</f>
        <v>1</v>
      </c>
      <c r="I17" s="136">
        <f>(Table_Input_InorganicFertiliser_Brands[[#This Row],[Amount applied per hectare]]*Table_Input_InorganicFertiliser_Brands[[#This Row],[Density]])*Table_Input_InorganicFertiliser_Brands[[#This Row],[Application area (ha)]]</f>
        <v>0</v>
      </c>
      <c r="J17" s="136"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36"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36"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36"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36"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36"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36"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36"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36"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36"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36"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36"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37" cm="1">
        <f t="array" ref="W17">IFERROR(Fertiliser_InputFunctions.Fertiliser_FertiliserProductLookup(Table_Input_InorganicFertiliser_Brands[[#This Row],[Product (select)]], "N declared", FertiliserProducts[#Data], FertiliserProducts[Product], FertiliserProducts[#Headers])*0.01, 0)</f>
        <v>0</v>
      </c>
      <c r="X17"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36" t="str">
        <f>IFERROR(_xlfn.XLOOKUP(Table_Input_InorganicFertiliser_Brands[[#This Row],[Product (select)]],FertiliserProducts[Product],FertiliserProducts[Urea source]), "")</f>
        <v/>
      </c>
      <c r="Z17" s="136" t="str">
        <f>IFERROR(_xlfn.XLOOKUP(Table_Input_InorganicFertiliser_Brands[[#This Row],[Product (select)]],FertiliserProducts[Product],FertiliserProducts[Ammonia source]), "")</f>
        <v/>
      </c>
    </row>
    <row r="18" spans="1:26" ht="20" customHeight="1" x14ac:dyDescent="0.25">
      <c r="A18" s="5" t="str">
        <f>HYPERLINK("#'Input - Electricity'!A1", "Electricity")</f>
        <v>Electricity</v>
      </c>
      <c r="D18" s="133"/>
      <c r="E18" s="134"/>
      <c r="F18" s="15" t="str">
        <f>IFERROR(_xlfn.XLOOKUP(Table_Input_InorganicFertiliser_Brands[[#This Row],[Product (select)]],FertiliserProducts[Product],FertiliserProducts[Unit]), "kg")</f>
        <v>kg</v>
      </c>
      <c r="G18" s="134">
        <f t="shared" ref="G18" si="4">X_Cell_Fertiliser_AreaUnderCropping</f>
        <v>0</v>
      </c>
      <c r="H18" s="135">
        <f>IFERROR(_xlfn.XLOOKUP(Table_Input_InorganicFertiliser_Brands[[#This Row],[Product (select)]],FertiliserProducts[Product],FertiliserProducts[Density]), 1)</f>
        <v>1</v>
      </c>
      <c r="I18" s="136">
        <f>(Table_Input_InorganicFertiliser_Brands[[#This Row],[Amount applied per hectare]]*Table_Input_InorganicFertiliser_Brands[[#This Row],[Density]])*Table_Input_InorganicFertiliser_Brands[[#This Row],[Application area (ha)]]</f>
        <v>0</v>
      </c>
      <c r="J18" s="136"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36"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36"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36"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36"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36"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36"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36"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36"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36"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36"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36"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37" cm="1">
        <f t="array" ref="W18">IFERROR(Fertiliser_InputFunctions.Fertiliser_FertiliserProductLookup(Table_Input_InorganicFertiliser_Brands[[#This Row],[Product (select)]], "N declared", FertiliserProducts[#Data], FertiliserProducts[Product], FertiliserProducts[#Headers])*0.01, 0)</f>
        <v>0</v>
      </c>
      <c r="X18"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36" t="str">
        <f>IFERROR(_xlfn.XLOOKUP(Table_Input_InorganicFertiliser_Brands[[#This Row],[Product (select)]],FertiliserProducts[Product],FertiliserProducts[Urea source]), "")</f>
        <v/>
      </c>
      <c r="Z18" s="136" t="str">
        <f>IFERROR(_xlfn.XLOOKUP(Table_Input_InorganicFertiliser_Brands[[#This Row],[Product (select)]],FertiliserProducts[Product],FertiliserProducts[Ammonia source]), "")</f>
        <v/>
      </c>
    </row>
    <row r="19" spans="1:26" ht="20" customHeight="1" x14ac:dyDescent="0.25">
      <c r="A19" s="5" t="str">
        <f>HYPERLINK("#'Input - Common farm inputs'!A1", "Common farm inputs")</f>
        <v>Common farm inputs</v>
      </c>
      <c r="D19" s="133"/>
      <c r="E19" s="134"/>
      <c r="F19" s="15" t="str">
        <f>IFERROR(_xlfn.XLOOKUP(Table_Input_InorganicFertiliser_Brands[[#This Row],[Product (select)]],FertiliserProducts[Product],FertiliserProducts[Unit]), "kg")</f>
        <v>kg</v>
      </c>
      <c r="G19" s="134">
        <f t="shared" ref="G19" si="5">X_Cell_Fertiliser_AreaUnderCropping</f>
        <v>0</v>
      </c>
      <c r="H19" s="135">
        <f>IFERROR(_xlfn.XLOOKUP(Table_Input_InorganicFertiliser_Brands[[#This Row],[Product (select)]],FertiliserProducts[Product],FertiliserProducts[Density]), 1)</f>
        <v>1</v>
      </c>
      <c r="I19" s="136">
        <f>(Table_Input_InorganicFertiliser_Brands[[#This Row],[Amount applied per hectare]]*Table_Input_InorganicFertiliser_Brands[[#This Row],[Density]])*Table_Input_InorganicFertiliser_Brands[[#This Row],[Application area (ha)]]</f>
        <v>0</v>
      </c>
      <c r="J19" s="136"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36"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36"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36"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36"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36"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36"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36"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36"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36"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36"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36"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37" cm="1">
        <f t="array" ref="W19">IFERROR(Fertiliser_InputFunctions.Fertiliser_FertiliserProductLookup(Table_Input_InorganicFertiliser_Brands[[#This Row],[Product (select)]], "N declared", FertiliserProducts[#Data], FertiliserProducts[Product], FertiliserProducts[#Headers])*0.01, 0)</f>
        <v>0</v>
      </c>
      <c r="X19"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36" t="str">
        <f>IFERROR(_xlfn.XLOOKUP(Table_Input_InorganicFertiliser_Brands[[#This Row],[Product (select)]],FertiliserProducts[Product],FertiliserProducts[Urea source]), "")</f>
        <v/>
      </c>
      <c r="Z19" s="136" t="str">
        <f>IFERROR(_xlfn.XLOOKUP(Table_Input_InorganicFertiliser_Brands[[#This Row],[Product (select)]],FertiliserProducts[Product],FertiliserProducts[Ammonia source]), "")</f>
        <v/>
      </c>
    </row>
    <row r="20" spans="1:26" ht="20" customHeight="1" x14ac:dyDescent="0.25">
      <c r="A20" s="5" t="str">
        <f>HYPERLINK("#'Input - Crop pasture farm input'!A1", "Crop pasture farm input")</f>
        <v>Crop pasture farm input</v>
      </c>
      <c r="D20" s="133"/>
      <c r="E20" s="134"/>
      <c r="F20" s="15" t="str">
        <f>IFERROR(_xlfn.XLOOKUP(Table_Input_InorganicFertiliser_Brands[[#This Row],[Product (select)]],FertiliserProducts[Product],FertiliserProducts[Unit]), "kg")</f>
        <v>kg</v>
      </c>
      <c r="G20" s="134">
        <f t="shared" ref="G20" si="6">X_Cell_Fertiliser_AreaUnderCropping</f>
        <v>0</v>
      </c>
      <c r="H20" s="135">
        <f>IFERROR(_xlfn.XLOOKUP(Table_Input_InorganicFertiliser_Brands[[#This Row],[Product (select)]],FertiliserProducts[Product],FertiliserProducts[Density]), 1)</f>
        <v>1</v>
      </c>
      <c r="I20" s="136">
        <f>(Table_Input_InorganicFertiliser_Brands[[#This Row],[Amount applied per hectare]]*Table_Input_InorganicFertiliser_Brands[[#This Row],[Density]])*Table_Input_InorganicFertiliser_Brands[[#This Row],[Application area (ha)]]</f>
        <v>0</v>
      </c>
      <c r="J20" s="136"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36"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36"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36"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36"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36"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36"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36"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36"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36"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36"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36"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37" cm="1">
        <f t="array" ref="W20">IFERROR(Fertiliser_InputFunctions.Fertiliser_FertiliserProductLookup(Table_Input_InorganicFertiliser_Brands[[#This Row],[Product (select)]], "N declared", FertiliserProducts[#Data], FertiliserProducts[Product], FertiliserProducts[#Headers])*0.01, 0)</f>
        <v>0</v>
      </c>
      <c r="X20"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36" t="str">
        <f>IFERROR(_xlfn.XLOOKUP(Table_Input_InorganicFertiliser_Brands[[#This Row],[Product (select)]],FertiliserProducts[Product],FertiliserProducts[Urea source]), "")</f>
        <v/>
      </c>
      <c r="Z20" s="136" t="str">
        <f>IFERROR(_xlfn.XLOOKUP(Table_Input_InorganicFertiliser_Brands[[#This Row],[Product (select)]],FertiliserProducts[Product],FertiliserProducts[Ammonia source]), "")</f>
        <v/>
      </c>
    </row>
    <row r="21" spans="1:26" ht="20" customHeight="1" x14ac:dyDescent="0.25">
      <c r="A21" s="5" t="str">
        <f>HYPERLINK("#'Input - Livestock farm Inputs'!A1", "Livestock farm Inputs")</f>
        <v>Livestock farm Inputs</v>
      </c>
      <c r="D21" s="133"/>
      <c r="E21" s="134"/>
      <c r="F21" s="15" t="str">
        <f>IFERROR(_xlfn.XLOOKUP(Table_Input_InorganicFertiliser_Brands[[#This Row],[Product (select)]],FertiliserProducts[Product],FertiliserProducts[Unit]), "kg")</f>
        <v>kg</v>
      </c>
      <c r="G21" s="134">
        <f t="shared" ref="G21" si="7">X_Cell_Fertiliser_AreaUnderCropping</f>
        <v>0</v>
      </c>
      <c r="H21" s="135">
        <f>IFERROR(_xlfn.XLOOKUP(Table_Input_InorganicFertiliser_Brands[[#This Row],[Product (select)]],FertiliserProducts[Product],FertiliserProducts[Density]), 1)</f>
        <v>1</v>
      </c>
      <c r="I21" s="136">
        <f>(Table_Input_InorganicFertiliser_Brands[[#This Row],[Amount applied per hectare]]*Table_Input_InorganicFertiliser_Brands[[#This Row],[Density]])*Table_Input_InorganicFertiliser_Brands[[#This Row],[Application area (ha)]]</f>
        <v>0</v>
      </c>
      <c r="J21" s="136"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36"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36"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36"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36"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36"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36"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36"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36"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36"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36"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36"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37" cm="1">
        <f t="array" ref="W21">IFERROR(Fertiliser_InputFunctions.Fertiliser_FertiliserProductLookup(Table_Input_InorganicFertiliser_Brands[[#This Row],[Product (select)]], "N declared", FertiliserProducts[#Data], FertiliserProducts[Product], FertiliserProducts[#Headers])*0.01, 0)</f>
        <v>0</v>
      </c>
      <c r="X21"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36" t="str">
        <f>IFERROR(_xlfn.XLOOKUP(Table_Input_InorganicFertiliser_Brands[[#This Row],[Product (select)]],FertiliserProducts[Product],FertiliserProducts[Urea source]), "")</f>
        <v/>
      </c>
      <c r="Z21" s="136" t="str">
        <f>IFERROR(_xlfn.XLOOKUP(Table_Input_InorganicFertiliser_Brands[[#This Row],[Product (select)]],FertiliserProducts[Product],FertiliserProducts[Ammonia source]), "")</f>
        <v/>
      </c>
    </row>
    <row r="22" spans="1:26" ht="20" customHeight="1" x14ac:dyDescent="0.25">
      <c r="A22" s="5" t="str">
        <f>HYPERLINK("#'Input - Freight'!A1", "Freight")</f>
        <v>Freight</v>
      </c>
      <c r="D22" s="138"/>
      <c r="E22" s="139"/>
      <c r="F22" s="140"/>
      <c r="G22" s="140"/>
      <c r="H22" s="140"/>
      <c r="I22" s="140"/>
      <c r="J22" s="141"/>
      <c r="K22" s="141"/>
      <c r="L22" s="142"/>
      <c r="M22" s="142"/>
      <c r="N22" s="143"/>
      <c r="O22" s="143"/>
      <c r="P22" s="143"/>
      <c r="Q22" s="143"/>
      <c r="R22" s="143"/>
      <c r="S22" s="143"/>
      <c r="T22" s="143"/>
      <c r="U22" s="143"/>
      <c r="V22" s="143"/>
      <c r="W22" s="143"/>
      <c r="X22" s="143"/>
    </row>
    <row r="23" spans="1:26" ht="20" customHeight="1" x14ac:dyDescent="0.25">
      <c r="A23" s="5" t="str">
        <f>HYPERLINK("#'Input - Solid waste'!A1", "Solid waste")</f>
        <v>Solid waste</v>
      </c>
      <c r="D23" s="144" t="s">
        <v>607</v>
      </c>
      <c r="E23" s="145"/>
      <c r="F23" s="145"/>
      <c r="G23" s="145"/>
      <c r="H23" s="145"/>
      <c r="I23" s="145"/>
      <c r="J23" s="145"/>
      <c r="K23" s="145"/>
      <c r="L23" s="145"/>
      <c r="M23" s="145"/>
      <c r="N23" s="143"/>
      <c r="O23" s="143"/>
      <c r="P23" s="143"/>
      <c r="Q23" s="143"/>
      <c r="R23" s="143"/>
      <c r="S23" s="143"/>
      <c r="T23" s="143"/>
      <c r="V23" s="143"/>
      <c r="W23" s="143"/>
      <c r="X23" s="143"/>
    </row>
    <row r="24" spans="1:26" ht="20" customHeight="1" x14ac:dyDescent="0.25">
      <c r="A24" s="5" t="str">
        <f>HYPERLINK("#'Input - Manure sent off-site'!A1", "Manure sent off-site")</f>
        <v>Manure sent off-site</v>
      </c>
      <c r="D24" s="131" t="s">
        <v>608</v>
      </c>
      <c r="E24" s="131" t="s">
        <v>609</v>
      </c>
      <c r="F24" s="131" t="s">
        <v>587</v>
      </c>
      <c r="G24" s="131" t="s">
        <v>589</v>
      </c>
      <c r="H24" s="131" t="s">
        <v>610</v>
      </c>
      <c r="I24" s="131" t="s">
        <v>591</v>
      </c>
      <c r="J24" s="131" t="s">
        <v>592</v>
      </c>
      <c r="K24" s="131" t="s">
        <v>593</v>
      </c>
      <c r="L24" s="131" t="s">
        <v>594</v>
      </c>
      <c r="M24" s="131" t="s">
        <v>595</v>
      </c>
      <c r="N24" s="131" t="s">
        <v>596</v>
      </c>
      <c r="O24" s="131" t="s">
        <v>597</v>
      </c>
      <c r="P24" s="131" t="s">
        <v>604</v>
      </c>
      <c r="Q24" s="146" t="s">
        <v>611</v>
      </c>
      <c r="R24" s="146" t="s">
        <v>612</v>
      </c>
      <c r="S24" s="143"/>
      <c r="T24" s="143"/>
      <c r="V24" s="143"/>
      <c r="W24" s="143"/>
      <c r="X24" s="143"/>
    </row>
    <row r="25" spans="1:26" ht="20" customHeight="1" x14ac:dyDescent="0.25">
      <c r="A25" s="5" t="str">
        <f>HYPERLINK("#'Input - Data quality'!A1", "Data quality")</f>
        <v>Data quality</v>
      </c>
      <c r="D25" s="34"/>
      <c r="E25" s="131"/>
      <c r="F25" s="134">
        <f t="shared" ref="F25:F34" si="8">X_Cell_Fertiliser_AreaUnderCropping</f>
        <v>0</v>
      </c>
      <c r="G25" s="136">
        <f>Table_Input_InorganicFertiliser_Custom[[#This Row],[Amount applied (kg / ha)]]*Table_Input_InorganicFertiliser_Custom[[#This Row],[Application area (ha)]]</f>
        <v>0</v>
      </c>
      <c r="H25" s="147"/>
      <c r="I25" s="148"/>
      <c r="J25" s="147"/>
      <c r="K25" s="148"/>
      <c r="L25" s="147"/>
      <c r="M25" s="148"/>
      <c r="N25" s="149"/>
      <c r="O25" s="18"/>
      <c r="P25"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5" s="13"/>
      <c r="R25" s="13"/>
      <c r="T25" s="77"/>
      <c r="V25" s="143"/>
    </row>
    <row r="26" spans="1:26" ht="20" customHeight="1" x14ac:dyDescent="0.25">
      <c r="D26" s="34"/>
      <c r="E26" s="131"/>
      <c r="F26" s="134">
        <f t="shared" si="8"/>
        <v>0</v>
      </c>
      <c r="G26" s="136">
        <f>Table_Input_InorganicFertiliser_Custom[[#This Row],[Amount applied (kg / ha)]]*Table_Input_InorganicFertiliser_Custom[[#This Row],[Application area (ha)]]</f>
        <v>0</v>
      </c>
      <c r="H26" s="147"/>
      <c r="I26" s="150"/>
      <c r="J26" s="147"/>
      <c r="K26" s="150"/>
      <c r="L26" s="147"/>
      <c r="M26" s="150"/>
      <c r="N26" s="149"/>
      <c r="O26" s="18"/>
      <c r="P26"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6" s="13"/>
      <c r="R26" s="13"/>
      <c r="V26" s="143"/>
      <c r="W26" s="77"/>
    </row>
    <row r="27" spans="1:26" ht="20" customHeight="1" x14ac:dyDescent="0.25">
      <c r="D27" s="34"/>
      <c r="E27" s="131"/>
      <c r="F27" s="134">
        <f t="shared" si="8"/>
        <v>0</v>
      </c>
      <c r="G27" s="136">
        <f>Table_Input_InorganicFertiliser_Custom[[#This Row],[Amount applied (kg / ha)]]*Table_Input_InorganicFertiliser_Custom[[#This Row],[Application area (ha)]]</f>
        <v>0</v>
      </c>
      <c r="H27" s="147"/>
      <c r="I27" s="150"/>
      <c r="J27" s="147"/>
      <c r="K27" s="150"/>
      <c r="L27" s="147"/>
      <c r="M27" s="150"/>
      <c r="N27" s="149"/>
      <c r="O27" s="18"/>
      <c r="P27"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7" s="13"/>
      <c r="R27" s="13"/>
      <c r="V27" s="143"/>
    </row>
    <row r="28" spans="1:26" ht="20" customHeight="1" x14ac:dyDescent="0.25">
      <c r="A28" s="6" t="s">
        <v>2</v>
      </c>
      <c r="D28" s="34"/>
      <c r="E28" s="131"/>
      <c r="F28" s="151">
        <f t="shared" si="8"/>
        <v>0</v>
      </c>
      <c r="G28" s="136">
        <f>Table_Input_InorganicFertiliser_Custom[[#This Row],[Amount applied (kg / ha)]]*Table_Input_InorganicFertiliser_Custom[[#This Row],[Application area (ha)]]</f>
        <v>0</v>
      </c>
      <c r="H28" s="147"/>
      <c r="I28" s="150"/>
      <c r="J28" s="147"/>
      <c r="K28" s="150"/>
      <c r="L28" s="147"/>
      <c r="M28" s="150"/>
      <c r="N28" s="149"/>
      <c r="O28" s="18"/>
      <c r="P28"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7"/>
    </row>
    <row r="29" spans="1:26" ht="20" customHeight="1" x14ac:dyDescent="0.25">
      <c r="A29" s="5" t="str">
        <f>HYPERLINK("#'3.2.1.1-2 Enteric Methane'!A1", "3.2.1.1-2 Enteric Methane")</f>
        <v>3.2.1.1-2 Enteric Methane</v>
      </c>
      <c r="D29" s="34"/>
      <c r="E29" s="131"/>
      <c r="F29" s="151">
        <f t="shared" si="8"/>
        <v>0</v>
      </c>
      <c r="G29" s="136">
        <f>Table_Input_InorganicFertiliser_Custom[[#This Row],[Amount applied (kg / ha)]]*Table_Input_InorganicFertiliser_Custom[[#This Row],[Application area (ha)]]</f>
        <v>0</v>
      </c>
      <c r="H29" s="147"/>
      <c r="I29" s="150"/>
      <c r="J29" s="147"/>
      <c r="K29" s="150"/>
      <c r="L29" s="147"/>
      <c r="M29" s="150"/>
      <c r="N29" s="149"/>
      <c r="O29" s="18"/>
      <c r="P29"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 customHeight="1" x14ac:dyDescent="0.25">
      <c r="A30" s="5" t="str">
        <f>HYPERLINK("#'4.2.1.1-2 Methane'!A1", "4.2.1.1-2 Manure methane")</f>
        <v>4.2.1.1-2 Manure methane</v>
      </c>
      <c r="D30" s="34"/>
      <c r="E30" s="131"/>
      <c r="F30" s="151">
        <f t="shared" si="8"/>
        <v>0</v>
      </c>
      <c r="G30" s="136">
        <f>Table_Input_InorganicFertiliser_Custom[[#This Row],[Amount applied (kg / ha)]]*Table_Input_InorganicFertiliser_Custom[[#This Row],[Application area (ha)]]</f>
        <v>0</v>
      </c>
      <c r="H30" s="147"/>
      <c r="I30" s="150"/>
      <c r="J30" s="147"/>
      <c r="K30" s="150"/>
      <c r="L30" s="147"/>
      <c r="M30" s="150"/>
      <c r="N30" s="149"/>
      <c r="O30" s="18"/>
      <c r="P30"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 customHeight="1" x14ac:dyDescent="0.25">
      <c r="A31" s="5" t="str">
        <f>HYPERLINK("#'4.2.1.3-4 Soil direct N20'!A1", "4.2.1.3-4 Soil direct N2O")</f>
        <v>4.2.1.3-4 Soil direct N2O</v>
      </c>
      <c r="D31" s="34"/>
      <c r="E31" s="131"/>
      <c r="F31" s="151">
        <f t="shared" si="8"/>
        <v>0</v>
      </c>
      <c r="G31" s="136">
        <f>Table_Input_InorganicFertiliser_Custom[[#This Row],[Amount applied (kg / ha)]]*Table_Input_InorganicFertiliser_Custom[[#This Row],[Application area (ha)]]</f>
        <v>0</v>
      </c>
      <c r="H31" s="147"/>
      <c r="I31" s="150"/>
      <c r="J31" s="147"/>
      <c r="K31" s="150"/>
      <c r="L31" s="147"/>
      <c r="M31" s="150"/>
      <c r="N31" s="149"/>
      <c r="O31" s="18"/>
      <c r="P31"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 customHeight="1" x14ac:dyDescent="0.25">
      <c r="A32" s="5" t="str">
        <f>HYPERLINK("#'4.2.1.5-6 Soil Atmos Dep'!A1", "4.2.1.5-6 Soil atm. deposition")</f>
        <v>4.2.1.5-6 Soil atm. deposition</v>
      </c>
      <c r="D32" s="34"/>
      <c r="E32" s="131"/>
      <c r="F32" s="151">
        <f t="shared" si="8"/>
        <v>0</v>
      </c>
      <c r="G32" s="136">
        <f>Table_Input_InorganicFertiliser_Custom[[#This Row],[Amount applied (kg / ha)]]*Table_Input_InorganicFertiliser_Custom[[#This Row],[Application area (ha)]]</f>
        <v>0</v>
      </c>
      <c r="H32" s="147"/>
      <c r="I32" s="150"/>
      <c r="J32" s="147"/>
      <c r="K32" s="150"/>
      <c r="L32" s="147"/>
      <c r="M32" s="150"/>
      <c r="N32" s="149"/>
      <c r="O32" s="18"/>
      <c r="P32"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 customHeight="1" x14ac:dyDescent="0.25">
      <c r="A33" s="5" t="str">
        <f>HYPERLINK("#'4.2.1.7-8 Soil leach runoff'!A1", "4.2.1.7-8 Soil leach &amp; runoff")</f>
        <v>4.2.1.7-8 Soil leach &amp; runoff</v>
      </c>
      <c r="D33" s="34"/>
      <c r="E33" s="131"/>
      <c r="F33" s="151">
        <f t="shared" si="8"/>
        <v>0</v>
      </c>
      <c r="G33" s="136">
        <f>Table_Input_InorganicFertiliser_Custom[[#This Row],[Amount applied (kg / ha)]]*Table_Input_InorganicFertiliser_Custom[[#This Row],[Application area (ha)]]</f>
        <v>0</v>
      </c>
      <c r="H33" s="147"/>
      <c r="I33" s="150"/>
      <c r="J33" s="147"/>
      <c r="K33" s="150"/>
      <c r="L33" s="147"/>
      <c r="M33" s="150"/>
      <c r="N33" s="149"/>
      <c r="O33" s="18"/>
      <c r="P33"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 customHeight="1" x14ac:dyDescent="0.25">
      <c r="A34" s="5" t="str">
        <f>HYPERLINK("#'5.1.1.1-2 Inorganic fert N2O'!A1", "5.1.1.1-2 Inorganic fert N2O")</f>
        <v>5.1.1.1-2 Inorganic fert N2O</v>
      </c>
      <c r="D34" s="34"/>
      <c r="E34" s="131"/>
      <c r="F34" s="151">
        <f t="shared" si="8"/>
        <v>0</v>
      </c>
      <c r="G34" s="136">
        <f>Table_Input_InorganicFertiliser_Custom[[#This Row],[Amount applied (kg / ha)]]*Table_Input_InorganicFertiliser_Custom[[#This Row],[Application area (ha)]]</f>
        <v>0</v>
      </c>
      <c r="H34" s="147"/>
      <c r="I34" s="150"/>
      <c r="J34" s="147"/>
      <c r="K34" s="150"/>
      <c r="L34" s="147"/>
      <c r="M34" s="150"/>
      <c r="N34" s="149"/>
      <c r="O34" s="18"/>
      <c r="P34"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 customHeight="1" x14ac:dyDescent="0.25">
      <c r="A35" s="5" t="str">
        <f>HYPERLINK("#'5.1.1.3-4 Inorganic fert CO2'!A1", "5.1.1.3-4 Inorganic fert CO2")</f>
        <v>5.1.1.3-4 Inorganic fert CO2</v>
      </c>
    </row>
    <row r="36" spans="1:27" ht="20" customHeight="1" x14ac:dyDescent="0.25">
      <c r="A36" s="5" t="str">
        <f>HYPERLINK("#'5.2.1.1-2 Organic Fert N2O'!A1", "5.2.1.1-2 Organic fert N2O")</f>
        <v>5.2.1.1-2 Organic fert N2O</v>
      </c>
      <c r="D36" s="2" t="s">
        <v>263</v>
      </c>
      <c r="E36" s="25"/>
      <c r="F36" s="25"/>
      <c r="G36" s="25"/>
      <c r="H36" s="25"/>
      <c r="I36" s="25"/>
      <c r="J36" s="25"/>
      <c r="K36" s="8"/>
      <c r="L36" s="8"/>
      <c r="M36" s="8"/>
    </row>
    <row r="37" spans="1:27" ht="20" customHeight="1" x14ac:dyDescent="0.25">
      <c r="A37" s="5" t="str">
        <f>HYPERLINK("#'5.3.1.1-2 Lime CO2'!A1", "5.3.1.1-2 Lime CO2")</f>
        <v>5.3.1.1-2 Lime CO2</v>
      </c>
      <c r="D37" s="126" t="s">
        <v>613</v>
      </c>
      <c r="E37" s="44"/>
      <c r="F37" s="45"/>
      <c r="G37" s="126"/>
      <c r="H37" s="45"/>
      <c r="I37" s="25"/>
      <c r="J37" s="25"/>
      <c r="K37" s="8"/>
      <c r="L37" s="8"/>
      <c r="M37" s="25"/>
    </row>
    <row r="38" spans="1:27" ht="20" customHeight="1" x14ac:dyDescent="0.25">
      <c r="A38" s="5" t="str">
        <f>HYPERLINK("#'5.4.1.1-4 Atmos deposition'!A1", "5.4.1.1-4 Atmos. deposition")</f>
        <v>5.4.1.1-4 Atmos. deposition</v>
      </c>
      <c r="C38" s="143"/>
      <c r="D38" s="152" t="s">
        <v>614</v>
      </c>
      <c r="E38" s="153"/>
      <c r="F38" s="154"/>
      <c r="G38" s="152"/>
      <c r="H38" s="154"/>
      <c r="I38" s="8"/>
      <c r="J38" s="8"/>
      <c r="K38" s="8"/>
      <c r="L38" s="8"/>
      <c r="M38" s="8"/>
    </row>
    <row r="39" spans="1:27" ht="20" customHeight="1" x14ac:dyDescent="0.25">
      <c r="A39" s="5" t="str">
        <f>HYPERLINK("#'5.5.1.1-2 Leaching and runoff'!A1", "5.5.1.1-2 Leaching &amp; runoff")</f>
        <v>5.5.1.1-2 Leaching &amp; runoff</v>
      </c>
      <c r="C39" s="143"/>
      <c r="D39" s="46" t="s">
        <v>582</v>
      </c>
      <c r="E39" s="47"/>
      <c r="F39" s="47"/>
      <c r="G39" s="47"/>
      <c r="H39" s="48"/>
      <c r="I39" s="8"/>
      <c r="J39" s="8"/>
      <c r="K39" s="8"/>
      <c r="L39" s="8"/>
      <c r="M39" s="25"/>
    </row>
    <row r="40" spans="1:27" s="155" customFormat="1" ht="20" customHeight="1" x14ac:dyDescent="0.25">
      <c r="A40" s="5" t="str">
        <f>HYPERLINK("#'6.2.1.1-2 Pasture residue N2O'!A1", "6.2.1.1-2 Pasture residue N2O")</f>
        <v>6.2.1.1-2 Pasture residue N2O</v>
      </c>
      <c r="C40" s="1"/>
      <c r="D40" s="80" t="str">
        <f>IF(MAX(Table_Input_Lime[Total]) &gt; 1, "There can not be more than 100% ingredients in a product. Check the table below.", "")</f>
        <v/>
      </c>
      <c r="E40" s="1"/>
      <c r="F40" s="1"/>
      <c r="G40" s="1"/>
      <c r="H40" s="1"/>
      <c r="I40" s="1"/>
      <c r="J40" s="1"/>
      <c r="K40" s="1"/>
      <c r="L40" s="8"/>
      <c r="M40" s="25"/>
      <c r="N40" s="1"/>
      <c r="O40" s="1"/>
      <c r="P40" s="1"/>
      <c r="Q40" s="1"/>
      <c r="R40" s="1"/>
      <c r="S40" s="1"/>
      <c r="T40" s="1"/>
      <c r="U40" s="1"/>
      <c r="V40" s="1"/>
      <c r="W40" s="1"/>
      <c r="X40" s="1"/>
      <c r="Y40" s="1"/>
      <c r="Z40" s="1"/>
      <c r="AA40" s="1"/>
    </row>
    <row r="41" spans="1:27" s="155" customFormat="1" ht="20" customHeight="1" x14ac:dyDescent="0.25">
      <c r="A41" s="5" t="str">
        <f>HYPERLINK("#'6.3.1.1-2 Leach runoff pasture'!A1", "6.3.1.1-2 Leach &amp; runoff (pasture)")</f>
        <v>6.3.1.1-2 Leach &amp; runoff (pasture)</v>
      </c>
      <c r="C41" s="1"/>
      <c r="D41" s="156" t="s">
        <v>139</v>
      </c>
      <c r="E41" s="156" t="s">
        <v>615</v>
      </c>
      <c r="F41" s="156" t="s">
        <v>587</v>
      </c>
      <c r="G41" s="156" t="s">
        <v>616</v>
      </c>
      <c r="H41" s="156" t="s">
        <v>617</v>
      </c>
      <c r="I41" s="156" t="s">
        <v>618</v>
      </c>
      <c r="J41" s="156" t="s">
        <v>619</v>
      </c>
      <c r="K41" s="156" t="s">
        <v>620</v>
      </c>
      <c r="L41" s="1"/>
      <c r="M41" s="1"/>
      <c r="N41" s="1"/>
      <c r="O41" s="1"/>
      <c r="P41" s="1"/>
      <c r="Q41" s="1"/>
      <c r="R41" s="1"/>
      <c r="S41" s="143"/>
      <c r="T41" s="1"/>
      <c r="U41" s="1"/>
      <c r="V41" s="1"/>
      <c r="W41" s="1"/>
      <c r="X41" s="1"/>
      <c r="Y41" s="1"/>
      <c r="Z41" s="1"/>
      <c r="AA41" s="1"/>
    </row>
    <row r="42" spans="1:27" ht="20" customHeight="1" x14ac:dyDescent="0.25">
      <c r="A42" s="5" t="str">
        <f>HYPERLINK("#'8.1.1.1-2 Transport fuel'!A1", "8.1.1.1-2 Transport fuel")</f>
        <v>8.1.1.1-2 Transport fuel</v>
      </c>
      <c r="D42" s="157"/>
      <c r="E42" s="134"/>
      <c r="F42" s="134">
        <f>X_Cell_Fertiliser_AreaUnderCropping</f>
        <v>0</v>
      </c>
      <c r="G42" s="136">
        <f>IFERROR(Table_Input_Lime[[#This Row],[Amount applied (t/hectare)]]*Table_Input_Lime[[#This Row],[Application area (ha)]], 0)</f>
        <v>0</v>
      </c>
      <c r="H42" s="158"/>
      <c r="I42" s="158"/>
      <c r="J42" s="158"/>
      <c r="K42" s="159">
        <f>SUM(Table_Input_Lime[[#This Row],[Percent Lime CaCO3]:[Percent Gypsum]])</f>
        <v>0</v>
      </c>
      <c r="S42" s="143"/>
    </row>
    <row r="43" spans="1:27" ht="20" customHeight="1" x14ac:dyDescent="0.25">
      <c r="A43" s="5" t="str">
        <f>HYPERLINK("#'8.2.1.1-2 Stationary fuel'!A1", "8.2.1.1-2 Stationary fuel")</f>
        <v>8.2.1.1-2 Stationary fuel</v>
      </c>
      <c r="D43" s="157"/>
      <c r="E43" s="134"/>
      <c r="F43" s="134">
        <f>X_Cell_Fertiliser_AreaUnderCropping</f>
        <v>0</v>
      </c>
      <c r="G43" s="136">
        <f>IFERROR(Table_Input_Lime[[#This Row],[Amount applied (t/hectare)]]*Table_Input_Lime[[#This Row],[Application area (ha)]], 0)</f>
        <v>0</v>
      </c>
      <c r="H43" s="158"/>
      <c r="I43" s="158"/>
      <c r="J43" s="158"/>
      <c r="K43" s="159">
        <f>SUM(Table_Input_Lime[[#This Row],[Percent Lime CaCO3]:[Percent Gypsum]])</f>
        <v>0</v>
      </c>
    </row>
    <row r="44" spans="1:27" ht="20" customHeight="1" x14ac:dyDescent="0.25">
      <c r="A44" s="5" t="str">
        <f>HYPERLINK("#'10.1.1-2 Solid waste treatment'!A1", "10.1.1.1-2 Solid waste")</f>
        <v>10.1.1.1-2 Solid waste</v>
      </c>
      <c r="D44" s="157"/>
      <c r="E44" s="134"/>
      <c r="F44" s="134">
        <f>X_Cell_Fertiliser_AreaUnderCropping</f>
        <v>0</v>
      </c>
      <c r="G44" s="136">
        <f>IFERROR(Table_Input_Lime[[#This Row],[Amount applied (t/hectare)]]*Table_Input_Lime[[#This Row],[Application area (ha)]], 0)</f>
        <v>0</v>
      </c>
      <c r="H44" s="158"/>
      <c r="I44" s="158"/>
      <c r="J44" s="158"/>
      <c r="K44" s="159">
        <f>SUM(Table_Input_Lime[[#This Row],[Percent Lime CaCO3]:[Percent Gypsum]])</f>
        <v>0</v>
      </c>
      <c r="L44" s="25"/>
    </row>
    <row r="45" spans="1:27" ht="20" customHeight="1" x14ac:dyDescent="0.25">
      <c r="A45" s="5" t="str">
        <f>HYPERLINK("#'14.1.1-2 Purchased electricity'!A1", "14.1.1-2 Purchased electricity")</f>
        <v>14.1.1-2 Purchased electricity</v>
      </c>
      <c r="L45" s="25"/>
      <c r="M45" s="25"/>
    </row>
    <row r="46" spans="1:27" ht="20" customHeight="1" x14ac:dyDescent="0.25">
      <c r="A46" s="5" t="str">
        <f>HYPERLINK("#'15 Scope 3'!A1", "15 Scope 3")</f>
        <v>15 Scope 3</v>
      </c>
      <c r="D46" s="8"/>
      <c r="E46" s="8"/>
      <c r="F46" s="8"/>
      <c r="G46" s="8"/>
      <c r="H46" s="8"/>
      <c r="I46" s="8"/>
      <c r="J46" s="8"/>
      <c r="L46" s="8"/>
      <c r="M46" s="25"/>
    </row>
    <row r="47" spans="1:27" ht="20" customHeight="1" x14ac:dyDescent="0.25">
      <c r="A47" s="5" t="str">
        <f>HYPERLINK("#'Calcs - Manure sent off-site'!A1", "Calcs - Manure sent off-site")</f>
        <v>Calcs - Manure sent off-site</v>
      </c>
      <c r="D47" s="8"/>
      <c r="E47" s="8"/>
      <c r="F47" s="8"/>
      <c r="G47" s="8"/>
      <c r="H47" s="8"/>
      <c r="I47" s="8"/>
      <c r="J47" s="160"/>
      <c r="K47" s="25"/>
      <c r="L47" s="8"/>
      <c r="M47" s="8"/>
    </row>
    <row r="48" spans="1:27" ht="20" customHeight="1" x14ac:dyDescent="0.25">
      <c r="D48" s="2" t="s">
        <v>264</v>
      </c>
      <c r="E48" s="25"/>
      <c r="F48" s="25"/>
      <c r="G48" s="25"/>
      <c r="H48" s="8"/>
      <c r="I48" s="8"/>
      <c r="J48" s="8"/>
      <c r="K48" s="8"/>
      <c r="L48" s="8"/>
      <c r="M48" s="8"/>
    </row>
    <row r="49" spans="1:18" ht="20" customHeight="1" x14ac:dyDescent="0.25">
      <c r="D49" s="8"/>
      <c r="E49" s="8"/>
      <c r="F49" s="8"/>
      <c r="G49" s="8"/>
      <c r="H49" s="8"/>
      <c r="I49" s="8"/>
      <c r="J49" s="8"/>
      <c r="K49" s="8"/>
      <c r="L49" s="8"/>
      <c r="M49" s="8"/>
      <c r="Q49" s="143"/>
      <c r="R49" s="143"/>
    </row>
    <row r="50" spans="1:18" ht="20" customHeight="1" x14ac:dyDescent="0.25">
      <c r="A50" s="85" t="s">
        <v>1</v>
      </c>
      <c r="D50" s="126" t="s">
        <v>613</v>
      </c>
      <c r="E50" s="44"/>
      <c r="F50" s="44"/>
      <c r="G50" s="44"/>
      <c r="H50" s="45"/>
      <c r="I50" s="8"/>
      <c r="J50" s="8"/>
      <c r="K50" s="8"/>
      <c r="L50" s="8"/>
      <c r="M50" s="8"/>
      <c r="O50" s="143"/>
      <c r="P50" s="143"/>
      <c r="Q50" s="143"/>
      <c r="R50" s="143"/>
    </row>
    <row r="51" spans="1:18" ht="20" customHeight="1" x14ac:dyDescent="0.25">
      <c r="A51" s="5" t="str">
        <f>HYPERLINK("#'Constants - Pasture Beef'!A1", "Constants - Pasture Beef")</f>
        <v>Constants - Pasture Beef</v>
      </c>
      <c r="D51" s="46" t="s">
        <v>582</v>
      </c>
      <c r="E51" s="47"/>
      <c r="F51" s="47"/>
      <c r="G51" s="47"/>
      <c r="H51" s="48"/>
      <c r="I51" s="8"/>
      <c r="J51" s="8"/>
      <c r="K51" s="8"/>
      <c r="L51" s="145"/>
      <c r="M51" s="143"/>
      <c r="N51" s="143"/>
      <c r="O51" s="143"/>
      <c r="P51" s="143"/>
    </row>
    <row r="52" spans="1:18" ht="20" customHeight="1" x14ac:dyDescent="0.25">
      <c r="A52" s="5" t="str">
        <f>HYPERLINK("#'Constants - Ag Residue'!A1", "Constants - Ag residue")</f>
        <v>Constants - Ag residue</v>
      </c>
      <c r="D52" s="8"/>
      <c r="E52" s="8"/>
      <c r="F52" s="8"/>
      <c r="G52" s="8"/>
      <c r="H52" s="8"/>
      <c r="I52" s="8"/>
      <c r="J52" s="8"/>
      <c r="K52" s="8"/>
      <c r="L52" s="145"/>
      <c r="M52" s="143"/>
      <c r="N52" s="143"/>
    </row>
    <row r="53" spans="1:18" ht="20" customHeight="1" x14ac:dyDescent="0.25">
      <c r="A53" s="5" t="str">
        <f>HYPERLINK("#'Constants - Common Livestock'!A1", "Constants - Common Livestock")</f>
        <v>Constants - Common Livestock</v>
      </c>
      <c r="D53" s="156" t="s">
        <v>621</v>
      </c>
      <c r="E53" s="156" t="s">
        <v>622</v>
      </c>
      <c r="F53" s="156" t="s">
        <v>623</v>
      </c>
      <c r="G53" s="156" t="s">
        <v>624</v>
      </c>
      <c r="H53" s="156" t="s">
        <v>587</v>
      </c>
      <c r="I53" s="156" t="s">
        <v>625</v>
      </c>
      <c r="J53" s="156" t="s">
        <v>626</v>
      </c>
      <c r="K53" s="145"/>
    </row>
    <row r="54" spans="1:18" ht="20" customHeight="1" x14ac:dyDescent="0.25">
      <c r="A54" s="5" t="str">
        <f>HYPERLINK("#'Constants - Electricity'!A1", "Constants - Electricity")</f>
        <v>Constants - Electricity</v>
      </c>
      <c r="D54" s="133"/>
      <c r="E54" s="158"/>
      <c r="F54" s="134"/>
      <c r="G54" s="136">
        <f>Table_Input_OrganicFertiliser[[#This Row],[Amount applied (kg/hectare)]]*Table_Input_OrganicFertiliser[[#This Row],[Percentage of N in fertiliser]]</f>
        <v>0</v>
      </c>
      <c r="H54" s="134">
        <f>X_Cell_Fertiliser_AreaUnderCropping</f>
        <v>0</v>
      </c>
      <c r="I54" s="136">
        <f>Table_Input_OrganicFertiliser[[#This Row],[Amount applied (kg/hectare)]]*Table_Input_OrganicFertiliser[[#This Row],[Application area (ha)]]</f>
        <v>0</v>
      </c>
      <c r="J54" s="136">
        <f>IFERROR(Table_Input_OrganicFertiliser[[#This Row],[Amount N applied (kg/hectare)]]*Table_Input_OrganicFertiliser[[#This Row],[Application area (ha)]], 0)</f>
        <v>0</v>
      </c>
      <c r="K54" s="145"/>
    </row>
    <row r="55" spans="1:18" ht="20" customHeight="1" x14ac:dyDescent="0.25">
      <c r="A55" s="5" t="str">
        <f>HYPERLINK("#'Constants - Fertiliser'!A1", "Constants - Fertiliser")</f>
        <v>Constants - Fertiliser</v>
      </c>
      <c r="D55" s="133"/>
      <c r="E55" s="158"/>
      <c r="F55" s="134"/>
      <c r="G55" s="136">
        <f>Table_Input_OrganicFertiliser[[#This Row],[Amount applied (kg/hectare)]]*Table_Input_OrganicFertiliser[[#This Row],[Percentage of N in fertiliser]]</f>
        <v>0</v>
      </c>
      <c r="H55" s="134">
        <f>X_Cell_Fertiliser_AreaUnderCropping</f>
        <v>0</v>
      </c>
      <c r="I55" s="136">
        <f>Table_Input_OrganicFertiliser[[#This Row],[Amount applied (kg/hectare)]]*Table_Input_OrganicFertiliser[[#This Row],[Application area (ha)]]</f>
        <v>0</v>
      </c>
      <c r="J55" s="136">
        <f>IFERROR(Table_Input_OrganicFertiliser[[#This Row],[Amount N applied (kg/hectare)]]*Table_Input_OrganicFertiliser[[#This Row],[Application area (ha)]], 0)</f>
        <v>0</v>
      </c>
    </row>
    <row r="56" spans="1:18" ht="20" customHeight="1" x14ac:dyDescent="0.25">
      <c r="A56" s="5" t="str">
        <f>HYPERLINK("#'Constants - Fuel'!A1", "Constants - Fuel")</f>
        <v>Constants - Fuel</v>
      </c>
      <c r="D56" s="133"/>
      <c r="E56" s="158"/>
      <c r="F56" s="134"/>
      <c r="G56" s="136">
        <f>Table_Input_OrganicFertiliser[[#This Row],[Amount applied (kg/hectare)]]*Table_Input_OrganicFertiliser[[#This Row],[Percentage of N in fertiliser]]</f>
        <v>0</v>
      </c>
      <c r="H56" s="134">
        <f>X_Cell_Fertiliser_AreaUnderCropping</f>
        <v>0</v>
      </c>
      <c r="I56" s="136">
        <f>Table_Input_OrganicFertiliser[[#This Row],[Amount applied (kg/hectare)]]*Table_Input_OrganicFertiliser[[#This Row],[Application area (ha)]]</f>
        <v>0</v>
      </c>
      <c r="J56" s="136">
        <f>IFERROR(Table_Input_OrganicFertiliser[[#This Row],[Amount N applied (kg/hectare)]]*Table_Input_OrganicFertiliser[[#This Row],[Application area (ha)]], 0)</f>
        <v>0</v>
      </c>
    </row>
    <row r="57" spans="1:18" ht="20" customHeight="1" x14ac:dyDescent="0.25">
      <c r="A57" s="5" t="str">
        <f>HYPERLINK("#'Constants - Scope 3'!A1", "Constants - Scope 3")</f>
        <v>Constants - Scope 3</v>
      </c>
    </row>
    <row r="58" spans="1:18" ht="20" customHeight="1" x14ac:dyDescent="0.25">
      <c r="A58" s="5" t="str">
        <f>HYPERLINK("#'Constants - Solid Waste'!A1", "Constants - Solid Waste")</f>
        <v>Constants - Solid Waste</v>
      </c>
    </row>
    <row r="59" spans="1:18" ht="20" customHeight="1" x14ac:dyDescent="0.25">
      <c r="A59" s="5" t="str">
        <f>HYPERLINK("#'Constants - Common'!A1", "Constants - Common")</f>
        <v>Constants - Common</v>
      </c>
    </row>
    <row r="60" spans="1:18" ht="20" customHeight="1" x14ac:dyDescent="0.25">
      <c r="A60" s="5" t="str">
        <f>HYPERLINK("#'Acknowledgements'!A1", "Acknowledgements")</f>
        <v>Acknowledgements</v>
      </c>
    </row>
    <row r="61" spans="1:18" ht="20" customHeight="1" x14ac:dyDescent="0.25"/>
    <row r="62" spans="1:18" ht="20" customHeight="1" x14ac:dyDescent="0.25"/>
    <row r="63" spans="1:18" ht="20" customHeight="1" x14ac:dyDescent="0.25"/>
    <row r="64" spans="1:18"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spans="13:13" ht="20" customHeight="1" x14ac:dyDescent="0.25"/>
    <row r="114" spans="13:13" ht="20" customHeight="1" x14ac:dyDescent="0.25"/>
    <row r="115" spans="13:13" ht="20" customHeight="1" x14ac:dyDescent="0.25"/>
    <row r="116" spans="13:13" ht="20" customHeight="1" x14ac:dyDescent="0.25"/>
    <row r="117" spans="13:13" ht="20" customHeight="1" x14ac:dyDescent="0.25"/>
    <row r="118" spans="13:13" ht="20" customHeight="1" x14ac:dyDescent="0.25"/>
    <row r="119" spans="13:13" ht="20" customHeight="1" x14ac:dyDescent="0.25"/>
    <row r="120" spans="13:13" ht="20" customHeight="1" x14ac:dyDescent="0.25"/>
    <row r="121" spans="13:13" ht="20" customHeight="1" x14ac:dyDescent="0.25"/>
    <row r="122" spans="13:13" ht="20" customHeight="1" x14ac:dyDescent="0.25"/>
    <row r="123" spans="13:13" ht="20" customHeight="1" x14ac:dyDescent="0.25"/>
    <row r="124" spans="13:13" ht="20" customHeight="1" x14ac:dyDescent="0.25"/>
    <row r="125" spans="13:13" ht="20" customHeight="1" x14ac:dyDescent="0.25"/>
    <row r="126" spans="13:13" ht="20" customHeight="1" x14ac:dyDescent="0.25">
      <c r="M126" s="25"/>
    </row>
    <row r="127" spans="13:13" ht="20" customHeight="1" x14ac:dyDescent="0.25">
      <c r="M127" s="25"/>
    </row>
    <row r="128" spans="13:13" ht="20" customHeight="1" x14ac:dyDescent="0.25">
      <c r="M128" s="25"/>
    </row>
    <row r="129" spans="13:13" ht="20" customHeight="1" x14ac:dyDescent="0.25">
      <c r="M129" s="25"/>
    </row>
    <row r="130" spans="13:13" ht="20" customHeight="1" x14ac:dyDescent="0.25">
      <c r="M130" s="25"/>
    </row>
    <row r="131" spans="13:13" ht="20" customHeight="1" x14ac:dyDescent="0.25">
      <c r="M131" s="25"/>
    </row>
    <row r="132" spans="13:13" ht="20" customHeight="1" x14ac:dyDescent="0.25">
      <c r="M132" s="25"/>
    </row>
    <row r="133" spans="13:13" ht="20" customHeight="1" x14ac:dyDescent="0.25">
      <c r="M133" s="25"/>
    </row>
    <row r="134" spans="13:13" ht="20" customHeight="1" x14ac:dyDescent="0.25">
      <c r="M134" s="25"/>
    </row>
    <row r="135" spans="13:13" ht="20" customHeight="1" x14ac:dyDescent="0.25">
      <c r="M135" s="25"/>
    </row>
    <row r="136" spans="13:13" ht="20" customHeight="1" x14ac:dyDescent="0.25">
      <c r="M136" s="25"/>
    </row>
    <row r="137" spans="13:13" ht="20" customHeight="1" x14ac:dyDescent="0.25">
      <c r="M137" s="25"/>
    </row>
    <row r="138" spans="13:13" ht="20" customHeight="1" x14ac:dyDescent="0.25">
      <c r="M138" s="25"/>
    </row>
    <row r="139" spans="13:13" ht="20" customHeight="1" x14ac:dyDescent="0.25">
      <c r="M139" s="25"/>
    </row>
    <row r="140" spans="13:13" ht="20" customHeight="1" x14ac:dyDescent="0.25">
      <c r="M140" s="25"/>
    </row>
    <row r="141" spans="13:13" ht="20" customHeight="1" x14ac:dyDescent="0.25">
      <c r="M141" s="25"/>
    </row>
    <row r="142" spans="13:13" ht="20" customHeight="1" x14ac:dyDescent="0.25">
      <c r="M142" s="25"/>
    </row>
    <row r="143" spans="13:13" ht="20" customHeight="1" x14ac:dyDescent="0.25">
      <c r="M143" s="25"/>
    </row>
    <row r="144" spans="13:13" ht="20" customHeight="1" x14ac:dyDescent="0.25">
      <c r="M144" s="25"/>
    </row>
    <row r="145" spans="13:13" ht="20" customHeight="1" x14ac:dyDescent="0.25">
      <c r="M145" s="25"/>
    </row>
    <row r="146" spans="13:13" ht="20" customHeight="1" x14ac:dyDescent="0.25">
      <c r="M146" s="25"/>
    </row>
    <row r="147" spans="13:13" ht="20" customHeight="1" x14ac:dyDescent="0.25">
      <c r="M147" s="25"/>
    </row>
    <row r="148" spans="13:13" ht="20" customHeight="1" x14ac:dyDescent="0.25"/>
    <row r="149" spans="13:13" ht="20" customHeight="1" x14ac:dyDescent="0.25"/>
    <row r="150" spans="13:13" ht="20" customHeight="1" x14ac:dyDescent="0.25"/>
    <row r="151" spans="13:13" ht="20" customHeight="1" x14ac:dyDescent="0.25"/>
    <row r="152" spans="13:13" ht="20" customHeight="1" x14ac:dyDescent="0.25"/>
    <row r="153" spans="13:13" ht="20" customHeight="1" x14ac:dyDescent="0.25"/>
    <row r="154" spans="13:13" ht="20" customHeight="1" x14ac:dyDescent="0.25"/>
    <row r="155" spans="13:13" ht="20" customHeight="1" x14ac:dyDescent="0.25"/>
    <row r="156" spans="13:13" ht="20" customHeight="1" x14ac:dyDescent="0.25"/>
    <row r="157" spans="13:13" ht="20" customHeight="1" x14ac:dyDescent="0.25"/>
    <row r="158" spans="13:13" ht="20" customHeight="1" x14ac:dyDescent="0.25"/>
    <row r="159" spans="13:13" ht="20" customHeight="1" x14ac:dyDescent="0.25"/>
    <row r="160" spans="13:13" ht="20" customHeight="1" x14ac:dyDescent="0.25"/>
    <row r="161" ht="20" customHeight="1" x14ac:dyDescent="0.25"/>
    <row r="162" ht="20" customHeight="1" x14ac:dyDescent="0.25"/>
    <row r="163" ht="20" customHeight="1" x14ac:dyDescent="0.25"/>
    <row r="164" ht="20" customHeight="1" x14ac:dyDescent="0.25"/>
    <row r="165" ht="20" customHeight="1" x14ac:dyDescent="0.25"/>
    <row r="224" spans="12:12" x14ac:dyDescent="0.25" ht="20" customHeight="1">
      <c r="L224" s="16"/>
    </row>
    <row r="225" spans="12:12" x14ac:dyDescent="0.25" ht="20" customHeight="1">
      <c r="L225" s="16"/>
    </row>
    <row r="226" spans="12:12" x14ac:dyDescent="0.25" ht="20" customHeight="1">
      <c r="L226" s="16"/>
    </row>
    <row r="227" spans="12:12" x14ac:dyDescent="0.25" ht="20" customHeight="1">
      <c r="L227" s="16"/>
    </row>
    <row r="228" spans="12:12" x14ac:dyDescent="0.25" ht="20" customHeight="1">
      <c r="L228" s="16"/>
    </row>
    <row r="230" spans="12:12" x14ac:dyDescent="0.25" ht="20" customHeight="1">
      <c r="L230" s="16"/>
    </row>
    <row r="232" spans="12:12" x14ac:dyDescent="0.25" ht="20" customHeight="1">
      <c r="L232" s="16"/>
    </row>
    <row r="233" spans="12:12" x14ac:dyDescent="0.25" ht="20" customHeight="1">
      <c r="L233" s="16"/>
    </row>
    <row r="234" spans="12:12" x14ac:dyDescent="0.25" ht="20" customHeight="1">
      <c r="L234" s="16"/>
    </row>
    <row r="235" spans="12:12" x14ac:dyDescent="0.25" ht="20" customHeight="1">
      <c r="L235" s="16"/>
    </row>
    <row r="237" spans="12:12" x14ac:dyDescent="0.25" ht="20" customHeight="1">
      <c r="L237" s="16"/>
    </row>
    <row r="245" spans="12:12" x14ac:dyDescent="0.25" ht="20" customHeight="1">
      <c r="L245" s="16"/>
    </row>
    <row r="246" spans="12:12" x14ac:dyDescent="0.25" ht="20" customHeight="1">
      <c r="L246" s="16"/>
    </row>
    <row r="247" spans="12:12" x14ac:dyDescent="0.25" ht="20" customHeight="1">
      <c r="L247" s="16"/>
    </row>
    <row r="250" spans="12:12" x14ac:dyDescent="0.25" ht="20" customHeight="1">
      <c r="L250" s="16"/>
    </row>
    <row r="251" spans="12:12" x14ac:dyDescent="0.25" ht="20" customHeight="1">
      <c r="L251" s="16"/>
    </row>
    <row r="252" spans="12:12" x14ac:dyDescent="0.25" ht="20" customHeight="1">
      <c r="L252" s="16"/>
    </row>
    <row r="255" spans="12:12" x14ac:dyDescent="0.25" ht="20" customHeight="1">
      <c r="L255" s="16"/>
    </row>
    <row r="256" spans="12:12" x14ac:dyDescent="0.25" ht="20" customHeight="1">
      <c r="L256" s="16"/>
    </row>
    <row r="257" spans="11:12" x14ac:dyDescent="0.25" ht="20" customHeight="1">
      <c r="L257" s="16"/>
    </row>
    <row r="260" spans="11:12" x14ac:dyDescent="0.25" ht="20" customHeight="1">
      <c r="L260" s="16"/>
    </row>
    <row r="261" spans="11:12" x14ac:dyDescent="0.25" ht="20" customHeight="1">
      <c r="L261" s="16"/>
    </row>
    <row r="262" spans="11:12" x14ac:dyDescent="0.25" ht="20" customHeight="1">
      <c r="L262" s="16"/>
    </row>
    <row r="263" spans="11:12" x14ac:dyDescent="0.25" ht="20" customHeight="1">
      <c r="K263" s="16"/>
    </row>
    <row r="268" spans="11:12" x14ac:dyDescent="0.25" ht="20" customHeight="1">
      <c r="K268" s="16"/>
    </row>
    <row r="269" spans="11:12" x14ac:dyDescent="0.25" ht="20" customHeight="1">
      <c r="L269" s="16"/>
    </row>
    <row r="270" spans="11:12" x14ac:dyDescent="0.25" ht="20" customHeight="1">
      <c r="L270" s="16"/>
    </row>
    <row r="271" spans="11:12" x14ac:dyDescent="0.25" ht="20" customHeight="1">
      <c r="L271" s="16"/>
    </row>
    <row r="273" spans="11:12" x14ac:dyDescent="0.25" ht="20" customHeight="1">
      <c r="K273" s="16"/>
    </row>
    <row r="274" spans="11:12" x14ac:dyDescent="0.25" ht="20" customHeight="1">
      <c r="L274" s="16"/>
    </row>
    <row r="275" spans="11:12" x14ac:dyDescent="0.25" ht="20" customHeight="1">
      <c r="L275" s="16"/>
    </row>
    <row r="276" spans="11:12" x14ac:dyDescent="0.25" ht="20" customHeight="1">
      <c r="L276" s="16"/>
    </row>
    <row r="278" spans="11:12" x14ac:dyDescent="0.25" ht="20" customHeight="1">
      <c r="K278" s="16"/>
    </row>
    <row r="279" spans="11:12" x14ac:dyDescent="0.25" ht="20" customHeight="1">
      <c r="K279" s="16"/>
      <c r="L279" s="16"/>
    </row>
    <row r="280" spans="11:12" x14ac:dyDescent="0.25" ht="20" customHeight="1">
      <c r="K280" s="16"/>
      <c r="L280" s="16"/>
    </row>
    <row r="281" spans="11:12" x14ac:dyDescent="0.25" ht="20" customHeight="1">
      <c r="K281" s="16"/>
      <c r="L281" s="16"/>
    </row>
    <row r="282" spans="11:12" x14ac:dyDescent="0.25" ht="20" customHeight="1">
      <c r="K282" s="16"/>
    </row>
    <row r="284" spans="11:12" x14ac:dyDescent="0.25" ht="20" customHeight="1">
      <c r="K284" s="16"/>
      <c r="L284" s="16"/>
    </row>
    <row r="285" spans="11:12" x14ac:dyDescent="0.25" ht="20" customHeight="1">
      <c r="L285" s="16"/>
    </row>
    <row r="286" spans="11:12" x14ac:dyDescent="0.25" ht="20" customHeight="1">
      <c r="K286" s="16"/>
      <c r="L286" s="16"/>
    </row>
    <row r="287" spans="11:12" x14ac:dyDescent="0.25" ht="20" customHeight="1">
      <c r="K287" s="16"/>
    </row>
    <row r="288" spans="11:12" x14ac:dyDescent="0.25" ht="20" customHeight="1">
      <c r="K288" s="16"/>
    </row>
    <row r="289" spans="11:11" x14ac:dyDescent="0.25" ht="20" customHeight="1">
      <c r="K289" s="16"/>
    </row>
    <row r="291" spans="11:11" x14ac:dyDescent="0.25" ht="20" customHeight="1">
      <c r="K291" s="16"/>
    </row>
    <row r="297" spans="11:11" x14ac:dyDescent="0.25" ht="20" customHeight="1">
      <c r="K297" s="16"/>
    </row>
    <row r="302" spans="11:11" x14ac:dyDescent="0.25" ht="20" customHeight="1">
      <c r="K302" s="16"/>
    </row>
    <row r="307" spans="11:11" x14ac:dyDescent="0.25" ht="20" customHeight="1">
      <c r="K307" s="16"/>
    </row>
    <row r="312" spans="11:11" x14ac:dyDescent="0.25" ht="20" customHeight="1">
      <c r="K312" s="16"/>
    </row>
    <row r="313" spans="11:11" x14ac:dyDescent="0.25" ht="20" customHeight="1">
      <c r="K313" s="16"/>
    </row>
    <row r="314" spans="11:11" x14ac:dyDescent="0.25" ht="20" customHeight="1">
      <c r="K314" s="16"/>
    </row>
    <row r="315" spans="11:11" x14ac:dyDescent="0.25" ht="20" customHeight="1">
      <c r="K315" s="16"/>
    </row>
    <row r="316" spans="11:11" x14ac:dyDescent="0.25" ht="20" customHeight="1">
      <c r="K316" s="16"/>
    </row>
    <row r="318" spans="11:11" x14ac:dyDescent="0.25" ht="20" customHeight="1">
      <c r="K318" s="16"/>
    </row>
    <row r="320" spans="11:11" x14ac:dyDescent="0.25" ht="20" customHeight="1">
      <c r="K320" s="16"/>
    </row>
    <row r="321" spans="11:11" x14ac:dyDescent="0.25" ht="20" customHeight="1">
      <c r="K321" s="16"/>
    </row>
    <row r="322" spans="11:11" x14ac:dyDescent="0.25" ht="20" customHeight="1">
      <c r="K322" s="16"/>
    </row>
    <row r="323" spans="11:11" x14ac:dyDescent="0.25" ht="20" customHeight="1">
      <c r="K323" s="16"/>
    </row>
    <row r="325" spans="11:11" x14ac:dyDescent="0.25" ht="20" customHeight="1">
      <c r="K325" s="16"/>
    </row>
    <row r="333" spans="11:11" x14ac:dyDescent="0.25" ht="20" customHeight="1">
      <c r="K333" s="16"/>
    </row>
    <row r="334" spans="11:11" x14ac:dyDescent="0.25" ht="20" customHeight="1">
      <c r="K334" s="16"/>
    </row>
    <row r="335" spans="11:11" x14ac:dyDescent="0.25" ht="20" customHeight="1">
      <c r="K335" s="16"/>
    </row>
    <row r="338" spans="11:11" x14ac:dyDescent="0.25" ht="20" customHeight="1">
      <c r="K338" s="16"/>
    </row>
    <row r="339" spans="11:11" x14ac:dyDescent="0.25" ht="20" customHeight="1">
      <c r="K339" s="16"/>
    </row>
    <row r="340" spans="11:11" x14ac:dyDescent="0.25" ht="20" customHeight="1">
      <c r="K340" s="16"/>
    </row>
    <row r="343" spans="11:11" x14ac:dyDescent="0.25" ht="20" customHeight="1">
      <c r="K343" s="16"/>
    </row>
    <row r="344" spans="11:11" x14ac:dyDescent="0.25" ht="20" customHeight="1">
      <c r="K344" s="16"/>
    </row>
    <row r="345" spans="11:11" x14ac:dyDescent="0.25" ht="20" customHeight="1">
      <c r="K345" s="16"/>
    </row>
    <row r="348" spans="11:11" x14ac:dyDescent="0.25" ht="20" customHeight="1">
      <c r="K348" s="16"/>
    </row>
    <row r="349" spans="11:11" x14ac:dyDescent="0.25" ht="20" customHeight="1">
      <c r="K349" s="16"/>
    </row>
    <row r="350" spans="11:11" x14ac:dyDescent="0.25" ht="20" customHeight="1">
      <c r="K350" s="16"/>
    </row>
    <row r="357" spans="11:11" x14ac:dyDescent="0.25" ht="20" customHeight="1">
      <c r="K357" s="16"/>
    </row>
    <row r="358" spans="11:11" x14ac:dyDescent="0.25" ht="20" customHeight="1">
      <c r="K358" s="16"/>
    </row>
    <row r="359" spans="11:11" x14ac:dyDescent="0.25" ht="20" customHeight="1">
      <c r="K359" s="16"/>
    </row>
    <row r="362" spans="11:11" x14ac:dyDescent="0.25" ht="20" customHeight="1">
      <c r="K362" s="16"/>
    </row>
    <row r="363" spans="11:11" x14ac:dyDescent="0.25" ht="20" customHeight="1">
      <c r="K363" s="16"/>
    </row>
    <row r="364" spans="11:11" x14ac:dyDescent="0.25" ht="20" customHeight="1">
      <c r="K364" s="16"/>
    </row>
    <row r="367" spans="11:11" x14ac:dyDescent="0.25" ht="20" customHeight="1">
      <c r="K367" s="16"/>
    </row>
    <row r="368" spans="11:11" x14ac:dyDescent="0.25" ht="20" customHeight="1">
      <c r="K368" s="16"/>
    </row>
    <row r="369" spans="4:11" x14ac:dyDescent="0.25" ht="20" customHeight="1">
      <c r="K369" s="16"/>
    </row>
    <row r="372" spans="4:11" x14ac:dyDescent="0.25" ht="20" customHeight="1">
      <c r="K372" s="16"/>
    </row>
    <row r="373" spans="4:11" x14ac:dyDescent="0.25" ht="20" customHeight="1">
      <c r="K373" s="16"/>
    </row>
    <row r="374" spans="4:11" x14ac:dyDescent="0.25" ht="20" customHeight="1">
      <c r="K374" s="16"/>
    </row>
    <row r="378" spans="4:11" x14ac:dyDescent="0.25" ht="20" customHeight="1">
      <c r="D378" s="80"/>
    </row>
  </sheetData>
  <conditionalFormatting sqref="F155:F156">
    <cfRule type="cellIs" dxfId="77" priority="15" operator="lessThan">
      <formula>0</formula>
    </cfRule>
  </conditionalFormatting>
  <conditionalFormatting sqref="F167:F168">
    <cfRule type="cellIs" dxfId="76" priority="14" operator="lessThan">
      <formula>0</formula>
    </cfRule>
  </conditionalFormatting>
  <conditionalFormatting sqref="F179:F180">
    <cfRule type="cellIs" dxfId="75" priority="13" operator="lessThan">
      <formula>0</formula>
    </cfRule>
  </conditionalFormatting>
  <conditionalFormatting sqref="F267:F268">
    <cfRule type="cellIs" dxfId="74" priority="26" operator="lessThan">
      <formula>0</formula>
    </cfRule>
  </conditionalFormatting>
  <conditionalFormatting sqref="F272:F273">
    <cfRule type="cellIs" dxfId="73" priority="25" operator="lessThan">
      <formula>0</formula>
    </cfRule>
  </conditionalFormatting>
  <conditionalFormatting sqref="F277:F278">
    <cfRule type="cellIs" dxfId="72" priority="24" operator="lessThan">
      <formula>0</formula>
    </cfRule>
  </conditionalFormatting>
  <conditionalFormatting sqref="F301:F302">
    <cfRule type="cellIs" dxfId="71" priority="23" operator="lessThan">
      <formula>0</formula>
    </cfRule>
  </conditionalFormatting>
  <conditionalFormatting sqref="F306:F307">
    <cfRule type="cellIs" dxfId="70" priority="22" operator="lessThan">
      <formula>0</formula>
    </cfRule>
  </conditionalFormatting>
  <conditionalFormatting sqref="F311:F312">
    <cfRule type="cellIs" dxfId="69" priority="21" operator="lessThan">
      <formula>0</formula>
    </cfRule>
  </conditionalFormatting>
  <conditionalFormatting sqref="H53 F143:F144">
    <cfRule type="cellIs" dxfId="68"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67" priority="20" operator="lessThan">
      <formula>0</formula>
    </cfRule>
  </conditionalFormatting>
  <conditionalFormatting sqref="I41:I44 I46:I47 F58 I75:I78 L198 K200 L202:L203 K204:K205 L206:L207 K208:K209 L212:L213 K214:K215 L216:L217 K218:K219 L223:L228 K225">
    <cfRule type="cellIs" dxfId="66" priority="18" operator="lessThan">
      <formula>0</formula>
    </cfRule>
  </conditionalFormatting>
  <conditionalFormatting sqref="I82 M119 I141:J141">
    <cfRule type="cellIs" dxfId="65" priority="19" operator="lessThan">
      <formula>0</formula>
    </cfRule>
  </conditionalFormatting>
  <conditionalFormatting sqref="I93:I95">
    <cfRule type="cellIs" dxfId="64" priority="3" operator="lessThan">
      <formula>0</formula>
    </cfRule>
  </conditionalFormatting>
  <conditionalFormatting sqref="I99:I102">
    <cfRule type="cellIs" dxfId="63" priority="2" operator="lessThan">
      <formula>0</formula>
    </cfRule>
  </conditionalFormatting>
  <conditionalFormatting sqref="I106:I110">
    <cfRule type="cellIs" dxfId="62" priority="1" operator="lessThan">
      <formula>0</formula>
    </cfRule>
  </conditionalFormatting>
  <conditionalFormatting sqref="J169">
    <cfRule type="cellIs" dxfId="61" priority="17" operator="lessThan">
      <formula>0</formula>
    </cfRule>
  </conditionalFormatting>
  <conditionalFormatting sqref="L131:L134">
    <cfRule type="cellIs" dxfId="60" priority="7" operator="lessThan">
      <formula>0</formula>
    </cfRule>
  </conditionalFormatting>
  <conditionalFormatting sqref="L137">
    <cfRule type="cellIs" dxfId="59" priority="12" operator="lessThan">
      <formula>0</formula>
    </cfRule>
  </conditionalFormatting>
  <conditionalFormatting sqref="L143:L146">
    <cfRule type="cellIs" dxfId="58" priority="6" operator="lessThan">
      <formula>0</formula>
    </cfRule>
  </conditionalFormatting>
  <conditionalFormatting sqref="L149">
    <cfRule type="cellIs" dxfId="57" priority="11" operator="lessThan">
      <formula>0</formula>
    </cfRule>
  </conditionalFormatting>
  <conditionalFormatting sqref="L155:L158">
    <cfRule type="cellIs" dxfId="56" priority="5" operator="lessThan">
      <formula>0</formula>
    </cfRule>
  </conditionalFormatting>
  <conditionalFormatting sqref="L161">
    <cfRule type="cellIs" dxfId="55" priority="10" operator="lessThan">
      <formula>0</formula>
    </cfRule>
  </conditionalFormatting>
  <conditionalFormatting sqref="L167:L170">
    <cfRule type="cellIs" dxfId="54" priority="4" operator="lessThan">
      <formula>0</formula>
    </cfRule>
  </conditionalFormatting>
  <conditionalFormatting sqref="L173">
    <cfRule type="cellIs" dxfId="53" priority="9" operator="lessThan">
      <formula>0</formula>
    </cfRule>
  </conditionalFormatting>
  <conditionalFormatting sqref="L177:L178">
    <cfRule type="cellIs" dxfId="52" priority="8" operator="lessThan">
      <formula>0</formula>
    </cfRule>
  </conditionalFormatting>
  <conditionalFormatting sqref="L230 L232:L235 L237 J245:J247 J250:J252">
    <cfRule type="cellIs" dxfId="51" priority="27" operator="lessThan">
      <formula>0</formula>
    </cfRule>
  </conditionalFormatting>
  <dataValidations count="9">
    <dataValidation type="list" allowBlank="1" showInputMessage="1" showErrorMessage="1" sqref="D12:D21" xr:uid="{E631A4F8-F588-4B90-9277-F10F9F5B56A3}">
      <formula1>INDIRECT("FertiliserProducts[Product]")</formula1>
    </dataValidation>
    <dataValidation type="list" allowBlank="1" showInputMessage="1" showErrorMessage="1" sqref="Q25:R34" xr:uid="{76D338C0-986D-4E86-BE72-EFAB2B39C5A4}">
      <formula1>INDIRECT("Table_SourceData_Fertiliser_UreaAmmoniaSources[Source]")</formula1>
    </dataValidation>
    <dataValidation type="list" allowBlank="1" showInputMessage="1" showErrorMessage="1" sqref="D54:D56" xr:uid="{ECF11402-F3AB-4798-8861-FCBD6AD74A80}">
      <formula1>INDIRECT("Table_SourceData_OrganicFertiliserTypes[Organic fertiliser type]")</formula1>
    </dataValidation>
    <dataValidation type="list" allowBlank="1" showInputMessage="1" showErrorMessage="1" sqref="H25:H34 J25:J34 L25:L34 N25:N34" xr:uid="{FD583BDE-1BA6-4DE4-8111-1BC80B072109}">
      <formula1>INDIRECT("Table_Fertiliser_ChemicalCompounds[Fertiliser type f]")</formula1>
    </dataValidation>
    <dataValidation type="list" allowBlank="1" showInputMessage="1" showErrorMessage="1" sqref="E81" xr:uid="{84DA3773-88EA-4B36-9F09-DFCE95D48668}">
      <formula1>INDIRECT("Table_SourceData_Swine_CropProdSystems[Production system]")</formula1>
    </dataValidation>
    <dataValidation type="list" allowBlank="1" showInputMessage="1" showErrorMessage="1" sqref="E82" xr:uid="{14112DD2-EC74-438A-8B6C-F540D0E659E2}">
      <formula1>INDIRECT("Table_SourceData_Swine_IrrigationMethods[Irrigation method]")</formula1>
    </dataValidation>
    <dataValidation type="list" allowBlank="1" showInputMessage="1" showErrorMessage="1" sqref="E266 E271 E276 E310 E305 E300 E178 E166 E142 E154" xr:uid="{50848B57-58E0-472C-9250-DBE9DE8A94A8}">
      <formula1>"Yes, No"</formula1>
    </dataValidation>
    <dataValidation type="list" allowBlank="1" showInputMessage="1" showErrorMessage="1" sqref="E242" xr:uid="{E7D650A9-4107-459F-A4A9-C8A69CA0AEAC}">
      <formula1>INDIRECT("Table_SourceData_Dairy_ProductionSystemTemplates[Area]")</formula1>
    </dataValidation>
    <dataValidation type="list" allowBlank="1" showInputMessage="1" showErrorMessage="1" sqref="D294" xr:uid="{987B46BD-EAC4-4E37-96B7-1862880FFF1E}">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F2882-2B21-4F32-B845-402B32D291A4}">
  <sheetPr>
    <tabColor theme="5" tint="-0.249977111117893"/>
  </sheetPr>
  <dimension ref="A1:K346"/>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797</v>
      </c>
    </row>
    <row r="2" spans="1:11" s="3" customFormat="1" ht="20" customHeight="1" x14ac:dyDescent="0.25">
      <c r="A2"/>
    </row>
    <row r="3" spans="1:11" ht="20" customHeight="1" x14ac:dyDescent="0.25">
      <c r="A3" s="5" t="str">
        <f>HYPERLINK("#'Home'!A1", "Home")</f>
        <v>Home</v>
      </c>
      <c r="C3" s="29"/>
      <c r="D3" s="29"/>
      <c r="E3" s="29"/>
      <c r="F3" s="29"/>
      <c r="G3" s="29"/>
      <c r="H3" s="29"/>
      <c r="I3" s="29"/>
      <c r="J3" s="29"/>
      <c r="K3" s="29"/>
    </row>
    <row r="4" spans="1:11" ht="20" customHeight="1" x14ac:dyDescent="0.25">
      <c r="A4" s="5" t="str">
        <f>HYPERLINK("#'Results - Activity period'!A1", "Results - Activity period")</f>
        <v>Results - Activity period</v>
      </c>
    </row>
    <row r="5" spans="1:11" ht="20" customHeight="1" x14ac:dyDescent="0.25">
      <c r="A5" s="5" t="str">
        <f>HYPERLINK("#'Results - Product EI'!A1", "Results - Product Emissions Intensity")</f>
        <v>Results - Product Emissions Intensity</v>
      </c>
      <c r="D5" s="2" t="s">
        <v>798</v>
      </c>
      <c r="E5" s="25"/>
      <c r="F5" s="25"/>
      <c r="G5" s="25"/>
      <c r="H5" s="25"/>
    </row>
    <row r="6" spans="1:11" ht="20" customHeight="1" x14ac:dyDescent="0.25">
      <c r="D6" s="8"/>
      <c r="E6" s="8"/>
      <c r="F6" s="8"/>
      <c r="G6" s="8"/>
      <c r="H6" s="8"/>
      <c r="I6" s="8"/>
      <c r="J6" s="8"/>
    </row>
    <row r="7" spans="1:11" ht="20" customHeight="1" x14ac:dyDescent="0.25">
      <c r="D7" s="1" t="s">
        <v>799</v>
      </c>
    </row>
    <row r="8" spans="1:11" ht="20" customHeight="1" x14ac:dyDescent="0.25">
      <c r="A8" s="7" t="s">
        <v>0</v>
      </c>
      <c r="D8" s="1" t="s">
        <v>800</v>
      </c>
    </row>
    <row r="9" spans="1:11" ht="20" customHeight="1" x14ac:dyDescent="0.25">
      <c r="A9" s="5" t="str">
        <f>HYPERLINK("#'Input - Enterprise'!A1", "Enterprise")</f>
        <v>Enterprise</v>
      </c>
      <c r="D9" s="1" t="s">
        <v>801</v>
      </c>
    </row>
    <row r="10" spans="1:11" ht="20" customHeight="1" x14ac:dyDescent="0.25">
      <c r="A10" s="5" t="str">
        <f>HYPERLINK("#'Input - Site'!A1", "Site")</f>
        <v>Site</v>
      </c>
    </row>
    <row r="11" spans="1:11" ht="20" customHeight="1" x14ac:dyDescent="0.25">
      <c r="A11" s="5" t="str">
        <f>HYPERLINK("#'Input - Pasture Beef'!A1", "Pasture Beef")</f>
        <v>Pasture Beef</v>
      </c>
      <c r="D11" s="1" t="s">
        <v>802</v>
      </c>
      <c r="E11" s="13"/>
      <c r="F11" s="16" t="s">
        <v>106</v>
      </c>
    </row>
    <row r="12" spans="1:11" ht="20" customHeight="1" x14ac:dyDescent="0.25">
      <c r="A12" s="5" t="str">
        <f>HYPERLINK("#'Input - Livestock sales'!A1", "Livestock sales")</f>
        <v>Livestock sales</v>
      </c>
    </row>
    <row r="13" spans="1:11" ht="20" customHeight="1" x14ac:dyDescent="0.25">
      <c r="A13" s="5" t="str">
        <f>HYPERLINK("#'Input - Beef cattle purchases'!A1", "Beef cattle purchases")</f>
        <v>Beef cattle purchases</v>
      </c>
      <c r="D13" s="126" t="s">
        <v>772</v>
      </c>
      <c r="E13" s="44"/>
      <c r="F13" s="44"/>
      <c r="G13" s="44"/>
      <c r="H13" s="45"/>
    </row>
    <row r="14" spans="1:11" ht="20" customHeight="1" x14ac:dyDescent="0.25">
      <c r="A14" s="5" t="str">
        <f>HYPERLINK("#'Input - Pasture'!A1", "Pasture")</f>
        <v>Pasture</v>
      </c>
      <c r="D14" s="46" t="s">
        <v>804</v>
      </c>
      <c r="E14" s="47"/>
      <c r="F14" s="47"/>
      <c r="G14" s="47"/>
      <c r="H14" s="48"/>
    </row>
    <row r="15" spans="1:11" ht="20" customHeight="1" x14ac:dyDescent="0.25">
      <c r="A15" s="5" t="str">
        <f>HYPERLINK("#'Input - Fert Prod System'!A1", "Fert Prod System")</f>
        <v>Fert Prod System</v>
      </c>
      <c r="D15" s="8"/>
      <c r="E15" s="8"/>
      <c r="F15" s="8"/>
      <c r="G15" s="8"/>
      <c r="H15" s="8"/>
      <c r="I15" s="8"/>
      <c r="J15" s="8"/>
    </row>
    <row r="16" spans="1:11" ht="20" customHeight="1" x14ac:dyDescent="0.25">
      <c r="A16" s="5" t="str">
        <f>HYPERLINK("#'Input - Fertiliser'!A1", "Fertiliser")</f>
        <v>Fertiliser</v>
      </c>
      <c r="D16" s="82" t="s">
        <v>805</v>
      </c>
      <c r="E16" s="82" t="s">
        <v>806</v>
      </c>
      <c r="F16" s="82" t="s">
        <v>807</v>
      </c>
      <c r="G16" s="82" t="s">
        <v>808</v>
      </c>
      <c r="H16" s="82" t="s">
        <v>809</v>
      </c>
      <c r="I16" s="82" t="s">
        <v>810</v>
      </c>
      <c r="J16" s="82" t="s">
        <v>811</v>
      </c>
    </row>
    <row r="17" spans="1:10" ht="20" customHeight="1" x14ac:dyDescent="0.25">
      <c r="A17" s="99" t="str">
        <f>HYPERLINK("#'Input - Fuel'!A1", "Fuel")</f>
        <v>Fuel</v>
      </c>
      <c r="D17" s="13"/>
      <c r="E17" s="13"/>
      <c r="F17" s="187"/>
      <c r="G17" s="15" t="str" cm="1">
        <f t="array" ref="G17">Common_InputFunctions.Utility_LookupValueInTable(Table_Input_Fuel[[#This Row],[Fuel type (select)]],Table_FuelTypes_Units[Fuel type], Table_FuelTypes_Units[Input Unit])</f>
        <v/>
      </c>
      <c r="H17" s="188">
        <f>1</f>
        <v>1</v>
      </c>
      <c r="I17" s="15">
        <f>Table_Input_Fuel[[#This Row],[Amount purchased]]*Table_Input_Fuel[[#This Row],[Percent consumed]]*IF(Table_Input_Fuel[[#This Row],[Amount unit]]="L", 10^-3, 1)</f>
        <v>0</v>
      </c>
      <c r="J17" s="15" t="str" cm="1">
        <f t="array" ref="J17">Common_InputFunctions.Utility_LookupValueInTable(Table_Input_Fuel[[#This Row],[Fuel type (select)]],Table_FuelTypes_Units[Fuel type], Table_FuelTypes_Units[Unit])</f>
        <v/>
      </c>
    </row>
    <row r="18" spans="1:10" ht="20" customHeight="1" x14ac:dyDescent="0.25">
      <c r="A18" s="5" t="str">
        <f>HYPERLINK("#'Input - Electricity'!A1", "Electricity")</f>
        <v>Electricity</v>
      </c>
      <c r="D18" s="13"/>
      <c r="E18" s="13"/>
      <c r="F18" s="187"/>
      <c r="G18" s="15" t="str" cm="1">
        <f t="array" ref="G18">Common_InputFunctions.Utility_LookupValueInTable(Table_Input_Fuel[[#This Row],[Fuel type (select)]],Table_FuelTypes_Units[Fuel type], Table_FuelTypes_Units[Input Unit])</f>
        <v/>
      </c>
      <c r="H18" s="189">
        <f>1</f>
        <v>1</v>
      </c>
      <c r="I18" s="15">
        <f>Table_Input_Fuel[[#This Row],[Amount purchased]]*Table_Input_Fuel[[#This Row],[Percent consumed]]*IF(Table_Input_Fuel[[#This Row],[Amount unit]]="L", 10^-3, 1)</f>
        <v>0</v>
      </c>
      <c r="J18" s="15" t="str" cm="1">
        <f t="array" ref="J18">Common_InputFunctions.Utility_LookupValueInTable(Table_Input_Fuel[[#This Row],[Fuel type (select)]],Table_FuelTypes_Units[Fuel type], Table_FuelTypes_Units[Unit])</f>
        <v/>
      </c>
    </row>
    <row r="19" spans="1:10" ht="20" customHeight="1" x14ac:dyDescent="0.25">
      <c r="A19" s="5" t="str">
        <f>HYPERLINK("#'Input - Common farm inputs'!A1", "Common farm inputs")</f>
        <v>Common farm inputs</v>
      </c>
      <c r="D19" s="13"/>
      <c r="E19" s="13"/>
      <c r="F19" s="187"/>
      <c r="G19" s="15" t="str" cm="1">
        <f t="array" ref="G19">Common_InputFunctions.Utility_LookupValueInTable(Table_Input_Fuel[[#This Row],[Fuel type (select)]],Table_FuelTypes_Units[Fuel type], Table_FuelTypes_Units[Input Unit])</f>
        <v/>
      </c>
      <c r="H19" s="189">
        <f>1</f>
        <v>1</v>
      </c>
      <c r="I19" s="15">
        <f>Table_Input_Fuel[[#This Row],[Amount purchased]]*Table_Input_Fuel[[#This Row],[Percent consumed]]*IF(Table_Input_Fuel[[#This Row],[Amount unit]]="L", 10^-3, 1)</f>
        <v>0</v>
      </c>
      <c r="J19" s="15" t="str" cm="1">
        <f t="array" ref="J19">Common_InputFunctions.Utility_LookupValueInTable(Table_Input_Fuel[[#This Row],[Fuel type (select)]],Table_FuelTypes_Units[Fuel type], Table_FuelTypes_Units[Unit])</f>
        <v/>
      </c>
    </row>
    <row r="20" spans="1:10" ht="20" customHeight="1" x14ac:dyDescent="0.25">
      <c r="A20" s="5" t="str">
        <f>HYPERLINK("#'Input - Crop pasture farm input'!A1", "Crop pasture farm input")</f>
        <v>Crop pasture farm input</v>
      </c>
      <c r="D20" s="13"/>
      <c r="E20" s="13"/>
      <c r="F20" s="187"/>
      <c r="G20" s="15" t="str" cm="1">
        <f t="array" ref="G20">Common_InputFunctions.Utility_LookupValueInTable(Table_Input_Fuel[[#This Row],[Fuel type (select)]],Table_FuelTypes_Units[Fuel type], Table_FuelTypes_Units[Input Unit])</f>
        <v/>
      </c>
      <c r="H20" s="189">
        <f>1</f>
        <v>1</v>
      </c>
      <c r="I20" s="15">
        <f>Table_Input_Fuel[[#This Row],[Amount purchased]]*Table_Input_Fuel[[#This Row],[Percent consumed]]*IF(Table_Input_Fuel[[#This Row],[Amount unit]]="L", 10^-3, 1)</f>
        <v>0</v>
      </c>
      <c r="J20" s="15" t="str" cm="1">
        <f t="array" ref="J20">Common_InputFunctions.Utility_LookupValueInTable(Table_Input_Fuel[[#This Row],[Fuel type (select)]],Table_FuelTypes_Units[Fuel type], Table_FuelTypes_Units[Unit])</f>
        <v/>
      </c>
    </row>
    <row r="21" spans="1:10" ht="20" customHeight="1" x14ac:dyDescent="0.25">
      <c r="A21" s="5" t="str">
        <f>HYPERLINK("#'Input - Livestock farm Inputs'!A1", "Livestock farm Inputs")</f>
        <v>Livestock farm Inputs</v>
      </c>
      <c r="D21" s="84"/>
      <c r="E21" s="84"/>
      <c r="F21" s="187"/>
      <c r="G21" s="190" t="str" cm="1">
        <f t="array" ref="G21">Common_InputFunctions.Utility_LookupValueInTable(Table_Input_Fuel[[#This Row],[Fuel type (select)]],Table_FuelTypes_Units[Fuel type], Table_FuelTypes_Units[Input Unit])</f>
        <v/>
      </c>
      <c r="H21" s="191">
        <f>1</f>
        <v>1</v>
      </c>
      <c r="I21" s="190">
        <f>Table_Input_Fuel[[#This Row],[Amount purchased]]*Table_Input_Fuel[[#This Row],[Percent consumed]]*IF(Table_Input_Fuel[[#This Row],[Amount unit]]="L", 10^-3, 1)</f>
        <v>0</v>
      </c>
      <c r="J21" s="15" t="str" cm="1">
        <f t="array" ref="J21">Common_InputFunctions.Utility_LookupValueInTable(Table_Input_Fuel[[#This Row],[Fuel type (select)]],Table_FuelTypes_Units[Fuel type], Table_FuelTypes_Units[Unit])</f>
        <v/>
      </c>
    </row>
    <row r="22" spans="1:10" ht="20" customHeight="1" x14ac:dyDescent="0.25">
      <c r="A22" s="5" t="str">
        <f>HYPERLINK("#'Input - Freight'!A1", "Freight")</f>
        <v>Freight</v>
      </c>
    </row>
    <row r="23" spans="1:10" ht="20" customHeight="1" x14ac:dyDescent="0.25">
      <c r="A23" s="5" t="str">
        <f>HYPERLINK("#'Input - Solid waste'!A1", "Solid waste")</f>
        <v>Solid waste</v>
      </c>
    </row>
    <row r="24" spans="1:10" ht="20" customHeight="1" x14ac:dyDescent="0.25">
      <c r="A24" s="5" t="str">
        <f>HYPERLINK("#'Input - Manure sent off-site'!A1", "Manure sent off-site")</f>
        <v>Manure sent off-site</v>
      </c>
    </row>
    <row r="25" spans="1:10" ht="20" customHeight="1" x14ac:dyDescent="0.25">
      <c r="A25" s="5" t="str">
        <f>HYPERLINK("#'Input - Data quality'!A1", "Data quality")</f>
        <v>Data quality</v>
      </c>
    </row>
    <row r="26" spans="1:10" ht="20" customHeight="1" x14ac:dyDescent="0.25"/>
    <row r="27" spans="1:10" ht="20" customHeight="1" x14ac:dyDescent="0.25"/>
    <row r="28" spans="1:10" ht="20" customHeight="1" x14ac:dyDescent="0.25">
      <c r="A28" s="6" t="s">
        <v>2</v>
      </c>
    </row>
    <row r="29" spans="1:10" ht="20" customHeight="1" x14ac:dyDescent="0.25">
      <c r="A29" s="5" t="str">
        <f>HYPERLINK("#'3.2.1.1-2 Enteric Methane'!A1", "3.2.1.1-2 Enteric Methane")</f>
        <v>3.2.1.1-2 Enteric Methane</v>
      </c>
    </row>
    <row r="30" spans="1:10" ht="20" customHeight="1" x14ac:dyDescent="0.25">
      <c r="A30" s="5" t="str">
        <f>HYPERLINK("#'4.2.1.1-2 Methane'!A1", "4.2.1.1-2 Manure methane")</f>
        <v>4.2.1.1-2 Manure methane</v>
      </c>
    </row>
    <row r="31" spans="1:10" ht="20" customHeight="1" x14ac:dyDescent="0.25">
      <c r="A31" s="5" t="str">
        <f>HYPERLINK("#'4.2.1.3-4 Soil direct N20'!A1", "4.2.1.3-4 Soil direct N2O")</f>
        <v>4.2.1.3-4 Soil direct N2O</v>
      </c>
    </row>
    <row r="32" spans="1:10" ht="20" customHeight="1" x14ac:dyDescent="0.25">
      <c r="A32" s="5" t="str">
        <f>HYPERLINK("#'4.2.1.5-6 Soil Atmos Dep'!A1", "4.2.1.5-6 Soil atm. deposition")</f>
        <v>4.2.1.5-6 Soil atm. deposition</v>
      </c>
    </row>
    <row r="33" spans="1:11" ht="20" customHeight="1" x14ac:dyDescent="0.25">
      <c r="A33" s="5" t="str">
        <f>HYPERLINK("#'4.2.1.7-8 Soil leach runoff'!A1", "4.2.1.7-8 Soil leach &amp; runoff")</f>
        <v>4.2.1.7-8 Soil leach &amp; runoff</v>
      </c>
    </row>
    <row r="34" spans="1:11" ht="20" customHeight="1" x14ac:dyDescent="0.25">
      <c r="A34" s="5" t="str">
        <f>HYPERLINK("#'5.1.1.1-2 Inorganic fert N2O'!A1", "5.1.1.1-2 Inorganic fert N2O")</f>
        <v>5.1.1.1-2 Inorganic fert N2O</v>
      </c>
    </row>
    <row r="35" spans="1:11" ht="20" customHeight="1" x14ac:dyDescent="0.25">
      <c r="A35" s="5" t="str">
        <f>HYPERLINK("#'5.1.1.3-4 Inorganic fert CO2'!A1", "5.1.1.3-4 Inorganic fert CO2")</f>
        <v>5.1.1.3-4 Inorganic fert CO2</v>
      </c>
    </row>
    <row r="36" spans="1:11" ht="20" customHeight="1" x14ac:dyDescent="0.25">
      <c r="A36" s="5" t="str">
        <f>HYPERLINK("#'5.2.1.1-2 Organic Fert N2O'!A1", "5.2.1.1-2 Organic fert N2O")</f>
        <v>5.2.1.1-2 Organic fert N2O</v>
      </c>
    </row>
    <row r="37" spans="1:11" ht="20" customHeight="1" x14ac:dyDescent="0.25">
      <c r="A37" s="5" t="str">
        <f>HYPERLINK("#'5.3.1.1-2 Lime CO2'!A1", "5.3.1.1-2 Lime CO2")</f>
        <v>5.3.1.1-2 Lime CO2</v>
      </c>
    </row>
    <row r="38" spans="1:11" ht="20" customHeight="1" x14ac:dyDescent="0.25">
      <c r="A38" s="5" t="str">
        <f>HYPERLINK("#'5.4.1.1-4 Atmos deposition'!A1", "5.4.1.1-4 Atmos. deposition")</f>
        <v>5.4.1.1-4 Atmos. deposition</v>
      </c>
      <c r="C38" s="143"/>
      <c r="K38" s="143"/>
    </row>
    <row r="39" spans="1:11" ht="20" customHeight="1" x14ac:dyDescent="0.25">
      <c r="A39" s="5" t="str">
        <f>HYPERLINK("#'5.5.1.1-2 Leaching and runoff'!A1", "5.5.1.1-2 Leaching &amp; runoff")</f>
        <v>5.5.1.1-2 Leaching &amp; runoff</v>
      </c>
      <c r="C39" s="143"/>
      <c r="K39" s="143"/>
    </row>
    <row r="40" spans="1:11" s="155" customFormat="1" ht="20" customHeight="1" x14ac:dyDescent="0.25">
      <c r="A40" s="5" t="str">
        <f>HYPERLINK("#'6.2.1.1-2 Pasture residue N2O'!A1", "6.2.1.1-2 Pasture residue N2O")</f>
        <v>6.2.1.1-2 Pasture residue N2O</v>
      </c>
      <c r="C40" s="1"/>
      <c r="D40" s="1"/>
      <c r="E40" s="1"/>
      <c r="F40" s="1"/>
      <c r="G40" s="1"/>
      <c r="H40" s="1"/>
      <c r="I40" s="1"/>
      <c r="J40" s="1"/>
      <c r="K40" s="1"/>
    </row>
    <row r="41" spans="1:11" s="155" customFormat="1" ht="20" customHeight="1" x14ac:dyDescent="0.25">
      <c r="A41" s="5" t="str">
        <f>HYPERLINK("#'6.3.1.1-2 Leach runoff pasture'!A1", "6.3.1.1-2 Leach &amp; runoff (pasture)")</f>
        <v>6.3.1.1-2 Leach &amp; runoff (pasture)</v>
      </c>
      <c r="C41" s="1"/>
      <c r="D41" s="1"/>
      <c r="E41" s="1"/>
      <c r="F41" s="1"/>
      <c r="G41" s="1"/>
      <c r="H41" s="1"/>
      <c r="I41" s="1"/>
      <c r="J41" s="1"/>
      <c r="K41" s="1"/>
    </row>
    <row r="42" spans="1:11" ht="20" customHeight="1" x14ac:dyDescent="0.25">
      <c r="A42" s="5" t="str">
        <f>HYPERLINK("#'8.1.1.1-2 Transport fuel'!A1", "8.1.1.1-2 Transport fuel")</f>
        <v>8.1.1.1-2 Transport fuel</v>
      </c>
    </row>
    <row r="43" spans="1:11" ht="20" customHeight="1" x14ac:dyDescent="0.25">
      <c r="A43" s="5" t="str">
        <f>HYPERLINK("#'8.2.1.1-2 Stationary fuel'!A1", "8.2.1.1-2 Stationary fuel")</f>
        <v>8.2.1.1-2 Stationary fuel</v>
      </c>
    </row>
    <row r="44" spans="1:11" ht="20" customHeight="1" x14ac:dyDescent="0.25">
      <c r="A44" s="5" t="str">
        <f>HYPERLINK("#'10.1.1-2 Solid waste treatment'!A1", "10.1.1.1-2 Solid waste")</f>
        <v>10.1.1.1-2 Solid waste</v>
      </c>
    </row>
    <row r="45" spans="1:11" ht="20" customHeight="1" x14ac:dyDescent="0.25">
      <c r="A45" s="5" t="str">
        <f>HYPERLINK("#'14.1.1-2 Purchased electricity'!A1", "14.1.1-2 Purchased electricity")</f>
        <v>14.1.1-2 Purchased electricity</v>
      </c>
    </row>
    <row r="46" spans="1:11" ht="20" customHeight="1" x14ac:dyDescent="0.25">
      <c r="A46" s="5" t="str">
        <f>HYPERLINK("#'15 Scope 3'!A1", "15 Scope 3")</f>
        <v>15 Scope 3</v>
      </c>
    </row>
    <row r="47" spans="1:11" ht="20" customHeight="1" x14ac:dyDescent="0.25">
      <c r="A47" s="5" t="str">
        <f>HYPERLINK("#'Calcs - Manure sent off-site'!A1", "Calcs - Manure sent off-site")</f>
        <v>Calcs - Manure sent off-site</v>
      </c>
    </row>
    <row r="48" spans="1:11" ht="20" customHeight="1" x14ac:dyDescent="0.25"/>
    <row r="49" spans="1:1" ht="20" customHeight="1" x14ac:dyDescent="0.25"/>
    <row r="50" spans="1:1" ht="20" customHeight="1" x14ac:dyDescent="0.25">
      <c r="A50" s="85" t="s">
        <v>1</v>
      </c>
    </row>
    <row r="51" spans="1:1" ht="20" customHeight="1" x14ac:dyDescent="0.25">
      <c r="A51" s="5" t="str">
        <f>HYPERLINK("#'Constants - Pasture Beef'!A1", "Constants - Pasture Beef")</f>
        <v>Constants - Pasture Beef</v>
      </c>
    </row>
    <row r="52" spans="1:1" ht="20" customHeight="1" x14ac:dyDescent="0.25">
      <c r="A52" s="5" t="str">
        <f>HYPERLINK("#'Constants - Ag Residue'!A1", "Constants - Ag residue")</f>
        <v>Constants - Ag residue</v>
      </c>
    </row>
    <row r="53" spans="1:1" ht="20" customHeight="1" x14ac:dyDescent="0.25">
      <c r="A53" s="5" t="str">
        <f>HYPERLINK("#'Constants - Common Livestock'!A1", "Constants - Common Livestock")</f>
        <v>Constants - Common Livestock</v>
      </c>
    </row>
    <row r="54" spans="1:1" ht="20" customHeight="1" x14ac:dyDescent="0.25">
      <c r="A54" s="5" t="str">
        <f>HYPERLINK("#'Constants - Electricity'!A1", "Constants - Electricity")</f>
        <v>Constants - Electricity</v>
      </c>
    </row>
    <row r="55" spans="1:1" ht="20" customHeight="1" x14ac:dyDescent="0.25">
      <c r="A55" s="5" t="str">
        <f>HYPERLINK("#'Constants - Fertiliser'!A1", "Constants - Fertiliser")</f>
        <v>Constants - Fertiliser</v>
      </c>
    </row>
    <row r="56" spans="1:1" ht="20" customHeight="1" x14ac:dyDescent="0.25">
      <c r="A56" s="5" t="str">
        <f>HYPERLINK("#'Constants - Fuel'!A1", "Constants - Fuel")</f>
        <v>Constants - Fuel</v>
      </c>
    </row>
    <row r="57" spans="1:1" ht="20" customHeight="1" x14ac:dyDescent="0.25">
      <c r="A57" s="5" t="str">
        <f>HYPERLINK("#'Constants - Scope 3'!A1", "Constants - Scope 3")</f>
        <v>Constants - Scope 3</v>
      </c>
    </row>
    <row r="58" spans="1:1" ht="20" customHeight="1" x14ac:dyDescent="0.25">
      <c r="A58" s="5" t="str">
        <f>HYPERLINK("#'Constants - Solid Waste'!A1", "Constants - Solid Waste")</f>
        <v>Constants - Solid Waste</v>
      </c>
    </row>
    <row r="59" spans="1:1" ht="20" customHeight="1" x14ac:dyDescent="0.25">
      <c r="A59" s="5" t="str">
        <f>HYPERLINK("#'Constants - Common'!A1", "Constants - Common")</f>
        <v>Constants - Common</v>
      </c>
    </row>
    <row r="60" spans="1:1" ht="20" customHeight="1" x14ac:dyDescent="0.25">
      <c r="A60" s="5" t="str">
        <f>HYPERLINK("#'Acknowledgements'!A1", "Acknowledgements")</f>
        <v>Acknowledgements</v>
      </c>
    </row>
    <row r="61" spans="1:1" ht="20" customHeight="1" x14ac:dyDescent="0.25"/>
    <row r="62" spans="1:1" ht="20" customHeight="1" x14ac:dyDescent="0.25"/>
    <row r="63" spans="1:1" ht="20" customHeight="1" x14ac:dyDescent="0.25"/>
    <row r="64" spans="1:1"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346" spans="4:4" x14ac:dyDescent="0.25" ht="20" customHeight="1">
      <c r="D346" s="80"/>
    </row>
  </sheetData>
  <conditionalFormatting sqref="F32">
    <cfRule type="cellIs" dxfId="50" priority="9" operator="lessThan">
      <formula>0</formula>
    </cfRule>
  </conditionalFormatting>
  <conditionalFormatting sqref="F111:F112">
    <cfRule type="cellIs" dxfId="49" priority="8" operator="lessThan">
      <formula>0</formula>
    </cfRule>
  </conditionalFormatting>
  <conditionalFormatting sqref="F123:F124">
    <cfRule type="cellIs" dxfId="48" priority="7" operator="lessThan">
      <formula>0</formula>
    </cfRule>
  </conditionalFormatting>
  <conditionalFormatting sqref="F135:F136">
    <cfRule type="cellIs" dxfId="47" priority="6" operator="lessThan">
      <formula>0</formula>
    </cfRule>
  </conditionalFormatting>
  <conditionalFormatting sqref="F147:F148">
    <cfRule type="cellIs" dxfId="46" priority="5" operator="lessThan">
      <formula>0</formula>
    </cfRule>
  </conditionalFormatting>
  <conditionalFormatting sqref="F235:F236">
    <cfRule type="cellIs" dxfId="45" priority="17" operator="lessThan">
      <formula>0</formula>
    </cfRule>
  </conditionalFormatting>
  <conditionalFormatting sqref="F240:F241">
    <cfRule type="cellIs" dxfId="44" priority="16" operator="lessThan">
      <formula>0</formula>
    </cfRule>
  </conditionalFormatting>
  <conditionalFormatting sqref="F245:F246">
    <cfRule type="cellIs" dxfId="43" priority="15" operator="lessThan">
      <formula>0</formula>
    </cfRule>
  </conditionalFormatting>
  <conditionalFormatting sqref="F269:F270">
    <cfRule type="cellIs" dxfId="42" priority="14" operator="lessThan">
      <formula>0</formula>
    </cfRule>
  </conditionalFormatting>
  <conditionalFormatting sqref="F274:F275">
    <cfRule type="cellIs" dxfId="41" priority="13" operator="lessThan">
      <formula>0</formula>
    </cfRule>
  </conditionalFormatting>
  <conditionalFormatting sqref="F279:F280">
    <cfRule type="cellIs" dxfId="40" priority="12" operator="lessThan">
      <formula>0</formula>
    </cfRule>
  </conditionalFormatting>
  <conditionalFormatting sqref="I26:J27 H28:H30 I31:J31 I33:J35 I37:J38 I189:J189 E195:G195 I195:J195">
    <cfRule type="cellIs" dxfId="39" priority="11" operator="lessThan">
      <formula>0</formula>
    </cfRule>
  </conditionalFormatting>
  <conditionalFormatting sqref="I42:J46">
    <cfRule type="cellIs" dxfId="38" priority="4" operator="lessThan">
      <formula>0</formula>
    </cfRule>
  </conditionalFormatting>
  <conditionalFormatting sqref="I50:J50 I109:J109">
    <cfRule type="cellIs" dxfId="37" priority="10" operator="lessThan">
      <formula>0</formula>
    </cfRule>
  </conditionalFormatting>
  <conditionalFormatting sqref="I61:J63">
    <cfRule type="cellIs" dxfId="36" priority="3" operator="lessThan">
      <formula>0</formula>
    </cfRule>
  </conditionalFormatting>
  <conditionalFormatting sqref="I67:J70">
    <cfRule type="cellIs" dxfId="35" priority="2" operator="lessThan">
      <formula>0</formula>
    </cfRule>
  </conditionalFormatting>
  <conditionalFormatting sqref="I74:J78">
    <cfRule type="cellIs" dxfId="34" priority="1" operator="lessThan">
      <formula>0</formula>
    </cfRule>
  </conditionalFormatting>
  <dataValidations count="9">
    <dataValidation type="list" allowBlank="1" showInputMessage="1" showErrorMessage="1" sqref="E17:E21" xr:uid="{4D866974-ADA1-4681-971E-F3A3FC8F113E}">
      <formula1>_xlfn.TRIMRANGE(INDIRECT("Table_FuelTypesPerUse["&amp;D17&amp;"]"))</formula1>
    </dataValidation>
    <dataValidation type="list" allowBlank="1" showInputMessage="1" showErrorMessage="1" sqref="D17:D21" xr:uid="{24169EF7-4D10-4878-B473-E96CB503BBF0}">
      <formula1>INDIRECT("Table_FuelTypesPerUse[#Headers]")</formula1>
    </dataValidation>
    <dataValidation type="list" allowBlank="1" showInputMessage="1" showErrorMessage="1" sqref="E11" xr:uid="{9747F583-108A-4C58-BB5A-C01EABE1D1EF}">
      <formula1>"Metro, Non-metro"</formula1>
    </dataValidation>
    <dataValidation type="list" allowBlank="1" showInputMessage="1" showErrorMessage="1" sqref="D29:D30" xr:uid="{35F43C47-6E6E-4724-89F6-F2B845B6914E}">
      <formula1>INDIRECT("Table_SourceData_OrganicFertiliserTypes[Organic fertiliser type]")</formula1>
    </dataValidation>
    <dataValidation type="list" allowBlank="1" showInputMessage="1" showErrorMessage="1" sqref="E49" xr:uid="{4DF8C49D-4D03-4CC3-832F-52E247BD0D7E}">
      <formula1>INDIRECT("Table_SourceData_Swine_CropProdSystems[Production system]")</formula1>
    </dataValidation>
    <dataValidation type="list" allowBlank="1" showInputMessage="1" showErrorMessage="1" sqref="E50" xr:uid="{58B9A5CD-CF84-4BCB-B723-4A170D7DB1E0}">
      <formula1>INDIRECT("Table_SourceData_Swine_IrrigationMethods[Irrigation method]")</formula1>
    </dataValidation>
    <dataValidation type="list" allowBlank="1" showInputMessage="1" showErrorMessage="1" sqref="E234 E239 E244 E278 E273 E268 E146 E134 E110 E122" xr:uid="{AEC5DE25-8C63-45C5-8217-8A0EC4C3B1D3}">
      <formula1>"Yes, No"</formula1>
    </dataValidation>
    <dataValidation type="list" allowBlank="1" showInputMessage="1" showErrorMessage="1" sqref="E210" xr:uid="{67BA1328-9494-4510-99F4-816CD39AF00C}">
      <formula1>INDIRECT("Table_SourceData_Dairy_ProductionSystemTemplates[Area]")</formula1>
    </dataValidation>
    <dataValidation type="list" allowBlank="1" showInputMessage="1" showErrorMessage="1" sqref="D262" xr:uid="{40CF03B7-F97D-46CA-BB01-D7F669A6712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B812E-8D1C-470A-9329-A7A40C096E7B}">
  <sheetPr>
    <tabColor theme="5" tint="-0.249977111117893"/>
  </sheetPr>
  <dimension ref="A1:L3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755</v>
      </c>
    </row>
    <row r="2" spans="1:10" s="3" customFormat="1" ht="20" customHeight="1" x14ac:dyDescent="0.25">
      <c r="A2"/>
    </row>
    <row r="3" spans="1:10" ht="20" customHeight="1" x14ac:dyDescent="0.25">
      <c r="A3" s="5" t="str">
        <f>HYPERLINK("#'Home'!A1", "Home")</f>
        <v>Home</v>
      </c>
      <c r="C3" s="29"/>
      <c r="D3" s="29"/>
      <c r="E3" s="29"/>
      <c r="F3" s="29"/>
      <c r="G3" s="29"/>
      <c r="H3" s="29"/>
      <c r="I3" s="29"/>
      <c r="J3" s="29"/>
    </row>
    <row r="4" spans="1:10" ht="20" customHeight="1" x14ac:dyDescent="0.25">
      <c r="A4" s="5" t="str">
        <f>HYPERLINK("#'Results - Activity period'!A1", "Results - Activity period")</f>
        <v>Results - Activity period</v>
      </c>
    </row>
    <row r="5" spans="1:10" ht="20" customHeight="1" x14ac:dyDescent="0.25">
      <c r="A5" s="5" t="str">
        <f>HYPERLINK("#'Results - Product EI'!A1", "Results - Product Emissions Intensity")</f>
        <v>Results - Product Emissions Intensity</v>
      </c>
      <c r="D5" s="1" t="s">
        <v>756</v>
      </c>
      <c r="E5" s="13"/>
      <c r="F5" s="16" t="s">
        <v>106</v>
      </c>
    </row>
    <row r="6" spans="1:10" ht="20" customHeight="1" x14ac:dyDescent="0.25">
      <c r="E6" s="80" t="str">
        <f>IF(X_Cell_Electricity_CalculationMethod="Location-based (simpler)", "Complete the fields in the Location-based section", "Complete the fields in the Market-based section")</f>
        <v>Complete the fields in the Market-based section</v>
      </c>
    </row>
    <row r="7" spans="1:10" ht="20" customHeight="1" x14ac:dyDescent="0.25"/>
    <row r="8" spans="1:10" ht="20" customHeight="1" x14ac:dyDescent="0.25">
      <c r="A8" s="7" t="s">
        <v>0</v>
      </c>
      <c r="C8" s="87"/>
      <c r="D8" s="87"/>
      <c r="E8" s="87"/>
      <c r="F8" s="87"/>
      <c r="G8" s="87"/>
      <c r="H8" s="87"/>
      <c r="I8" s="87"/>
      <c r="J8" s="87"/>
    </row>
    <row r="9" spans="1:10" ht="20" customHeight="1" x14ac:dyDescent="0.25">
      <c r="A9" s="5" t="str">
        <f>HYPERLINK("#'Input - Enterprise'!A1", "Enterprise")</f>
        <v>Enterprise</v>
      </c>
      <c r="D9" s="2" t="s">
        <v>757</v>
      </c>
    </row>
    <row r="10" spans="1:10" ht="20" customHeight="1" x14ac:dyDescent="0.25">
      <c r="A10" s="5" t="str">
        <f>HYPERLINK("#'Input - Site'!A1", "Site")</f>
        <v>Site</v>
      </c>
    </row>
    <row r="11" spans="1:10" ht="20" customHeight="1" x14ac:dyDescent="0.25">
      <c r="A11" s="5" t="str">
        <f>HYPERLINK("#'Input - Pasture Beef'!A1", "Pasture Beef")</f>
        <v>Pasture Beef</v>
      </c>
      <c r="D11" s="79" t="s">
        <v>758</v>
      </c>
    </row>
    <row r="12" spans="1:10" ht="20" customHeight="1" x14ac:dyDescent="0.25">
      <c r="A12" s="5" t="str">
        <f>HYPERLINK("#'Input - Livestock sales'!A1", "Livestock sales")</f>
        <v>Livestock sales</v>
      </c>
    </row>
    <row r="13" spans="1:10" ht="20" customHeight="1" x14ac:dyDescent="0.25">
      <c r="A13" s="5" t="str">
        <f>HYPERLINK("#'Input - Beef cattle purchases'!A1", "Beef cattle purchases")</f>
        <v>Beef cattle purchases</v>
      </c>
      <c r="D13" s="36" t="s">
        <v>759</v>
      </c>
      <c r="E13" s="39"/>
      <c r="F13" s="8"/>
    </row>
    <row r="14" spans="1:10" ht="20" customHeight="1" x14ac:dyDescent="0.25">
      <c r="A14" s="5" t="str">
        <f>HYPERLINK("#'Input - Pasture'!A1", "Pasture")</f>
        <v>Pasture</v>
      </c>
      <c r="D14" s="8"/>
      <c r="E14" s="8"/>
      <c r="F14" s="8"/>
    </row>
    <row r="15" spans="1:10" ht="20" customHeight="1" x14ac:dyDescent="0.25">
      <c r="A15" s="5" t="str">
        <f>HYPERLINK("#'Input - Fert Prod System'!A1", "Fert Prod System")</f>
        <v>Fert Prod System</v>
      </c>
      <c r="D15" s="1" t="s">
        <v>760</v>
      </c>
      <c r="E15" s="179"/>
      <c r="F15" s="16" t="s">
        <v>761</v>
      </c>
    </row>
    <row r="16" spans="1:10" ht="20" customHeight="1" x14ac:dyDescent="0.25">
      <c r="A16" s="5" t="str">
        <f>HYPERLINK("#'Input - Fertiliser'!A1", "Fertiliser")</f>
        <v>Fertiliser</v>
      </c>
      <c r="D16" s="1" t="s">
        <v>762</v>
      </c>
      <c r="E16" s="15">
        <f>IF(X_Cell_Site_State="Western Australia", X_Cell_Site_Region, X_Cell_Site_State)</f>
        <v>0</v>
      </c>
      <c r="F16" s="8"/>
    </row>
    <row r="17" spans="1:11" ht="20" customHeight="1" x14ac:dyDescent="0.25">
      <c r="A17" s="5" t="str">
        <f>HYPERLINK("#'Input - Fuel'!A1", "Fuel")</f>
        <v>Fuel</v>
      </c>
      <c r="D17" s="1" t="s">
        <v>763</v>
      </c>
      <c r="E17" s="13"/>
      <c r="F17" s="16" t="s">
        <v>106</v>
      </c>
    </row>
    <row r="18" spans="1:11" ht="20" customHeight="1" x14ac:dyDescent="0.25">
      <c r="A18" s="99" t="str">
        <f>HYPERLINK("#'Input - Electricity'!A1", "Electricity")</f>
        <v>Electricity</v>
      </c>
    </row>
    <row r="19" spans="1:11" ht="20" customHeight="1" x14ac:dyDescent="0.25">
      <c r="A19" s="5" t="str">
        <f>HYPERLINK("#'Input - Common farm inputs'!A1", "Common farm inputs")</f>
        <v>Common farm inputs</v>
      </c>
    </row>
    <row r="20" spans="1:11" ht="20" customHeight="1" x14ac:dyDescent="0.25">
      <c r="A20" s="5" t="str">
        <f>HYPERLINK("#'Input - Crop pasture farm input'!A1", "Crop pasture farm input")</f>
        <v>Crop pasture farm input</v>
      </c>
      <c r="C20" s="87"/>
      <c r="D20" s="87"/>
      <c r="E20" s="87"/>
      <c r="F20" s="87"/>
      <c r="G20" s="87"/>
      <c r="H20" s="87"/>
      <c r="I20" s="87"/>
      <c r="J20" s="87"/>
    </row>
    <row r="21" spans="1:11" ht="20" customHeight="1" x14ac:dyDescent="0.25">
      <c r="A21" s="5" t="str">
        <f>HYPERLINK("#'Input - Livestock farm Inputs'!A1", "Livestock farm Inputs")</f>
        <v>Livestock farm Inputs</v>
      </c>
      <c r="D21" s="2" t="s">
        <v>764</v>
      </c>
    </row>
    <row r="22" spans="1:11" ht="20" customHeight="1" x14ac:dyDescent="0.25">
      <c r="A22" s="5" t="str">
        <f>HYPERLINK("#'Input - Freight'!A1", "Freight")</f>
        <v>Freight</v>
      </c>
      <c r="E22" s="80" t="str">
        <f>IF(E16="ACT", "", "ALERT: Your farm is not in the ACT, so the JRPP is not applicable")</f>
        <v>ALERT: Your farm is not in the ACT, so the JRPP is not applicable</v>
      </c>
    </row>
    <row r="23" spans="1:11" ht="20" customHeight="1" x14ac:dyDescent="0.25">
      <c r="A23" s="5" t="str">
        <f>HYPERLINK("#'Input - Solid waste'!A1", "Solid waste")</f>
        <v>Solid waste</v>
      </c>
      <c r="D23" s="1" t="s">
        <v>765</v>
      </c>
      <c r="E23" s="179"/>
      <c r="F23" s="16" t="s">
        <v>761</v>
      </c>
    </row>
    <row r="24" spans="1:11" ht="20" customHeight="1" x14ac:dyDescent="0.25">
      <c r="A24" s="5" t="str">
        <f>HYPERLINK("#'Input - Manure sent off-site'!A1", "Manure sent off-site")</f>
        <v>Manure sent off-site</v>
      </c>
      <c r="D24" s="1" t="s">
        <v>766</v>
      </c>
      <c r="E24" s="18"/>
      <c r="F24" s="16" t="s">
        <v>157</v>
      </c>
    </row>
    <row r="25" spans="1:11" ht="20" customHeight="1" x14ac:dyDescent="0.25">
      <c r="A25" s="5" t="str">
        <f>HYPERLINK("#'Input - Data quality'!A1", "Data quality")</f>
        <v>Data quality</v>
      </c>
      <c r="D25" s="1" t="s">
        <v>767</v>
      </c>
      <c r="E25" s="18"/>
      <c r="F25" s="16" t="s">
        <v>157</v>
      </c>
    </row>
    <row r="26" spans="1:11" ht="20" customHeight="1" x14ac:dyDescent="0.25"/>
    <row r="27" spans="1:11" ht="20" customHeight="1" x14ac:dyDescent="0.25">
      <c r="D27" s="1" t="s">
        <v>768</v>
      </c>
      <c r="E27" s="179"/>
      <c r="F27" s="16" t="s">
        <v>761</v>
      </c>
    </row>
    <row r="28" spans="1:11" ht="20" customHeight="1" x14ac:dyDescent="0.25">
      <c r="A28" s="6" t="s">
        <v>2</v>
      </c>
    </row>
    <row r="29" spans="1:11" ht="20" customHeight="1" x14ac:dyDescent="0.25">
      <c r="A29" s="5" t="str">
        <f>HYPERLINK("#'3.2.1.1-2 Enteric Methane'!A1", "3.2.1.1-2 Enteric Methane")</f>
        <v>3.2.1.1-2 Enteric Methane</v>
      </c>
      <c r="D29" s="1" t="s">
        <v>769</v>
      </c>
      <c r="E29" s="180" t="str">
        <f>TEXT(X_Cell_Site_StartDate, "dd mmm yyyy")</f>
        <v>00 Jan 1900</v>
      </c>
      <c r="K29" s="155"/>
    </row>
    <row r="30" spans="1:11" ht="20" customHeight="1" x14ac:dyDescent="0.25">
      <c r="A30" s="5" t="str">
        <f>HYPERLINK("#'4.2.1.1-2 Methane'!A1", "4.2.1.1-2 Manure methane")</f>
        <v>4.2.1.1-2 Manure methane</v>
      </c>
      <c r="D30" s="1" t="s">
        <v>770</v>
      </c>
      <c r="E30" s="180" t="str">
        <f>TEXT(X_Cell_Site_EndDate, "dd mmm yyyy")</f>
        <v>30 Dec 1900</v>
      </c>
      <c r="K30" s="155"/>
    </row>
    <row r="31" spans="1:11" ht="20" customHeight="1" x14ac:dyDescent="0.25">
      <c r="A31" s="5" t="str">
        <f>HYPERLINK("#'4.2.1.3-4 Soil direct N20'!A1", "4.2.1.3-4 Soil direct N2O")</f>
        <v>4.2.1.3-4 Soil direct N2O</v>
      </c>
      <c r="K31" s="155"/>
    </row>
    <row r="32" spans="1:11" ht="20" customHeight="1" x14ac:dyDescent="0.25">
      <c r="A32" s="5" t="str">
        <f>HYPERLINK("#'4.2.1.5-6 Soil Atmos Dep'!A1", "4.2.1.5-6 Soil atm. deposition")</f>
        <v>4.2.1.5-6 Soil atm. deposition</v>
      </c>
      <c r="D32" s="79" t="s">
        <v>771</v>
      </c>
      <c r="K32" s="155"/>
    </row>
    <row r="33" spans="1:12" ht="20" customHeight="1" x14ac:dyDescent="0.25">
      <c r="A33" s="5" t="str">
        <f>HYPERLINK("#'4.2.1.7-8 Soil leach runoff'!A1", "4.2.1.7-8 Soil leach &amp; runoff")</f>
        <v>4.2.1.7-8 Soil leach &amp; runoff</v>
      </c>
      <c r="K33" s="155"/>
    </row>
    <row r="34" spans="1:12" ht="20" customHeight="1" x14ac:dyDescent="0.25">
      <c r="A34" s="5" t="str">
        <f>HYPERLINK("#'5.1.1.1-2 Inorganic fert N2O'!A1", "5.1.1.1-2 Inorganic fert N2O")</f>
        <v>5.1.1.1-2 Inorganic fert N2O</v>
      </c>
      <c r="D34" s="36" t="s">
        <v>772</v>
      </c>
      <c r="E34" s="39"/>
      <c r="K34" s="155"/>
    </row>
    <row r="35" spans="1:12" ht="20" customHeight="1" x14ac:dyDescent="0.25">
      <c r="A35" s="5" t="str">
        <f>HYPERLINK("#'5.1.1.3-4 Inorganic fert CO2'!A1", "5.1.1.3-4 Inorganic fert CO2")</f>
        <v>5.1.1.3-4 Inorganic fert CO2</v>
      </c>
    </row>
    <row r="36" spans="1:12" ht="20" customHeight="1" x14ac:dyDescent="0.25">
      <c r="A36" s="5" t="str">
        <f>HYPERLINK("#'5.2.1.1-2 Organic Fert N2O'!A1", "5.2.1.1-2 Organic fert N2O")</f>
        <v>5.2.1.1-2 Organic fert N2O</v>
      </c>
      <c r="D36" s="82" t="s">
        <v>194</v>
      </c>
      <c r="E36" s="82" t="s">
        <v>773</v>
      </c>
      <c r="F36" s="82" t="s">
        <v>774</v>
      </c>
      <c r="G36" s="82" t="s">
        <v>775</v>
      </c>
      <c r="H36" s="82" t="s">
        <v>776</v>
      </c>
      <c r="I36" s="82" t="s">
        <v>777</v>
      </c>
      <c r="L36" s="155"/>
    </row>
    <row r="37" spans="1:12" ht="20" customHeight="1" x14ac:dyDescent="0.25">
      <c r="A37" s="5" t="str">
        <f>HYPERLINK("#'5.3.1.1-2 Lime CO2'!A1", "5.3.1.1-2 Lime CO2")</f>
        <v>5.3.1.1-2 Lime CO2</v>
      </c>
      <c r="D37" s="20" t="s">
        <v>778</v>
      </c>
      <c r="E37" s="13"/>
      <c r="F37" s="181"/>
      <c r="G37" s="20"/>
      <c r="H37" s="15">
        <f>Table_Input_RECSurrendered[[#This Row],[Number of certificates]]</f>
        <v>0</v>
      </c>
      <c r="I37" s="15" t="str">
        <f>IF(DATEDIF(Table_Input_RECSurrendered[[#This Row],[Generation date]],DATEVALUE($E$30),"M")&gt;36,"Ineligible - older than 36 months","Elegible")</f>
        <v>Elegible</v>
      </c>
      <c r="L37" s="155"/>
    </row>
    <row r="38" spans="1:12" ht="20" customHeight="1" x14ac:dyDescent="0.25">
      <c r="A38" s="5" t="str">
        <f>HYPERLINK("#'5.4.1.1-4 Atmos deposition'!A1", "5.4.1.1-4 Atmos. deposition")</f>
        <v>5.4.1.1-4 Atmos. deposition</v>
      </c>
      <c r="D38" s="20" t="s">
        <v>779</v>
      </c>
      <c r="E38" s="13"/>
      <c r="F38" s="181"/>
      <c r="G38" s="20"/>
      <c r="H38" s="15">
        <f>Table_Input_RECSurrendered[[#This Row],[Number of certificates]]</f>
        <v>0</v>
      </c>
      <c r="I38" s="15" t="str">
        <f>IF(DATEDIF(Table_Input_RECSurrendered[[#This Row],[Generation date]],DATEVALUE($E$30),"M")&gt;36,"Ineligible - older than 36 months","Elegible")</f>
        <v>Elegible</v>
      </c>
    </row>
    <row r="39" spans="1:12" ht="20" customHeight="1" x14ac:dyDescent="0.25">
      <c r="A39" s="5" t="str">
        <f>HYPERLINK("#'5.5.1.1-2 Leaching and runoff'!A1", "5.5.1.1-2 Leaching &amp; runoff")</f>
        <v>5.5.1.1-2 Leaching &amp; runoff</v>
      </c>
      <c r="D39" s="20" t="s">
        <v>780</v>
      </c>
      <c r="E39" s="13"/>
      <c r="F39" s="181"/>
      <c r="G39" s="20"/>
      <c r="H39" s="15">
        <f>Table_Input_RECSurrendered[[#This Row],[Number of certificates]]</f>
        <v>0</v>
      </c>
      <c r="I39" s="15" t="str">
        <f>IF(DATEDIF(Table_Input_RECSurrendered[[#This Row],[Generation date]],DATEVALUE($E$30),"M")&gt;36,"Ineligible - older than 36 months","Elegible")</f>
        <v>Elegible</v>
      </c>
    </row>
    <row r="40" spans="1:12" s="155" customFormat="1" ht="20" customHeight="1" x14ac:dyDescent="0.25">
      <c r="A40" s="5" t="str">
        <f>HYPERLINK("#'6.2.1.1-2 Pasture residue N2O'!A1", "6.2.1.1-2 Pasture residue N2O")</f>
        <v>6.2.1.1-2 Pasture residue N2O</v>
      </c>
      <c r="C40" s="1"/>
      <c r="D40" s="1"/>
      <c r="E40" s="1"/>
      <c r="F40" s="1"/>
      <c r="G40" s="1"/>
      <c r="H40" s="1"/>
      <c r="I40" s="1"/>
      <c r="J40" s="1"/>
    </row>
    <row r="41" spans="1:12" s="155" customFormat="1" ht="20" customHeight="1" x14ac:dyDescent="0.25">
      <c r="A41" s="5" t="str">
        <f>HYPERLINK("#'6.3.1.1-2 Leach runoff pasture'!A1", "6.3.1.1-2 Leach &amp; runoff (pasture)")</f>
        <v>6.3.1.1-2 Leach &amp; runoff (pasture)</v>
      </c>
      <c r="C41" s="1"/>
      <c r="D41" s="1" t="s">
        <v>781</v>
      </c>
      <c r="E41" s="15">
        <f>SUMIF(Table_Input_RECSurrendered[Elegibility], "Elegible", Table_Input_RECSurrendered[MWh])</f>
        <v>0</v>
      </c>
      <c r="F41" s="16" t="s">
        <v>776</v>
      </c>
      <c r="G41" s="1"/>
      <c r="H41" s="1"/>
      <c r="I41" s="1"/>
      <c r="J41" s="1"/>
      <c r="L41" s="155" t="s">
        <v>782</v>
      </c>
    </row>
    <row r="42" spans="1:12" ht="20" customHeight="1" x14ac:dyDescent="0.25">
      <c r="A42" s="5" t="str">
        <f>HYPERLINK("#'8.1.1.1-2 Transport fuel'!A1", "8.1.1.1-2 Transport fuel")</f>
        <v>8.1.1.1-2 Transport fuel</v>
      </c>
      <c r="C42" s="143"/>
    </row>
    <row r="43" spans="1:12" ht="20" customHeight="1" x14ac:dyDescent="0.25">
      <c r="A43" s="5" t="str">
        <f>HYPERLINK("#'8.2.1.1-2 Stationary fuel'!A1", "8.2.1.1-2 Stationary fuel")</f>
        <v>8.2.1.1-2 Stationary fuel</v>
      </c>
      <c r="C43" s="143"/>
      <c r="D43" s="79" t="s">
        <v>783</v>
      </c>
      <c r="J43" s="143"/>
    </row>
    <row r="44" spans="1:12" ht="20" customHeight="1" x14ac:dyDescent="0.25">
      <c r="A44" s="5" t="str">
        <f>HYPERLINK("#'10.1.1-2 Solid waste treatment'!A1", "10.1.1.1-2 Solid waste")</f>
        <v>10.1.1.1-2 Solid waste</v>
      </c>
    </row>
    <row r="45" spans="1:12" ht="20" customHeight="1" x14ac:dyDescent="0.25">
      <c r="A45" s="5" t="str">
        <f>HYPERLINK("#'14.1.1-2 Purchased electricity'!A1", "14.1.1-2 Purchased electricity")</f>
        <v>14.1.1-2 Purchased electricity</v>
      </c>
      <c r="D45" s="82" t="s">
        <v>194</v>
      </c>
      <c r="E45" s="82" t="s">
        <v>728</v>
      </c>
      <c r="F45" s="82" t="s">
        <v>774</v>
      </c>
      <c r="G45" s="82" t="s">
        <v>775</v>
      </c>
      <c r="H45" s="82" t="s">
        <v>776</v>
      </c>
      <c r="I45" s="82" t="s">
        <v>777</v>
      </c>
    </row>
    <row r="46" spans="1:12" ht="20" customHeight="1" x14ac:dyDescent="0.25">
      <c r="A46" s="5" t="str">
        <f>HYPERLINK("#'15 Scope 3'!A1", "15 Scope 3")</f>
        <v>15 Scope 3</v>
      </c>
      <c r="D46" s="20" t="s">
        <v>784</v>
      </c>
      <c r="E46" s="182" t="str">
        <f>"Issued for generated electricity"</f>
        <v>Issued for generated electricity</v>
      </c>
      <c r="F46" s="181"/>
      <c r="G46" s="20"/>
      <c r="H46" s="15">
        <f>Table_Input_RECConsumedByEntity[[#This Row],[Number of certificates]]</f>
        <v>0</v>
      </c>
      <c r="I46" s="15" t="e">
        <f>IF(AND(Table_Input_RECConsumedByEntity[[#This Row],[Generation date]]&gt;=DATEVALUE($E$29), Table_Input_RECConsumedByEntity[[#This Row],[Generation date]]&lt;= DATEVALUE($E$30)), "Elegible", "Ineligible - outside reporting year")</f>
        <v>#VALUE!</v>
      </c>
    </row>
    <row r="47" spans="1:12" ht="20" customHeight="1" x14ac:dyDescent="0.25">
      <c r="A47" s="5" t="str">
        <f>HYPERLINK("#'Calcs - Manure sent off-site'!A1", "Calcs - Manure sent off-site")</f>
        <v>Calcs - Manure sent off-site</v>
      </c>
      <c r="D47" s="20" t="s">
        <v>785</v>
      </c>
      <c r="E47" s="182" t="str">
        <f>"Issued for generated electricity"</f>
        <v>Issued for generated electricity</v>
      </c>
      <c r="F47" s="181"/>
      <c r="G47" s="20"/>
      <c r="H47" s="15">
        <f>Table_Input_RECConsumedByEntity[[#This Row],[Number of certificates]]</f>
        <v>0</v>
      </c>
      <c r="I47" s="15" t="e">
        <f>IF(AND(Table_Input_RECConsumedByEntity[[#This Row],[Generation date]]&gt;=DATEVALUE($E$29), Table_Input_RECConsumedByEntity[[#This Row],[Generation date]]&lt;= DATEVALUE($E$30)), "Elegible", "Ineligible - outside reporting year")</f>
        <v>#VALUE!</v>
      </c>
    </row>
    <row r="48" spans="1:12" ht="20" customHeight="1" x14ac:dyDescent="0.25">
      <c r="D48" s="183">
        <v>45597</v>
      </c>
      <c r="E48" s="182" t="str">
        <f>"Issued for generated electricity"</f>
        <v>Issued for generated electricity</v>
      </c>
      <c r="F48" s="181"/>
      <c r="G48" s="20"/>
      <c r="H48" s="15">
        <f>Table_Input_RECConsumedByEntity[[#This Row],[Number of certificates]]</f>
        <v>0</v>
      </c>
      <c r="I48" s="15" t="e">
        <f>IF(AND(Table_Input_RECConsumedByEntity[[#This Row],[Generation date]]&gt;=DATEVALUE($E$29), Table_Input_RECConsumedByEntity[[#This Row],[Generation date]]&lt;= DATEVALUE($E$30)), "Elegible", "Ineligible - outside reporting year")</f>
        <v>#VALUE!</v>
      </c>
    </row>
    <row r="49" spans="1:6" ht="20" customHeight="1" x14ac:dyDescent="0.25"/>
    <row r="50" spans="1:6" ht="20" customHeight="1" x14ac:dyDescent="0.25">
      <c r="A50" s="85" t="s">
        <v>1</v>
      </c>
      <c r="D50" s="1" t="s">
        <v>786</v>
      </c>
      <c r="E50" s="15">
        <f>SUMIF(Table_Input_RECConsumedByEntity[Elegibility], "Elegible", Table_Input_RECConsumedByEntity[Number of certificates])</f>
        <v>0</v>
      </c>
      <c r="F50" s="16" t="s">
        <v>776</v>
      </c>
    </row>
    <row r="51" spans="1:6" ht="20" customHeight="1" x14ac:dyDescent="0.25">
      <c r="A51" s="5" t="str">
        <f>HYPERLINK("#'Constants - Pasture Beef'!A1", "Constants - Pasture Beef")</f>
        <v>Constants - Pasture Beef</v>
      </c>
    </row>
    <row r="52" spans="1:6" ht="20" customHeight="1" x14ac:dyDescent="0.25">
      <c r="A52" s="5" t="str">
        <f>HYPERLINK("#'Constants - Ag Residue'!A1", "Constants - Ag residue")</f>
        <v>Constants - Ag residue</v>
      </c>
    </row>
    <row r="53" spans="1:6" ht="20" customHeight="1" x14ac:dyDescent="0.25">
      <c r="A53" s="5" t="str">
        <f>HYPERLINK("#'Constants - Common Livestock'!A1", "Constants - Common Livestock")</f>
        <v>Constants - Common Livestock</v>
      </c>
    </row>
    <row r="54" spans="1:6" ht="20" customHeight="1" x14ac:dyDescent="0.25">
      <c r="A54" s="5" t="str">
        <f>HYPERLINK("#'Constants - Electricity'!A1", "Constants - Electricity")</f>
        <v>Constants - Electricity</v>
      </c>
    </row>
    <row r="55" spans="1:6" ht="20" customHeight="1" x14ac:dyDescent="0.25">
      <c r="A55" s="5" t="str">
        <f>HYPERLINK("#'Constants - Fertiliser'!A1", "Constants - Fertiliser")</f>
        <v>Constants - Fertiliser</v>
      </c>
      <c r="D55" s="184"/>
    </row>
    <row r="56" spans="1:6" ht="20" customHeight="1" x14ac:dyDescent="0.25">
      <c r="A56" s="5" t="str">
        <f>HYPERLINK("#'Constants - Fuel'!A1", "Constants - Fuel")</f>
        <v>Constants - Fuel</v>
      </c>
      <c r="D56" s="184"/>
    </row>
    <row r="57" spans="1:6" ht="20" customHeight="1" x14ac:dyDescent="0.25">
      <c r="A57" s="5" t="str">
        <f>HYPERLINK("#'Constants - Scope 3'!A1", "Constants - Scope 3")</f>
        <v>Constants - Scope 3</v>
      </c>
    </row>
    <row r="58" spans="1:6" ht="20" customHeight="1" x14ac:dyDescent="0.25">
      <c r="A58" s="5" t="str">
        <f>HYPERLINK("#'Constants - Solid Waste'!A1", "Constants - Solid Waste")</f>
        <v>Constants - Solid Waste</v>
      </c>
    </row>
    <row r="59" spans="1:6" ht="20" customHeight="1" x14ac:dyDescent="0.25">
      <c r="A59" s="5" t="str">
        <f>HYPERLINK("#'Constants - Common'!A1", "Constants - Common")</f>
        <v>Constants - Common</v>
      </c>
    </row>
    <row r="60" spans="1:6" ht="20" customHeight="1" x14ac:dyDescent="0.25">
      <c r="A60" s="5" t="str">
        <f>HYPERLINK("#'Acknowledgements'!A1", "Acknowledgements")</f>
        <v>Acknowledgements</v>
      </c>
    </row>
    <row r="61" spans="1:6" ht="20" customHeight="1" x14ac:dyDescent="0.25"/>
    <row r="62" spans="1:6" ht="20" customHeight="1" x14ac:dyDescent="0.25"/>
    <row r="63" spans="1:6" ht="20" customHeight="1" x14ac:dyDescent="0.25"/>
    <row r="64" spans="1:6"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365" spans="4:4" x14ac:dyDescent="0.25" ht="20" customHeight="1">
      <c r="D365" s="80"/>
    </row>
  </sheetData>
  <conditionalFormatting sqref="F130:F131">
    <cfRule type="cellIs" dxfId="33" priority="8" operator="lessThan">
      <formula>0</formula>
    </cfRule>
  </conditionalFormatting>
  <conditionalFormatting sqref="F142:F143">
    <cfRule type="cellIs" dxfId="32" priority="7" operator="lessThan">
      <formula>0</formula>
    </cfRule>
  </conditionalFormatting>
  <conditionalFormatting sqref="F154:F155">
    <cfRule type="cellIs" dxfId="31" priority="6" operator="lessThan">
      <formula>0</formula>
    </cfRule>
  </conditionalFormatting>
  <conditionalFormatting sqref="F166:F167">
    <cfRule type="cellIs" dxfId="30" priority="5" operator="lessThan">
      <formula>0</formula>
    </cfRule>
  </conditionalFormatting>
  <conditionalFormatting sqref="F254:F255">
    <cfRule type="cellIs" dxfId="29" priority="17" operator="lessThan">
      <formula>0</formula>
    </cfRule>
  </conditionalFormatting>
  <conditionalFormatting sqref="F259:F260">
    <cfRule type="cellIs" dxfId="28" priority="16" operator="lessThan">
      <formula>0</formula>
    </cfRule>
  </conditionalFormatting>
  <conditionalFormatting sqref="F264:F265">
    <cfRule type="cellIs" dxfId="27" priority="15" operator="lessThan">
      <formula>0</formula>
    </cfRule>
  </conditionalFormatting>
  <conditionalFormatting sqref="F288:F289">
    <cfRule type="cellIs" dxfId="26" priority="14" operator="lessThan">
      <formula>0</formula>
    </cfRule>
  </conditionalFormatting>
  <conditionalFormatting sqref="F293:F294">
    <cfRule type="cellIs" dxfId="25" priority="13" operator="lessThan">
      <formula>0</formula>
    </cfRule>
  </conditionalFormatting>
  <conditionalFormatting sqref="F298:F299">
    <cfRule type="cellIs" dxfId="24" priority="12" operator="lessThan">
      <formula>0</formula>
    </cfRule>
  </conditionalFormatting>
  <conditionalFormatting sqref="I59:I63">
    <cfRule type="cellIs" dxfId="23" priority="4" operator="lessThan">
      <formula>0</formula>
    </cfRule>
  </conditionalFormatting>
  <conditionalFormatting sqref="I67 I126">
    <cfRule type="cellIs" dxfId="22" priority="10" operator="lessThan">
      <formula>0</formula>
    </cfRule>
  </conditionalFormatting>
  <conditionalFormatting sqref="I78:I80">
    <cfRule type="cellIs" dxfId="21" priority="3" operator="lessThan">
      <formula>0</formula>
    </cfRule>
  </conditionalFormatting>
  <conditionalFormatting sqref="I84:I87">
    <cfRule type="cellIs" dxfId="20" priority="2" operator="lessThan">
      <formula>0</formula>
    </cfRule>
  </conditionalFormatting>
  <conditionalFormatting sqref="I91:I95">
    <cfRule type="cellIs" dxfId="19" priority="1" operator="lessThan">
      <formula>0</formula>
    </cfRule>
  </conditionalFormatting>
  <conditionalFormatting sqref="J35 I49:I50 H51:H53 I52 I54:I55 I206 I212 E214:G214">
    <cfRule type="cellIs" dxfId="18" priority="11" operator="lessThan">
      <formula>0</formula>
    </cfRule>
  </conditionalFormatting>
  <conditionalFormatting sqref="J39 I40 J41 I43">
    <cfRule type="cellIs" dxfId="17" priority="9" operator="lessThan">
      <formula>0</formula>
    </cfRule>
  </conditionalFormatting>
  <dataValidations count="7">
    <dataValidation type="list" allowBlank="1" showInputMessage="1" showErrorMessage="1" sqref="E5" xr:uid="{EB83E7A2-ECC6-4045-897C-0483060DC745}">
      <formula1>"Location-based (simpler), Market-based (more complex)"</formula1>
    </dataValidation>
    <dataValidation type="list" allowBlank="1" showInputMessage="1" showErrorMessage="1" sqref="E37:E39" xr:uid="{1E7E89CA-2E23-4AD8-B562-566392781DF6}">
      <formula1>"Purchased certificate, Issued for generated electricity"</formula1>
    </dataValidation>
    <dataValidation type="list" allowBlank="1" showInputMessage="1" showErrorMessage="1" sqref="E17" xr:uid="{5F223B2A-9155-4CF4-B449-7B583E9072E6}">
      <formula1>INDIRECT("Table_SourceData_ElectricityEFs[State, Territory or grid description]")</formula1>
    </dataValidation>
    <dataValidation type="list" allowBlank="1" showInputMessage="1" showErrorMessage="1" sqref="E69" xr:uid="{A68B5139-8C69-42A1-B563-B790A8693AF3}">
      <formula1>INDIRECT("Table_SourceData_Swine_IrrigationMethods[Irrigation method]")</formula1>
    </dataValidation>
    <dataValidation type="list" allowBlank="1" showInputMessage="1" showErrorMessage="1" sqref="E253 E258 E263 E297 E292 E287 E165 E153 E129 E141" xr:uid="{2F048B95-A44C-486F-AA62-4869EFEEC7A7}">
      <formula1>"Yes, No"</formula1>
    </dataValidation>
    <dataValidation type="list" allowBlank="1" showInputMessage="1" showErrorMessage="1" sqref="E229" xr:uid="{51C64A8E-3304-42BF-B965-7A342A6509D7}">
      <formula1>INDIRECT("Table_SourceData_Dairy_ProductionSystemTemplates[Area]")</formula1>
    </dataValidation>
    <dataValidation type="list" allowBlank="1" showInputMessage="1" showErrorMessage="1" sqref="D281" xr:uid="{7687AFAE-483C-4D70-AE29-CFDC7EA2F066}">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5046-E5AB-4356-AA66-25E836D774A2}">
  <sheetPr>
    <tabColor theme="5" tint="-0.249977111117893"/>
  </sheetPr>
  <dimension ref="A1:S227"/>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style="98" customWidth="1"/>
    <col min="2" max="2" width="4.7109375" style="98" customWidth="1"/>
    <col min="3" max="3" width="4.7109375" style="240" customWidth="1"/>
    <col min="4" max="4" width="47.140625" style="240" customWidth="1"/>
    <col min="5" max="10" width="30.7109375" style="240" customWidth="1"/>
    <col min="11" max="18" width="35" style="1" customWidth="1"/>
    <col min="19" max="19" width="5.28515625" style="1" customWidth="1"/>
    <col min="20" max="16384" width="9.140625" style="98"/>
  </cols>
  <sheetData>
    <row r="1" spans="1:19" ht="30" customHeight="1" x14ac:dyDescent="0.35">
      <c r="A1" s="10" t="e" vm="1">
        <v>#VALUE!</v>
      </c>
      <c r="C1" s="28" t="s">
        <v>996</v>
      </c>
      <c r="D1" s="22"/>
      <c r="E1" s="22"/>
      <c r="F1" s="22"/>
      <c r="G1" s="22"/>
      <c r="H1" s="22"/>
      <c r="I1" s="22"/>
      <c r="J1" s="22"/>
      <c r="K1" s="22"/>
      <c r="L1" s="22"/>
      <c r="M1" s="22"/>
      <c r="N1" s="22"/>
      <c r="O1" s="22"/>
      <c r="P1" s="22"/>
      <c r="Q1" s="22"/>
      <c r="R1" s="22"/>
      <c r="S1" s="22"/>
    </row>
    <row r="2" spans="1:19" ht="20" customHeight="1" x14ac:dyDescent="0.25">
      <c r="A2"/>
      <c r="C2" s="3"/>
      <c r="D2" s="3"/>
      <c r="E2" s="3"/>
      <c r="F2" s="3"/>
      <c r="G2" s="3"/>
      <c r="H2" s="3"/>
      <c r="I2" s="3"/>
      <c r="J2" s="3"/>
      <c r="K2" s="3"/>
      <c r="L2" s="3"/>
      <c r="M2" s="3"/>
      <c r="N2" s="3"/>
      <c r="O2" s="3"/>
      <c r="P2" s="3"/>
      <c r="Q2" s="3"/>
      <c r="R2" s="3"/>
      <c r="S2" s="3"/>
    </row>
    <row r="3" spans="1:19" ht="20" customHeight="1" x14ac:dyDescent="0.25">
      <c r="A3" s="5" t="str">
        <f>HYPERLINK("#'Home'!A1", "Home")</f>
        <v>Home</v>
      </c>
      <c r="C3" s="29"/>
      <c r="D3" s="29"/>
      <c r="E3" s="29"/>
      <c r="F3" s="29"/>
      <c r="G3" s="29"/>
      <c r="H3" s="29"/>
      <c r="I3" s="29"/>
      <c r="J3" s="29"/>
      <c r="K3" s="29"/>
      <c r="L3" s="29"/>
      <c r="M3" s="29"/>
      <c r="N3" s="29"/>
      <c r="O3" s="29"/>
      <c r="P3" s="29"/>
      <c r="Q3" s="29"/>
      <c r="R3" s="29"/>
      <c r="S3" s="29"/>
    </row>
    <row r="4" spans="1:19" ht="20" customHeight="1" x14ac:dyDescent="0.25">
      <c r="A4" s="5" t="str">
        <f>HYPERLINK("#'Results - Activity period'!A1", "Results - Activity period")</f>
        <v>Results - Activity period</v>
      </c>
      <c r="C4" s="25"/>
      <c r="D4" s="25"/>
      <c r="E4" s="25"/>
      <c r="F4" s="25"/>
      <c r="G4" s="25"/>
      <c r="H4" s="25"/>
      <c r="I4" s="25"/>
      <c r="J4" s="25"/>
    </row>
    <row r="5" spans="1:19" ht="20" customHeight="1" x14ac:dyDescent="0.25">
      <c r="A5" s="5" t="str">
        <f>HYPERLINK("#'Results - Product EI'!A1", "Results - Product Emissions Intensity")</f>
        <v>Results - Product Emissions Intensity</v>
      </c>
      <c r="C5" s="1"/>
      <c r="D5" s="2" t="s">
        <v>997</v>
      </c>
      <c r="E5" s="25"/>
      <c r="F5" s="25"/>
      <c r="G5" s="25"/>
      <c r="H5" s="25"/>
      <c r="I5" s="25"/>
      <c r="J5" s="25"/>
    </row>
    <row r="6" spans="1:19" ht="20" customHeight="1" x14ac:dyDescent="0.25">
      <c r="A6"/>
      <c r="C6" s="1"/>
    </row>
    <row r="7" spans="1:19" ht="20" customHeight="1" x14ac:dyDescent="0.25">
      <c r="A7"/>
      <c r="C7" s="1"/>
      <c r="D7" s="82" t="s">
        <v>998</v>
      </c>
      <c r="E7" s="82" t="s">
        <v>999</v>
      </c>
      <c r="F7" s="82" t="s">
        <v>1000</v>
      </c>
    </row>
    <row r="8" spans="1:19" ht="20" customHeight="1" x14ac:dyDescent="0.25">
      <c r="A8" s="7" t="s">
        <v>0</v>
      </c>
      <c r="C8" s="1"/>
      <c r="D8" s="34"/>
      <c r="E8" s="13"/>
      <c r="F8" s="76"/>
    </row>
    <row r="9" spans="1:19" ht="20" customHeight="1" x14ac:dyDescent="0.25">
      <c r="A9" s="5" t="str">
        <f>HYPERLINK("#'Input - Enterprise'!A1", "Enterprise")</f>
        <v>Enterprise</v>
      </c>
      <c r="C9" s="1"/>
      <c r="D9" s="34"/>
      <c r="E9" s="84"/>
      <c r="F9" s="244"/>
    </row>
    <row r="10" spans="1:19" ht="20" customHeight="1" x14ac:dyDescent="0.25">
      <c r="A10" s="5" t="str">
        <f>HYPERLINK("#'Input - Site'!A1", "Site")</f>
        <v>Site</v>
      </c>
      <c r="D10" s="34"/>
      <c r="E10" s="84"/>
      <c r="F10" s="244"/>
    </row>
    <row r="11" spans="1:19" ht="20" customHeight="1" x14ac:dyDescent="0.25">
      <c r="A11" s="5" t="str">
        <f>HYPERLINK("#'Input - Pasture Beef'!A1", "Pasture Beef")</f>
        <v>Pasture Beef</v>
      </c>
      <c r="D11" s="34"/>
      <c r="E11" s="84"/>
      <c r="F11" s="244"/>
    </row>
    <row r="12" spans="1:19" ht="20" customHeight="1" x14ac:dyDescent="0.25">
      <c r="A12" s="5" t="str">
        <f>HYPERLINK("#'Input - Livestock sales'!A1", "Livestock sales")</f>
        <v>Livestock sales</v>
      </c>
      <c r="C12" s="1"/>
      <c r="D12" s="34"/>
      <c r="E12" s="84"/>
      <c r="F12" s="244"/>
    </row>
    <row r="13" spans="1:19" ht="20" customHeight="1" x14ac:dyDescent="0.25">
      <c r="A13" s="5" t="str">
        <f>HYPERLINK("#'Input - Beef cattle purchases'!A1", "Beef cattle purchases")</f>
        <v>Beef cattle purchases</v>
      </c>
      <c r="C13" s="1"/>
      <c r="D13" s="34"/>
      <c r="E13" s="84"/>
      <c r="F13" s="244"/>
    </row>
    <row r="14" spans="1:19" ht="20" customHeight="1" x14ac:dyDescent="0.25">
      <c r="A14" s="5" t="str">
        <f>HYPERLINK("#'Input - Pasture'!A1", "Pasture")</f>
        <v>Pasture</v>
      </c>
      <c r="D14" s="34"/>
      <c r="E14" s="13"/>
      <c r="F14" s="76"/>
    </row>
    <row r="15" spans="1:19" ht="20" customHeight="1" x14ac:dyDescent="0.25">
      <c r="A15" s="5" t="str">
        <f>HYPERLINK("#'Input - Fert Prod System'!A1", "Fert Prod System")</f>
        <v>Fert Prod System</v>
      </c>
      <c r="D15" s="34"/>
      <c r="E15" s="13"/>
      <c r="F15" s="76"/>
    </row>
    <row r="16" spans="1:19" ht="20" customHeight="1" x14ac:dyDescent="0.25">
      <c r="A16" s="5" t="str">
        <f>HYPERLINK("#'Input - Fertiliser'!A1", "Fertiliser")</f>
        <v>Fertiliser</v>
      </c>
      <c r="D16" s="34"/>
      <c r="E16" s="13"/>
      <c r="F16" s="76"/>
    </row>
    <row r="17" spans="1:10" ht="20" customHeight="1" x14ac:dyDescent="0.25">
      <c r="A17" s="5" t="str">
        <f>HYPERLINK("#'Input - Fuel'!A1", "Fuel")</f>
        <v>Fuel</v>
      </c>
      <c r="C17" s="1"/>
      <c r="D17" s="34"/>
      <c r="E17" s="13"/>
      <c r="F17" s="76"/>
    </row>
    <row r="18" spans="1:10" ht="20" customHeight="1" x14ac:dyDescent="0.25">
      <c r="A18" s="5" t="str">
        <f>HYPERLINK("#'Input - Electricity'!A1", "Electricity")</f>
        <v>Electricity</v>
      </c>
      <c r="C18" s="1"/>
    </row>
    <row r="19" spans="1:10" ht="20" customHeight="1" x14ac:dyDescent="0.25">
      <c r="A19" s="99" t="str">
        <f>HYPERLINK("#'Input - Common farm inputs'!A1", "Common farm inputs")</f>
        <v>Common farm inputs</v>
      </c>
    </row>
    <row r="20" spans="1:10" ht="20" customHeight="1" x14ac:dyDescent="0.25">
      <c r="A20" s="5" t="str">
        <f>HYPERLINK("#'Input - Crop pasture farm input'!A1", "Crop pasture farm input")</f>
        <v>Crop pasture farm input</v>
      </c>
      <c r="D20" s="2" t="s">
        <v>1001</v>
      </c>
    </row>
    <row r="21" spans="1:10" ht="20" customHeight="1" x14ac:dyDescent="0.25">
      <c r="A21" s="5" t="str">
        <f>HYPERLINK("#'Input - Livestock farm Inputs'!A1", "Livestock farm Inputs")</f>
        <v>Livestock farm Inputs</v>
      </c>
      <c r="D21" s="26"/>
      <c r="I21" s="25"/>
      <c r="J21" s="25"/>
    </row>
    <row r="22" spans="1:10" ht="20" customHeight="1" x14ac:dyDescent="0.25">
      <c r="A22" s="5" t="str">
        <f>HYPERLINK("#'Input - Freight'!A1", "Freight")</f>
        <v>Freight</v>
      </c>
      <c r="D22" s="245" t="s">
        <v>1002</v>
      </c>
      <c r="E22" s="245" t="s">
        <v>1003</v>
      </c>
      <c r="F22" s="245" t="s">
        <v>1004</v>
      </c>
      <c r="G22" s="245" t="s">
        <v>808</v>
      </c>
    </row>
    <row r="23" spans="1:10" ht="20" customHeight="1" x14ac:dyDescent="0.25">
      <c r="A23" s="5" t="str">
        <f>HYPERLINK("#'Input - Solid waste'!A1", "Solid waste")</f>
        <v>Solid waste</v>
      </c>
      <c r="D23" s="34"/>
      <c r="E23" s="34"/>
      <c r="F23" s="76"/>
      <c r="G23" s="13"/>
    </row>
    <row r="24" spans="1:10" ht="20" customHeight="1" x14ac:dyDescent="0.25">
      <c r="A24" s="5" t="str">
        <f>HYPERLINK("#'Input - Manure sent off-site'!A1", "Manure sent off-site")</f>
        <v>Manure sent off-site</v>
      </c>
      <c r="D24" s="34"/>
      <c r="E24" s="34"/>
      <c r="F24" s="76"/>
      <c r="G24" s="13"/>
    </row>
    <row r="25" spans="1:10" ht="20" customHeight="1" x14ac:dyDescent="0.25">
      <c r="A25" s="5" t="str">
        <f>HYPERLINK("#'Input - Data quality'!A1", "Data quality")</f>
        <v>Data quality</v>
      </c>
      <c r="C25" s="1"/>
      <c r="D25" s="34"/>
      <c r="E25" s="34"/>
      <c r="F25" s="76"/>
      <c r="G25" s="13"/>
    </row>
    <row r="26" spans="1:10" ht="20" customHeight="1" x14ac:dyDescent="0.25">
      <c r="A26"/>
      <c r="C26" s="1"/>
      <c r="D26" s="34"/>
      <c r="E26" s="34"/>
      <c r="F26" s="76"/>
      <c r="G26" s="13"/>
    </row>
    <row r="27" spans="1:10" ht="20" customHeight="1" x14ac:dyDescent="0.25">
      <c r="A27"/>
      <c r="C27" s="1"/>
      <c r="D27" s="34"/>
      <c r="E27" s="34"/>
      <c r="F27" s="76"/>
      <c r="G27" s="13"/>
    </row>
    <row r="28" spans="1:10" ht="20" customHeight="1" x14ac:dyDescent="0.25">
      <c r="A28" s="6" t="s">
        <v>2</v>
      </c>
      <c r="D28" s="34"/>
      <c r="E28" s="34"/>
      <c r="F28" s="76"/>
      <c r="G28" s="13"/>
    </row>
    <row r="29" spans="1:10" ht="20" customHeight="1" x14ac:dyDescent="0.25">
      <c r="A29" s="5" t="str">
        <f>HYPERLINK("#'3.2.1.1-2 Enteric Methane'!A1", "3.2.1.1-2 Enteric Methane")</f>
        <v>3.2.1.1-2 Enteric Methane</v>
      </c>
      <c r="D29" s="34"/>
      <c r="E29" s="34"/>
      <c r="F29" s="76"/>
      <c r="G29" s="13"/>
    </row>
    <row r="30" spans="1:10" ht="20" customHeight="1" x14ac:dyDescent="0.25">
      <c r="A30" s="5" t="str">
        <f>HYPERLINK("#'4.2.1.1-2 Methane'!A1", "4.2.1.1-2 Manure methane")</f>
        <v>4.2.1.1-2 Manure methane</v>
      </c>
      <c r="D30" s="34"/>
      <c r="E30" s="34"/>
      <c r="F30" s="76"/>
      <c r="G30" s="13"/>
    </row>
    <row r="31" spans="1:10" ht="20" customHeight="1" x14ac:dyDescent="0.25">
      <c r="A31" s="5" t="str">
        <f>HYPERLINK("#'4.2.1.3-4 Soil direct N20'!A1", "4.2.1.3-4 Soil direct N2O")</f>
        <v>4.2.1.3-4 Soil direct N2O</v>
      </c>
      <c r="D31" s="34"/>
      <c r="E31" s="34"/>
      <c r="F31" s="76"/>
      <c r="G31" s="13"/>
    </row>
    <row r="32" spans="1:10" ht="20" customHeight="1" x14ac:dyDescent="0.25">
      <c r="A32" s="5" t="str">
        <f>HYPERLINK("#'4.2.1.5-6 Soil Atmos Dep'!A1", "4.2.1.5-6 Soil atm. deposition")</f>
        <v>4.2.1.5-6 Soil atm. deposition</v>
      </c>
      <c r="D32" s="34"/>
      <c r="E32" s="34"/>
      <c r="F32" s="76"/>
      <c r="G32" s="13"/>
    </row>
    <row r="33" spans="1:6" ht="20" customHeight="1" x14ac:dyDescent="0.25">
      <c r="A33" s="5" t="str">
        <f>HYPERLINK("#'4.2.1.7-8 Soil leach runoff'!A1", "4.2.1.7-8 Soil leach &amp; runoff")</f>
        <v>4.2.1.7-8 Soil leach &amp; runoff</v>
      </c>
    </row>
    <row r="34" spans="1:6" ht="20" customHeight="1" x14ac:dyDescent="0.25">
      <c r="A34" s="5" t="str">
        <f>HYPERLINK("#'5.1.1.1-2 Inorganic fert N2O'!A1", "5.1.1.1-2 Inorganic fert N2O")</f>
        <v>5.1.1.1-2 Inorganic fert N2O</v>
      </c>
    </row>
    <row r="35" spans="1:6" ht="20" customHeight="1" x14ac:dyDescent="0.25">
      <c r="A35" s="5" t="str">
        <f>HYPERLINK("#'5.1.1.3-4 Inorganic fert CO2'!A1", "5.1.1.3-4 Inorganic fert CO2")</f>
        <v>5.1.1.3-4 Inorganic fert CO2</v>
      </c>
      <c r="D35" s="2" t="s">
        <v>1005</v>
      </c>
    </row>
    <row r="36" spans="1:6" ht="20" customHeight="1" x14ac:dyDescent="0.25">
      <c r="A36" s="5" t="str">
        <f>HYPERLINK("#'5.2.1.1-2 Organic Fert N2O'!A1", "5.2.1.1-2 Organic fert N2O")</f>
        <v>5.2.1.1-2 Organic fert N2O</v>
      </c>
      <c r="D36" s="26"/>
    </row>
    <row r="37" spans="1:6" ht="20" customHeight="1" x14ac:dyDescent="0.25">
      <c r="A37" s="5" t="str">
        <f>HYPERLINK("#'5.3.1.1-2 Lime CO2'!A1", "5.3.1.1-2 Lime CO2")</f>
        <v>5.3.1.1-2 Lime CO2</v>
      </c>
      <c r="D37" s="82" t="s">
        <v>1006</v>
      </c>
      <c r="E37" s="82" t="s">
        <v>899</v>
      </c>
      <c r="F37" s="82" t="s">
        <v>808</v>
      </c>
    </row>
    <row r="38" spans="1:6" ht="20" customHeight="1" x14ac:dyDescent="0.25">
      <c r="A38" s="5" t="str">
        <f>HYPERLINK("#'5.4.1.1-4 Atmos deposition'!A1", "5.4.1.1-4 Atmos. deposition")</f>
        <v>5.4.1.1-4 Atmos. deposition</v>
      </c>
      <c r="D38" s="34"/>
      <c r="E38" s="76"/>
      <c r="F38" s="34"/>
    </row>
    <row r="39" spans="1:6" ht="20" customHeight="1" x14ac:dyDescent="0.25">
      <c r="A39" s="5" t="str">
        <f>HYPERLINK("#'5.5.1.1-2 Leaching and runoff'!A1", "5.5.1.1-2 Leaching &amp; runoff")</f>
        <v>5.5.1.1-2 Leaching &amp; runoff</v>
      </c>
      <c r="D39" s="34"/>
      <c r="E39" s="76"/>
      <c r="F39" s="34"/>
    </row>
    <row r="40" spans="1:6" ht="20" customHeight="1" x14ac:dyDescent="0.25">
      <c r="A40" s="5" t="str">
        <f>HYPERLINK("#'6.2.1.1-2 Pasture residue N2O'!A1", "6.2.1.1-2 Pasture residue N2O")</f>
        <v>6.2.1.1-2 Pasture residue N2O</v>
      </c>
      <c r="D40" s="34"/>
      <c r="E40" s="76"/>
      <c r="F40" s="34"/>
    </row>
    <row r="41" spans="1:6" ht="20" customHeight="1" x14ac:dyDescent="0.25">
      <c r="A41" s="5" t="str">
        <f>HYPERLINK("#'6.3.1.1-2 Leach runoff pasture'!A1", "6.3.1.1-2 Leach &amp; runoff (pasture)")</f>
        <v>6.3.1.1-2 Leach &amp; runoff (pasture)</v>
      </c>
      <c r="D41" s="34"/>
      <c r="E41" s="76"/>
      <c r="F41" s="34"/>
    </row>
    <row r="42" spans="1:6" ht="20" customHeight="1" x14ac:dyDescent="0.25">
      <c r="A42" s="5" t="str">
        <f>HYPERLINK("#'8.1.1.1-2 Transport fuel'!A1", "8.1.1.1-2 Transport fuel")</f>
        <v>8.1.1.1-2 Transport fuel</v>
      </c>
      <c r="D42" s="34"/>
      <c r="E42" s="76"/>
      <c r="F42" s="34"/>
    </row>
    <row r="43" spans="1:6" ht="20" customHeight="1" x14ac:dyDescent="0.25">
      <c r="A43" s="5" t="str">
        <f>HYPERLINK("#'8.2.1.1-2 Stationary fuel'!A1", "8.2.1.1-2 Stationary fuel")</f>
        <v>8.2.1.1-2 Stationary fuel</v>
      </c>
      <c r="D43" s="34"/>
      <c r="E43" s="76"/>
      <c r="F43" s="34"/>
    </row>
    <row r="44" spans="1:6" ht="20" customHeight="1" x14ac:dyDescent="0.25">
      <c r="A44" s="5" t="str">
        <f>HYPERLINK("#'10.1.1-2 Solid waste treatment'!A1", "10.1.1.1-2 Solid waste")</f>
        <v>10.1.1.1-2 Solid waste</v>
      </c>
      <c r="C44" s="1"/>
      <c r="D44" s="34"/>
      <c r="E44" s="76"/>
      <c r="F44" s="34"/>
    </row>
    <row r="45" spans="1:6" ht="20" customHeight="1" x14ac:dyDescent="0.25">
      <c r="A45" s="5" t="str">
        <f>HYPERLINK("#'14.1.1-2 Purchased electricity'!A1", "14.1.1-2 Purchased electricity")</f>
        <v>14.1.1-2 Purchased electricity</v>
      </c>
      <c r="C45" s="1"/>
      <c r="D45" s="34"/>
      <c r="E45" s="76"/>
      <c r="F45" s="34"/>
    </row>
    <row r="46" spans="1:6" ht="20" customHeight="1" x14ac:dyDescent="0.25">
      <c r="A46" s="5" t="str">
        <f>HYPERLINK("#'15 Scope 3'!A1", "15 Scope 3")</f>
        <v>15 Scope 3</v>
      </c>
      <c r="C46" s="1"/>
      <c r="D46" s="34"/>
      <c r="E46" s="76"/>
      <c r="F46" s="34"/>
    </row>
    <row r="47" spans="1:6" ht="20" customHeight="1" x14ac:dyDescent="0.25">
      <c r="A47" s="5" t="str">
        <f>HYPERLINK("#'Calcs - Manure sent off-site'!A1", "Calcs - Manure sent off-site")</f>
        <v>Calcs - Manure sent off-site</v>
      </c>
      <c r="C47" s="1"/>
      <c r="D47" s="34"/>
      <c r="E47" s="76"/>
      <c r="F47" s="34"/>
    </row>
    <row r="48" spans="1:6" ht="20" customHeight="1" x14ac:dyDescent="0.25">
      <c r="A48"/>
      <c r="C48" s="1"/>
    </row>
    <row r="49" spans="1:3" ht="20" customHeight="1" x14ac:dyDescent="0.25">
      <c r="A49"/>
      <c r="C49" s="1"/>
    </row>
    <row r="50" spans="1:3" ht="20" customHeight="1" x14ac:dyDescent="0.25">
      <c r="A50" s="85" t="s">
        <v>1</v>
      </c>
    </row>
    <row r="51" spans="1:3" ht="20" customHeight="1" x14ac:dyDescent="0.25">
      <c r="A51" s="5" t="str">
        <f>HYPERLINK("#'Constants - Pasture Beef'!A1", "Constants - Pasture Beef")</f>
        <v>Constants - Pasture Beef</v>
      </c>
    </row>
    <row r="52" spans="1:3" ht="20" customHeight="1" x14ac:dyDescent="0.25">
      <c r="A52" s="5" t="str">
        <f>HYPERLINK("#'Constants - Ag Residue'!A1", "Constants - Ag residue")</f>
        <v>Constants - Ag residue</v>
      </c>
    </row>
    <row r="53" spans="1:3" ht="20" customHeight="1" x14ac:dyDescent="0.25">
      <c r="A53" s="5" t="str">
        <f>HYPERLINK("#'Constants - Common Livestock'!A1", "Constants - Common Livestock")</f>
        <v>Constants - Common Livestock</v>
      </c>
    </row>
    <row r="54" spans="1:3" ht="20" customHeight="1" x14ac:dyDescent="0.25">
      <c r="A54" s="5" t="str">
        <f>HYPERLINK("#'Constants - Electricity'!A1", "Constants - Electricity")</f>
        <v>Constants - Electricity</v>
      </c>
    </row>
    <row r="55" spans="1:3" ht="20" customHeight="1" x14ac:dyDescent="0.25">
      <c r="A55" s="5" t="str">
        <f>HYPERLINK("#'Constants - Fertiliser'!A1", "Constants - Fertiliser")</f>
        <v>Constants - Fertiliser</v>
      </c>
    </row>
    <row r="56" spans="1:3" ht="20" customHeight="1" x14ac:dyDescent="0.25">
      <c r="A56" s="5" t="str">
        <f>HYPERLINK("#'Constants - Fuel'!A1", "Constants - Fuel")</f>
        <v>Constants - Fuel</v>
      </c>
    </row>
    <row r="57" spans="1:3" ht="20" customHeight="1" x14ac:dyDescent="0.25">
      <c r="A57" s="5" t="str">
        <f>HYPERLINK("#'Constants - Scope 3'!A1", "Constants - Scope 3")</f>
        <v>Constants - Scope 3</v>
      </c>
    </row>
    <row r="58" spans="1:3" ht="20" customHeight="1" x14ac:dyDescent="0.25">
      <c r="A58" s="5" t="str">
        <f>HYPERLINK("#'Constants - Solid Waste'!A1", "Constants - Solid Waste")</f>
        <v>Constants - Solid Waste</v>
      </c>
    </row>
    <row r="59" spans="1:3" ht="20" customHeight="1" x14ac:dyDescent="0.25">
      <c r="A59" s="5" t="str">
        <f>HYPERLINK("#'Constants - Common'!A1", "Constants - Common")</f>
        <v>Constants - Common</v>
      </c>
    </row>
    <row r="60" spans="1:3" ht="20" customHeight="1" x14ac:dyDescent="0.25">
      <c r="A60" s="5" t="str">
        <f>HYPERLINK("#'Acknowledgements'!A1", "Acknowledgements")</f>
        <v>Acknowledgements</v>
      </c>
    </row>
    <row r="61" spans="1:3" ht="20" customHeight="1" x14ac:dyDescent="0.25">
      <c r="A61"/>
    </row>
    <row r="62" spans="1:3" ht="20" customHeight="1" x14ac:dyDescent="0.25">
      <c r="A62"/>
    </row>
    <row r="63" spans="1:3" ht="20" customHeight="1" x14ac:dyDescent="0.25">
      <c r="A63"/>
    </row>
    <row r="64" spans="1:3" ht="20" customHeight="1" x14ac:dyDescent="0.25">
      <c r="A64"/>
    </row>
    <row r="65" spans="1:11" ht="20" customHeight="1" x14ac:dyDescent="0.25">
      <c r="A65"/>
    </row>
    <row r="66" spans="1:11" ht="20" customHeight="1" x14ac:dyDescent="0.25">
      <c r="A66"/>
    </row>
    <row r="67" spans="1:11" ht="20" customHeight="1" x14ac:dyDescent="0.25">
      <c r="A67"/>
    </row>
    <row r="68" spans="1:11" ht="20" customHeight="1" x14ac:dyDescent="0.25">
      <c r="A68"/>
    </row>
    <row r="69" spans="1:11" ht="20" customHeight="1" x14ac:dyDescent="0.25">
      <c r="A69"/>
    </row>
    <row r="70" spans="1:11" ht="20" customHeight="1" x14ac:dyDescent="0.25">
      <c r="A70"/>
    </row>
    <row r="71" spans="1:11" ht="20" customHeight="1" x14ac:dyDescent="0.25">
      <c r="A71"/>
    </row>
    <row r="72" spans="1:11" ht="20" customHeight="1" x14ac:dyDescent="0.25">
      <c r="A72"/>
    </row>
    <row r="73" spans="1:11" ht="20" customHeight="1" x14ac:dyDescent="0.25">
      <c r="A73"/>
    </row>
    <row r="74" spans="1:11" ht="20" customHeight="1" x14ac:dyDescent="0.25">
      <c r="A74"/>
      <c r="K74" s="240"/>
    </row>
    <row r="75" spans="1:11" ht="20" customHeight="1" x14ac:dyDescent="0.25">
      <c r="A75"/>
    </row>
    <row r="76" spans="1:11" ht="20" customHeight="1" x14ac:dyDescent="0.25">
      <c r="A76"/>
    </row>
    <row r="77" spans="1:11" ht="20" customHeight="1" x14ac:dyDescent="0.25">
      <c r="A77"/>
    </row>
    <row r="78" spans="1:11" ht="20" customHeight="1" x14ac:dyDescent="0.25">
      <c r="A78"/>
    </row>
    <row r="79" spans="1:11" ht="20" customHeight="1" x14ac:dyDescent="0.25">
      <c r="A79"/>
    </row>
    <row r="80" spans="1:11" ht="20" customHeight="1" x14ac:dyDescent="0.25">
      <c r="A80"/>
    </row>
    <row r="81" spans="1:10" ht="20" customHeight="1" x14ac:dyDescent="0.25">
      <c r="A81"/>
    </row>
    <row r="82" spans="1:10" ht="20" customHeight="1" x14ac:dyDescent="0.25">
      <c r="A82"/>
    </row>
    <row r="83" spans="1:10" ht="20" customHeight="1" x14ac:dyDescent="0.25">
      <c r="A83"/>
    </row>
    <row r="84" spans="1:10" ht="20" customHeight="1" x14ac:dyDescent="0.25">
      <c r="A84"/>
    </row>
    <row r="85" spans="1:10" ht="20" customHeight="1" x14ac:dyDescent="0.25">
      <c r="A85"/>
    </row>
    <row r="86" spans="1:10" ht="20" customHeight="1" x14ac:dyDescent="0.25">
      <c r="A86"/>
    </row>
    <row r="87" spans="1:10" ht="20" customHeight="1" x14ac:dyDescent="0.25">
      <c r="A87"/>
    </row>
    <row r="88" spans="1:10" ht="20" customHeight="1" x14ac:dyDescent="0.25">
      <c r="A88"/>
    </row>
    <row r="89" spans="1:10" ht="20" customHeight="1" x14ac:dyDescent="0.25">
      <c r="A89"/>
    </row>
    <row r="90" spans="1:10" ht="20" customHeight="1" x14ac:dyDescent="0.25">
      <c r="A90"/>
    </row>
    <row r="91" spans="1:10" ht="20" customHeight="1" x14ac:dyDescent="0.25">
      <c r="A91"/>
    </row>
    <row r="92" spans="1:10" ht="20" customHeight="1" x14ac:dyDescent="0.25">
      <c r="A92"/>
      <c r="J92" s="25"/>
    </row>
    <row r="93" spans="1:10" ht="20" customHeight="1" x14ac:dyDescent="0.25">
      <c r="A93"/>
      <c r="J93" s="25"/>
    </row>
    <row r="94" spans="1:10" ht="20" customHeight="1" x14ac:dyDescent="0.25">
      <c r="A94"/>
      <c r="J94" s="25"/>
    </row>
    <row r="95" spans="1:10" ht="20" customHeight="1" x14ac:dyDescent="0.25">
      <c r="A95"/>
      <c r="J95" s="25"/>
    </row>
    <row r="96" spans="1:10" ht="20" customHeight="1" x14ac:dyDescent="0.25">
      <c r="A96"/>
      <c r="J96" s="25"/>
    </row>
    <row r="97" spans="1:10" ht="20" customHeight="1" x14ac:dyDescent="0.25">
      <c r="A97"/>
      <c r="J97" s="2"/>
    </row>
    <row r="98" spans="1:10" ht="20" customHeight="1" x14ac:dyDescent="0.25">
      <c r="A98"/>
      <c r="J98" s="1"/>
    </row>
    <row r="99" spans="1:10" ht="20" customHeight="1" x14ac:dyDescent="0.25">
      <c r="A99"/>
      <c r="J99" s="1"/>
    </row>
    <row r="100" spans="1:10" ht="20" customHeight="1" x14ac:dyDescent="0.25">
      <c r="A100"/>
      <c r="J100" s="1"/>
    </row>
    <row r="101" spans="1:10" ht="20" customHeight="1" x14ac:dyDescent="0.25">
      <c r="A101"/>
      <c r="J101" s="1"/>
    </row>
    <row r="102" spans="1:10" ht="20" customHeight="1" x14ac:dyDescent="0.25">
      <c r="A102"/>
      <c r="J102" s="1"/>
    </row>
    <row r="103" spans="1:10" ht="20" customHeight="1" x14ac:dyDescent="0.25">
      <c r="A103"/>
    </row>
    <row r="104" spans="1:10" ht="20" customHeight="1" x14ac:dyDescent="0.25">
      <c r="A104"/>
    </row>
    <row r="105" spans="1:10" ht="20" customHeight="1" x14ac:dyDescent="0.25">
      <c r="A105"/>
    </row>
    <row r="106" spans="1:10" ht="20" customHeight="1" x14ac:dyDescent="0.25">
      <c r="A106"/>
    </row>
    <row r="107" spans="1:10" ht="20" customHeight="1" x14ac:dyDescent="0.25">
      <c r="A107"/>
      <c r="J107" s="1"/>
    </row>
    <row r="108" spans="1:10" ht="20" customHeight="1" x14ac:dyDescent="0.25">
      <c r="A108"/>
      <c r="J108" s="1"/>
    </row>
    <row r="109" spans="1:10" ht="20" customHeight="1" x14ac:dyDescent="0.25">
      <c r="A109"/>
      <c r="J109" s="1"/>
    </row>
    <row r="110" spans="1:10" ht="20" customHeight="1" x14ac:dyDescent="0.25">
      <c r="A110"/>
      <c r="J110" s="1"/>
    </row>
    <row r="111" spans="1:10" ht="20" customHeight="1" x14ac:dyDescent="0.25">
      <c r="A111"/>
      <c r="J111" s="1"/>
    </row>
    <row r="112" spans="1:10" ht="20" customHeight="1" x14ac:dyDescent="0.25">
      <c r="A112"/>
      <c r="J112" s="1"/>
    </row>
    <row r="113" spans="1:16" ht="20" customHeight="1" x14ac:dyDescent="0.25">
      <c r="A113"/>
      <c r="J113" s="1"/>
      <c r="L113" s="25"/>
      <c r="M113" s="25"/>
      <c r="N113" s="25"/>
      <c r="O113" s="25"/>
      <c r="P113" s="25"/>
    </row>
    <row r="114" spans="1:16" ht="20" customHeight="1" x14ac:dyDescent="0.25">
      <c r="A114"/>
      <c r="J114" s="1"/>
      <c r="L114" s="25"/>
      <c r="M114" s="25"/>
      <c r="N114" s="25"/>
      <c r="O114" s="25"/>
      <c r="P114" s="25"/>
    </row>
    <row r="115" spans="1:16" ht="20" customHeight="1" x14ac:dyDescent="0.25">
      <c r="A115"/>
      <c r="J115" s="1"/>
      <c r="L115" s="25"/>
      <c r="M115" s="25"/>
      <c r="N115" s="25"/>
      <c r="O115" s="25"/>
      <c r="P115" s="25"/>
    </row>
    <row r="116" spans="1:16" ht="20" customHeight="1" x14ac:dyDescent="0.25">
      <c r="A116"/>
      <c r="I116" s="25"/>
      <c r="J116" s="1"/>
      <c r="N116" s="25"/>
      <c r="O116" s="25"/>
      <c r="P116" s="25"/>
    </row>
    <row r="117" spans="1:16" ht="20" customHeight="1" x14ac:dyDescent="0.25">
      <c r="A117"/>
      <c r="I117" s="25"/>
      <c r="J117" s="1"/>
      <c r="N117" s="25"/>
      <c r="O117" s="25"/>
      <c r="P117" s="25"/>
    </row>
    <row r="118" spans="1:16" ht="20" customHeight="1" x14ac:dyDescent="0.25">
      <c r="A118"/>
      <c r="J118" s="25"/>
      <c r="N118" s="2"/>
      <c r="O118" s="2"/>
      <c r="P118" s="25"/>
    </row>
    <row r="119" spans="1:16" ht="20" customHeight="1" x14ac:dyDescent="0.25">
      <c r="A119"/>
      <c r="J119" s="25"/>
      <c r="P119" s="246"/>
    </row>
    <row r="120" spans="1:16" ht="20" customHeight="1" x14ac:dyDescent="0.25">
      <c r="A120"/>
      <c r="J120" s="25"/>
      <c r="P120" s="246"/>
    </row>
    <row r="121" spans="1:16" ht="20" customHeight="1" x14ac:dyDescent="0.25">
      <c r="A121"/>
      <c r="J121" s="2"/>
      <c r="P121" s="246"/>
    </row>
    <row r="122" spans="1:16" ht="20" customHeight="1" x14ac:dyDescent="0.25">
      <c r="A122"/>
      <c r="G122" s="25"/>
      <c r="H122" s="1"/>
      <c r="J122" s="1"/>
      <c r="P122" s="246"/>
    </row>
    <row r="123" spans="1:16" ht="20" customHeight="1" x14ac:dyDescent="0.25">
      <c r="A123"/>
      <c r="G123" s="25"/>
      <c r="H123" s="1"/>
      <c r="J123" s="1"/>
      <c r="P123" s="246"/>
    </row>
    <row r="124" spans="1:16" ht="20" customHeight="1" x14ac:dyDescent="0.25">
      <c r="A124"/>
      <c r="G124" s="25"/>
      <c r="H124" s="25"/>
      <c r="J124" s="1"/>
      <c r="N124" s="25"/>
      <c r="O124" s="25"/>
      <c r="P124" s="25"/>
    </row>
    <row r="125" spans="1:16" ht="20" customHeight="1" x14ac:dyDescent="0.25">
      <c r="A125"/>
      <c r="G125" s="25"/>
      <c r="H125" s="25"/>
      <c r="I125" s="25"/>
      <c r="J125" s="1"/>
      <c r="N125" s="25"/>
      <c r="O125" s="25"/>
      <c r="P125" s="25"/>
    </row>
    <row r="126" spans="1:16" ht="20" customHeight="1" x14ac:dyDescent="0.25">
      <c r="A126"/>
      <c r="G126" s="25"/>
      <c r="I126" s="25"/>
      <c r="J126" s="1"/>
    </row>
    <row r="127" spans="1:16" ht="20" customHeight="1" x14ac:dyDescent="0.25">
      <c r="A127"/>
      <c r="I127" s="25"/>
      <c r="J127" s="25"/>
    </row>
    <row r="128" spans="1:16" ht="20" customHeight="1" x14ac:dyDescent="0.25">
      <c r="A128"/>
      <c r="I128" s="25"/>
      <c r="J128" s="25"/>
    </row>
    <row r="129" spans="1:13" ht="20" customHeight="1" x14ac:dyDescent="0.25">
      <c r="A129"/>
      <c r="I129" s="25"/>
      <c r="L129" s="25"/>
      <c r="M129" s="25"/>
    </row>
    <row r="130" spans="1:13" ht="20" customHeight="1" x14ac:dyDescent="0.25">
      <c r="A130"/>
      <c r="I130" s="25"/>
      <c r="L130" s="25"/>
      <c r="M130" s="25"/>
    </row>
    <row r="131" spans="1:13" ht="20" customHeight="1" x14ac:dyDescent="0.25">
      <c r="A131"/>
      <c r="G131" s="1"/>
      <c r="I131" s="1"/>
      <c r="L131" s="2"/>
      <c r="M131" s="2"/>
    </row>
    <row r="132" spans="1:13" ht="20" customHeight="1" x14ac:dyDescent="0.25">
      <c r="A132"/>
      <c r="G132" s="25"/>
      <c r="I132" s="1"/>
    </row>
    <row r="133" spans="1:13" ht="20" customHeight="1" x14ac:dyDescent="0.25">
      <c r="A133"/>
      <c r="G133" s="25"/>
      <c r="I133" s="1"/>
    </row>
    <row r="134" spans="1:13" ht="20" customHeight="1" x14ac:dyDescent="0.25">
      <c r="A134"/>
      <c r="I134" s="1"/>
    </row>
    <row r="135" spans="1:13" ht="20" customHeight="1" x14ac:dyDescent="0.25">
      <c r="A135"/>
      <c r="I135" s="1"/>
    </row>
    <row r="136" spans="1:13" ht="20" customHeight="1" x14ac:dyDescent="0.25">
      <c r="A136"/>
      <c r="I136" s="25"/>
    </row>
    <row r="137" spans="1:13" ht="20" customHeight="1" x14ac:dyDescent="0.25">
      <c r="A137"/>
      <c r="I137" s="25"/>
      <c r="L137" s="25"/>
      <c r="M137" s="25"/>
    </row>
    <row r="138" spans="1:13" ht="20" customHeight="1" x14ac:dyDescent="0.25">
      <c r="A138"/>
      <c r="L138" s="25"/>
      <c r="M138" s="25"/>
    </row>
    <row r="139" spans="1:13" ht="20" customHeight="1" x14ac:dyDescent="0.25">
      <c r="A139"/>
    </row>
    <row r="140" spans="1:13" ht="20" customHeight="1" x14ac:dyDescent="0.25">
      <c r="A140"/>
    </row>
    <row r="141" spans="1:13" ht="20" customHeight="1" x14ac:dyDescent="0.25">
      <c r="A141"/>
    </row>
    <row r="142" spans="1:13" ht="20" customHeight="1" x14ac:dyDescent="0.25">
      <c r="A142"/>
    </row>
    <row r="143" spans="1:13" ht="20" customHeight="1" x14ac:dyDescent="0.25">
      <c r="A143"/>
    </row>
    <row r="144" spans="1:13"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spans="11:19" ht="20" customHeight="1" x14ac:dyDescent="0.25"/>
    <row r="162" spans="11:19" ht="20" customHeight="1" x14ac:dyDescent="0.25"/>
    <row r="163" spans="11:19" ht="20" customHeight="1" x14ac:dyDescent="0.25"/>
    <row r="164" spans="11:19" ht="20" customHeight="1" x14ac:dyDescent="0.25"/>
    <row r="165" spans="11:19" ht="20" customHeight="1" x14ac:dyDescent="0.25">
      <c r="S165" s="98"/>
    </row>
    <row r="166" spans="11:19" ht="20" customHeight="1" x14ac:dyDescent="0.25">
      <c r="S166" s="98"/>
    </row>
    <row r="167" spans="11:19" ht="20" customHeight="1" x14ac:dyDescent="0.25">
      <c r="S167" s="98"/>
    </row>
    <row r="168" spans="11:19" ht="20" customHeight="1" x14ac:dyDescent="0.25">
      <c r="S168" s="98"/>
    </row>
    <row r="169" spans="11:19" ht="20" customHeight="1" x14ac:dyDescent="0.25">
      <c r="S169" s="98"/>
    </row>
    <row r="170" spans="11:19" ht="20" customHeight="1" x14ac:dyDescent="0.25">
      <c r="S170" s="98"/>
    </row>
    <row r="171" spans="11:19" ht="20" customHeight="1" x14ac:dyDescent="0.25">
      <c r="S171" s="98"/>
    </row>
    <row r="172" spans="11:19" ht="20" customHeight="1" x14ac:dyDescent="0.25">
      <c r="S172" s="98"/>
    </row>
    <row r="173" spans="11:19" ht="20" customHeight="1" x14ac:dyDescent="0.25">
      <c r="S173" s="98"/>
    </row>
    <row r="174" spans="11:19" ht="20" customHeight="1" x14ac:dyDescent="0.25">
      <c r="S174" s="98"/>
    </row>
    <row r="175" spans="11:19" ht="20" customHeight="1" x14ac:dyDescent="0.25">
      <c r="S175" s="98"/>
    </row>
    <row r="176" spans="11:19" ht="20" customHeight="1" x14ac:dyDescent="0.25">
      <c r="K176" s="25"/>
    </row>
    <row r="177" spans="11:19" ht="20" customHeight="1" x14ac:dyDescent="0.25">
      <c r="K177" s="25"/>
    </row>
    <row r="178" spans="11:19" ht="20" customHeight="1" x14ac:dyDescent="0.25"/>
    <row r="179" spans="11:19" ht="20" customHeight="1" x14ac:dyDescent="0.25"/>
    <row r="180" spans="11:19" ht="20" customHeight="1" x14ac:dyDescent="0.25">
      <c r="S180" s="98"/>
    </row>
    <row r="181" spans="11:19" ht="20" customHeight="1" x14ac:dyDescent="0.25">
      <c r="S181" s="98"/>
    </row>
    <row r="182" spans="11:19" ht="20" customHeight="1" x14ac:dyDescent="0.25">
      <c r="S182" s="98"/>
    </row>
    <row r="183" spans="11:19" ht="20" customHeight="1" x14ac:dyDescent="0.25">
      <c r="S183" s="98"/>
    </row>
    <row r="184" spans="11:19" ht="20" customHeight="1" x14ac:dyDescent="0.25">
      <c r="S184" s="98"/>
    </row>
    <row r="185" spans="11:19" ht="20" customHeight="1" x14ac:dyDescent="0.25">
      <c r="S185" s="98"/>
    </row>
    <row r="186" spans="11:19" ht="20" customHeight="1" x14ac:dyDescent="0.25">
      <c r="S186" s="98"/>
    </row>
    <row r="187" spans="11:19" ht="20" customHeight="1" x14ac:dyDescent="0.25">
      <c r="S187" s="98"/>
    </row>
    <row r="188" spans="11:19" ht="20" customHeight="1" x14ac:dyDescent="0.25">
      <c r="S188" s="98"/>
    </row>
    <row r="189" spans="11:19" ht="20" customHeight="1" x14ac:dyDescent="0.25">
      <c r="S189" s="98"/>
    </row>
    <row r="190" spans="11:19" ht="20" customHeight="1" x14ac:dyDescent="0.25">
      <c r="S190" s="98"/>
    </row>
    <row r="191" spans="11:19" ht="20" customHeight="1" x14ac:dyDescent="0.25"/>
    <row r="192" spans="11:19"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sheetData>
  <dataValidations count="3">
    <dataValidation type="list" allowBlank="1" showInputMessage="1" showErrorMessage="1" sqref="N122:N123 H122:H123 J125:J126 L135:L136" xr:uid="{CE38943A-379C-442A-883F-CDEE079324F4}">
      <formula1>INDIRECT("Table_Scope3_AquacultureFeedBait[Feed / Bait ingredient]")</formula1>
    </dataValidation>
    <dataValidation type="list" allowBlank="1" showInputMessage="1" showErrorMessage="1" sqref="G23:G32" xr:uid="{14CF4B39-6563-429D-AA17-6654F89C2902}">
      <formula1>"Hour, Hectare"</formula1>
    </dataValidation>
    <dataValidation type="list" allowBlank="1" showInputMessage="1" showErrorMessage="1" sqref="E8:E17" xr:uid="{F94B658D-ECE1-42DA-8220-8A1FB88EC899}">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4DF80-1150-4537-A2C8-E27D498600AD}">
  <sheetPr>
    <tabColor theme="5" tint="-0.249977111117893"/>
  </sheetPr>
  <dimension ref="A1:S160"/>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style="239" customWidth="1"/>
    <col min="2" max="2" width="5.28515625" style="239" customWidth="1"/>
    <col min="3" max="3" width="5.28515625" style="1" customWidth="1"/>
    <col min="4" max="18" width="35" style="1" customWidth="1"/>
    <col min="19" max="19" width="5.28515625" style="1" customWidth="1"/>
    <col min="20" max="16384" width="9.140625" style="239"/>
  </cols>
  <sheetData>
    <row r="1" spans="1:19" s="10" customFormat="1" ht="30" x14ac:dyDescent="0.35" customHeight="1">
      <c r="C1" s="10" t="s">
        <v>1007</v>
      </c>
    </row>
    <row r="2" spans="1:19" s="3" customFormat="1" x14ac:dyDescent="0.25" ht="20" customHeight="1">
      <c r="A2"/>
    </row>
    <row r="3" spans="1:19" ht="20" x14ac:dyDescent="0.25" customHeight="1">
      <c r="A3" s="5" t="str">
        <f>HYPERLINK("#'Home'!A1", "Home")</f>
        <v>Home</v>
      </c>
      <c r="C3" s="29"/>
      <c r="D3" s="29"/>
      <c r="E3" s="29"/>
      <c r="F3" s="29"/>
      <c r="G3" s="29"/>
      <c r="H3" s="29"/>
      <c r="I3" s="29"/>
      <c r="J3" s="29"/>
      <c r="K3" s="29"/>
      <c r="L3" s="29"/>
      <c r="M3" s="29"/>
      <c r="N3" s="29"/>
      <c r="O3" s="29"/>
      <c r="P3" s="29"/>
      <c r="Q3" s="29"/>
      <c r="R3" s="29"/>
      <c r="S3" s="29"/>
    </row>
    <row r="4" spans="1:19" x14ac:dyDescent="0.25" ht="20" customHeight="1">
      <c r="A4" s="5" t="str">
        <f>HYPERLINK("#'Results - Activity period'!A1", "Results - Activity period")</f>
        <v>Results - Activity period</v>
      </c>
    </row>
    <row r="5" spans="1:19" ht="20" x14ac:dyDescent="0.25" customHeight="1">
      <c r="A5" s="5" t="str">
        <f>HYPERLINK("#'Results - Product EI'!A1", "Results - Product Emissions Intensity")</f>
        <v>Results - Product Emissions Intensity</v>
      </c>
      <c r="D5" s="243" t="s">
        <v>1008</v>
      </c>
      <c r="E5" s="246"/>
      <c r="F5" s="246"/>
      <c r="G5" s="246"/>
      <c r="H5" s="246"/>
      <c r="I5" s="246"/>
      <c r="J5" s="246"/>
    </row>
    <row r="6" spans="1:19" x14ac:dyDescent="0.25" ht="20" customHeight="1">
      <c r="A6"/>
      <c r="D6" s="247" t="s">
        <v>1009</v>
      </c>
      <c r="E6" s="247"/>
      <c r="F6" s="126"/>
      <c r="G6" s="45"/>
      <c r="H6" s="25"/>
      <c r="I6" s="25"/>
      <c r="J6" s="25"/>
    </row>
    <row r="7" spans="1:19" x14ac:dyDescent="0.25" ht="20" customHeight="1">
      <c r="A7"/>
      <c r="D7" s="46" t="s">
        <v>1010</v>
      </c>
      <c r="E7" s="47"/>
      <c r="F7" s="47"/>
      <c r="G7" s="48"/>
      <c r="H7" s="25"/>
      <c r="I7" s="25"/>
      <c r="J7" s="25"/>
    </row>
    <row r="8" spans="1:19" x14ac:dyDescent="0.25" ht="20" customHeight="1">
      <c r="A8" s="7" t="s">
        <v>0</v>
      </c>
      <c r="D8" s="246"/>
      <c r="E8" s="246"/>
      <c r="F8" s="246"/>
      <c r="G8" s="246"/>
      <c r="H8" s="246"/>
      <c r="I8" s="246"/>
      <c r="J8" s="246"/>
      <c r="K8" s="80"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80"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80"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x14ac:dyDescent="0.25" ht="20" customHeight="1">
      <c r="A9" s="5" t="str">
        <f>HYPERLINK("#'Input - Enterprise'!A1", "Enterprise")</f>
        <v>Enterprise</v>
      </c>
      <c r="D9" s="248" t="s">
        <v>998</v>
      </c>
      <c r="E9" s="248" t="s">
        <v>1011</v>
      </c>
      <c r="F9" s="248" t="s">
        <v>1012</v>
      </c>
      <c r="G9" s="248" t="s">
        <v>587</v>
      </c>
      <c r="H9" s="248" t="s">
        <v>1013</v>
      </c>
      <c r="I9" s="248" t="s">
        <v>1014</v>
      </c>
      <c r="J9" s="248" t="s">
        <v>1015</v>
      </c>
      <c r="K9" s="241" t="s">
        <v>1016</v>
      </c>
      <c r="L9" s="241" t="s">
        <v>1017</v>
      </c>
      <c r="M9" s="241" t="s">
        <v>1018</v>
      </c>
      <c r="N9" s="241" t="s">
        <v>1019</v>
      </c>
      <c r="O9" s="241" t="s">
        <v>1020</v>
      </c>
      <c r="P9" s="241" t="s">
        <v>1021</v>
      </c>
      <c r="Q9" s="241" t="s">
        <v>1022</v>
      </c>
      <c r="R9" s="241" t="s">
        <v>1023</v>
      </c>
    </row>
    <row r="10" spans="1:19" x14ac:dyDescent="0.25" ht="20" customHeight="1">
      <c r="A10" s="5" t="str">
        <f>HYPERLINK("#'Input - Site'!A1", "Site")</f>
        <v>Site</v>
      </c>
      <c r="D10" s="249"/>
      <c r="E10" s="250"/>
      <c r="F10" s="13"/>
      <c r="G10" s="76"/>
      <c r="H10" s="15">
        <f>Table_Input_Pesticides[[#This Row],[Amount applied per ha]]*Table_Input_Pesticides[[#This Row],[Application area (ha)]]</f>
        <v>0</v>
      </c>
      <c r="I10" s="13"/>
      <c r="J10" s="13"/>
      <c r="K10" s="76"/>
      <c r="L10" s="15">
        <f>Table_Input_Pesticides[[#This Row],[Total applied]]*Table_Input_Pesticides[[#This Row],[Active ingredient 1 amount]]*IF(Table_Input_Pesticides[[#This Row],[Constituent unit (select)]]="fraction of product", 1, 10^-3)</f>
        <v>0</v>
      </c>
      <c r="M10" s="13"/>
      <c r="N10" s="76"/>
      <c r="O10" s="15">
        <f>Table_Input_Pesticides[[#This Row],[Total applied]]*Table_Input_Pesticides[[#This Row],[Active ingredient 2 amount]]*IF(Table_Input_Pesticides[[#This Row],[Constituent unit (select)]]="fraction of product", 1, 10^-3)</f>
        <v>0</v>
      </c>
      <c r="P10" s="13"/>
      <c r="Q10" s="76"/>
      <c r="R10" s="15">
        <f>Table_Input_Pesticides[[#This Row],[Total applied]]*Table_Input_Pesticides[[#This Row],[Active ingredient 3 amount]]*IF(Table_Input_Pesticides[[#This Row],[Constituent unit (select)]]="fraction of product", 1, 10^-3)</f>
        <v>0</v>
      </c>
    </row>
    <row r="11" spans="1:19" x14ac:dyDescent="0.25" ht="20" customHeight="1">
      <c r="A11" s="5" t="str">
        <f>HYPERLINK("#'Input - Pasture Beef'!A1", "Pasture Beef")</f>
        <v>Pasture Beef</v>
      </c>
      <c r="D11" s="249"/>
      <c r="E11" s="250"/>
      <c r="F11" s="13"/>
      <c r="G11" s="76"/>
      <c r="H11" s="15">
        <f>Table_Input_Pesticides[[#This Row],[Amount applied per ha]]*Table_Input_Pesticides[[#This Row],[Application area (ha)]]</f>
        <v>0</v>
      </c>
      <c r="I11" s="13"/>
      <c r="J11" s="13"/>
      <c r="K11" s="76"/>
      <c r="L11" s="15">
        <f>Table_Input_Pesticides[[#This Row],[Total applied]]*Table_Input_Pesticides[[#This Row],[Active ingredient 1 amount]]*IF(Table_Input_Pesticides[[#This Row],[Constituent unit (select)]]="fraction of product", 1, 10^-3)</f>
        <v>0</v>
      </c>
      <c r="M11" s="13"/>
      <c r="N11" s="76"/>
      <c r="O11" s="15">
        <f>Table_Input_Pesticides[[#This Row],[Total applied]]*Table_Input_Pesticides[[#This Row],[Active ingredient 2 amount]]*IF(Table_Input_Pesticides[[#This Row],[Constituent unit (select)]]="fraction of product", 1, 10^-3)</f>
        <v>0</v>
      </c>
      <c r="P11" s="13"/>
      <c r="Q11" s="76"/>
      <c r="R11" s="15">
        <f>Table_Input_Pesticides[[#This Row],[Total applied]]*Table_Input_Pesticides[[#This Row],[Active ingredient 3 amount]]*IF(Table_Input_Pesticides[[#This Row],[Constituent unit (select)]]="fraction of product", 1, 10^-3)</f>
        <v>0</v>
      </c>
    </row>
    <row r="12" spans="1:19" x14ac:dyDescent="0.25" ht="20" customHeight="1">
      <c r="A12" s="5" t="str">
        <f>HYPERLINK("#'Input - Livestock sales'!A1", "Livestock sales")</f>
        <v>Livestock sales</v>
      </c>
      <c r="D12" s="249"/>
      <c r="E12" s="250"/>
      <c r="F12" s="13"/>
      <c r="G12" s="76"/>
      <c r="H12" s="15">
        <f>Table_Input_Pesticides[[#This Row],[Amount applied per ha]]*Table_Input_Pesticides[[#This Row],[Application area (ha)]]</f>
        <v>0</v>
      </c>
      <c r="I12" s="13"/>
      <c r="J12" s="13"/>
      <c r="K12" s="76"/>
      <c r="L12" s="15">
        <f>Table_Input_Pesticides[[#This Row],[Total applied]]*Table_Input_Pesticides[[#This Row],[Active ingredient 1 amount]]*IF(Table_Input_Pesticides[[#This Row],[Constituent unit (select)]]="fraction of product", 1, 10^-3)</f>
        <v>0</v>
      </c>
      <c r="M12" s="13"/>
      <c r="N12" s="76"/>
      <c r="O12" s="15">
        <f>Table_Input_Pesticides[[#This Row],[Total applied]]*Table_Input_Pesticides[[#This Row],[Active ingredient 2 amount]]*IF(Table_Input_Pesticides[[#This Row],[Constituent unit (select)]]="fraction of product", 1, 10^-3)</f>
        <v>0</v>
      </c>
      <c r="P12" s="13"/>
      <c r="Q12" s="76"/>
      <c r="R12" s="15">
        <f>Table_Input_Pesticides[[#This Row],[Total applied]]*Table_Input_Pesticides[[#This Row],[Active ingredient 3 amount]]*IF(Table_Input_Pesticides[[#This Row],[Constituent unit (select)]]="fraction of product", 1, 10^-3)</f>
        <v>0</v>
      </c>
    </row>
    <row r="13" spans="1:19" x14ac:dyDescent="0.25" ht="20" customHeight="1">
      <c r="A13" s="5" t="str">
        <f>HYPERLINK("#'Input - Beef cattle purchases'!A1", "Beef cattle purchases")</f>
        <v>Beef cattle purchases</v>
      </c>
      <c r="D13" s="249"/>
      <c r="E13" s="250"/>
      <c r="F13" s="13"/>
      <c r="G13" s="76"/>
      <c r="H13" s="15">
        <f>Table_Input_Pesticides[[#This Row],[Amount applied per ha]]*Table_Input_Pesticides[[#This Row],[Application area (ha)]]</f>
        <v>0</v>
      </c>
      <c r="I13" s="13"/>
      <c r="J13" s="13"/>
      <c r="K13" s="76"/>
      <c r="L13" s="15">
        <f>Table_Input_Pesticides[[#This Row],[Total applied]]*Table_Input_Pesticides[[#This Row],[Active ingredient 1 amount]]*IF(Table_Input_Pesticides[[#This Row],[Constituent unit (select)]]="fraction of product", 1, 10^-3)</f>
        <v>0</v>
      </c>
      <c r="M13" s="13"/>
      <c r="N13" s="76"/>
      <c r="O13" s="15">
        <f>Table_Input_Pesticides[[#This Row],[Total applied]]*Table_Input_Pesticides[[#This Row],[Active ingredient 2 amount]]*IF(Table_Input_Pesticides[[#This Row],[Constituent unit (select)]]="fraction of product", 1, 10^-3)</f>
        <v>0</v>
      </c>
      <c r="P13" s="13"/>
      <c r="Q13" s="76"/>
      <c r="R13" s="15">
        <f>Table_Input_Pesticides[[#This Row],[Total applied]]*Table_Input_Pesticides[[#This Row],[Active ingredient 3 amount]]*IF(Table_Input_Pesticides[[#This Row],[Constituent unit (select)]]="fraction of product", 1, 10^-3)</f>
        <v>0</v>
      </c>
    </row>
    <row r="14" spans="1:19" x14ac:dyDescent="0.25" ht="20" customHeight="1">
      <c r="A14" s="5" t="str">
        <f>HYPERLINK("#'Input - Pasture'!A1", "Pasture")</f>
        <v>Pasture</v>
      </c>
      <c r="D14" s="249"/>
      <c r="E14" s="250"/>
      <c r="F14" s="13"/>
      <c r="G14" s="76"/>
      <c r="H14" s="15">
        <f>Table_Input_Pesticides[[#This Row],[Amount applied per ha]]*Table_Input_Pesticides[[#This Row],[Application area (ha)]]</f>
        <v>0</v>
      </c>
      <c r="I14" s="13"/>
      <c r="J14" s="13"/>
      <c r="K14" s="76"/>
      <c r="L14" s="15">
        <f>Table_Input_Pesticides[[#This Row],[Total applied]]*Table_Input_Pesticides[[#This Row],[Active ingredient 1 amount]]*IF(Table_Input_Pesticides[[#This Row],[Constituent unit (select)]]="fraction of product", 1, 10^-3)</f>
        <v>0</v>
      </c>
      <c r="M14" s="13"/>
      <c r="N14" s="76"/>
      <c r="O14" s="15">
        <f>Table_Input_Pesticides[[#This Row],[Total applied]]*Table_Input_Pesticides[[#This Row],[Active ingredient 2 amount]]*IF(Table_Input_Pesticides[[#This Row],[Constituent unit (select)]]="fraction of product", 1, 10^-3)</f>
        <v>0</v>
      </c>
      <c r="P14" s="13"/>
      <c r="Q14" s="76"/>
      <c r="R14" s="15">
        <f>Table_Input_Pesticides[[#This Row],[Total applied]]*Table_Input_Pesticides[[#This Row],[Active ingredient 3 amount]]*IF(Table_Input_Pesticides[[#This Row],[Constituent unit (select)]]="fraction of product", 1, 10^-3)</f>
        <v>0</v>
      </c>
    </row>
    <row r="15" spans="1:19" x14ac:dyDescent="0.25" ht="20" customHeight="1">
      <c r="A15" s="5" t="str">
        <f>HYPERLINK("#'Input - Fert Prod System'!A1", "Fert Prod System")</f>
        <v>Fert Prod System</v>
      </c>
      <c r="D15" s="249"/>
      <c r="E15" s="250"/>
      <c r="F15" s="13"/>
      <c r="G15" s="76"/>
      <c r="H15" s="15">
        <f>Table_Input_Pesticides[[#This Row],[Amount applied per ha]]*Table_Input_Pesticides[[#This Row],[Application area (ha)]]</f>
        <v>0</v>
      </c>
      <c r="I15" s="13"/>
      <c r="J15" s="13"/>
      <c r="K15" s="76"/>
      <c r="L15" s="15">
        <f>Table_Input_Pesticides[[#This Row],[Total applied]]*Table_Input_Pesticides[[#This Row],[Active ingredient 1 amount]]*IF(Table_Input_Pesticides[[#This Row],[Constituent unit (select)]]="fraction of product", 1, 10^-3)</f>
        <v>0</v>
      </c>
      <c r="M15" s="13"/>
      <c r="N15" s="76"/>
      <c r="O15" s="15">
        <f>Table_Input_Pesticides[[#This Row],[Total applied]]*Table_Input_Pesticides[[#This Row],[Active ingredient 2 amount]]*IF(Table_Input_Pesticides[[#This Row],[Constituent unit (select)]]="fraction of product", 1, 10^-3)</f>
        <v>0</v>
      </c>
      <c r="P15" s="13"/>
      <c r="Q15" s="76"/>
      <c r="R15" s="15">
        <f>Table_Input_Pesticides[[#This Row],[Total applied]]*Table_Input_Pesticides[[#This Row],[Active ingredient 3 amount]]*IF(Table_Input_Pesticides[[#This Row],[Constituent unit (select)]]="fraction of product", 1, 10^-3)</f>
        <v>0</v>
      </c>
    </row>
    <row r="16" spans="1:19" x14ac:dyDescent="0.25" ht="20" customHeight="1">
      <c r="A16" s="5" t="str">
        <f>HYPERLINK("#'Input - Fertiliser'!A1", "Fertiliser")</f>
        <v>Fertiliser</v>
      </c>
      <c r="D16" s="249"/>
      <c r="E16" s="250"/>
      <c r="F16" s="13"/>
      <c r="G16" s="76"/>
      <c r="H16" s="15">
        <f>Table_Input_Pesticides[[#This Row],[Amount applied per ha]]*Table_Input_Pesticides[[#This Row],[Application area (ha)]]</f>
        <v>0</v>
      </c>
      <c r="I16" s="13"/>
      <c r="J16" s="13"/>
      <c r="K16" s="76"/>
      <c r="L16" s="15">
        <f>Table_Input_Pesticides[[#This Row],[Total applied]]*Table_Input_Pesticides[[#This Row],[Active ingredient 1 amount]]*IF(Table_Input_Pesticides[[#This Row],[Constituent unit (select)]]="fraction of product", 1, 10^-3)</f>
        <v>0</v>
      </c>
      <c r="M16" s="13"/>
      <c r="N16" s="76"/>
      <c r="O16" s="15">
        <f>Table_Input_Pesticides[[#This Row],[Total applied]]*Table_Input_Pesticides[[#This Row],[Active ingredient 2 amount]]*IF(Table_Input_Pesticides[[#This Row],[Constituent unit (select)]]="fraction of product", 1, 10^-3)</f>
        <v>0</v>
      </c>
      <c r="P16" s="13"/>
      <c r="Q16" s="76"/>
      <c r="R16" s="15">
        <f>Table_Input_Pesticides[[#This Row],[Total applied]]*Table_Input_Pesticides[[#This Row],[Active ingredient 3 amount]]*IF(Table_Input_Pesticides[[#This Row],[Constituent unit (select)]]="fraction of product", 1, 10^-3)</f>
        <v>0</v>
      </c>
    </row>
    <row r="17" spans="1:18" x14ac:dyDescent="0.25" ht="20" customHeight="1">
      <c r="A17" s="5" t="str">
        <f>HYPERLINK("#'Input - Fuel'!A1", "Fuel")</f>
        <v>Fuel</v>
      </c>
      <c r="D17" s="249"/>
      <c r="E17" s="250"/>
      <c r="F17" s="13"/>
      <c r="G17" s="76"/>
      <c r="H17" s="15">
        <f>Table_Input_Pesticides[[#This Row],[Amount applied per ha]]*Table_Input_Pesticides[[#This Row],[Application area (ha)]]</f>
        <v>0</v>
      </c>
      <c r="I17" s="13"/>
      <c r="J17" s="13"/>
      <c r="K17" s="76"/>
      <c r="L17" s="15">
        <f>Table_Input_Pesticides[[#This Row],[Total applied]]*Table_Input_Pesticides[[#This Row],[Active ingredient 1 amount]]*IF(Table_Input_Pesticides[[#This Row],[Constituent unit (select)]]="fraction of product", 1, 10^-3)</f>
        <v>0</v>
      </c>
      <c r="M17" s="13"/>
      <c r="N17" s="76"/>
      <c r="O17" s="15">
        <f>Table_Input_Pesticides[[#This Row],[Total applied]]*Table_Input_Pesticides[[#This Row],[Active ingredient 2 amount]]*IF(Table_Input_Pesticides[[#This Row],[Constituent unit (select)]]="fraction of product", 1, 10^-3)</f>
        <v>0</v>
      </c>
      <c r="P17" s="13"/>
      <c r="Q17" s="76"/>
      <c r="R17" s="15">
        <f>Table_Input_Pesticides[[#This Row],[Total applied]]*Table_Input_Pesticides[[#This Row],[Active ingredient 3 amount]]*IF(Table_Input_Pesticides[[#This Row],[Constituent unit (select)]]="fraction of product", 1, 10^-3)</f>
        <v>0</v>
      </c>
    </row>
    <row r="18" spans="1:18" x14ac:dyDescent="0.25" ht="20" customHeight="1">
      <c r="A18" s="5" t="str">
        <f>HYPERLINK("#'Input - Electricity'!A1", "Electricity")</f>
        <v>Electricity</v>
      </c>
      <c r="D18" s="249"/>
      <c r="E18" s="250"/>
      <c r="F18" s="13"/>
      <c r="G18" s="76"/>
      <c r="H18" s="15">
        <f>Table_Input_Pesticides[[#This Row],[Amount applied per ha]]*Table_Input_Pesticides[[#This Row],[Application area (ha)]]</f>
        <v>0</v>
      </c>
      <c r="I18" s="13"/>
      <c r="J18" s="13"/>
      <c r="K18" s="76"/>
      <c r="L18" s="15">
        <f>Table_Input_Pesticides[[#This Row],[Total applied]]*Table_Input_Pesticides[[#This Row],[Active ingredient 1 amount]]*IF(Table_Input_Pesticides[[#This Row],[Constituent unit (select)]]="fraction of product", 1, 10^-3)</f>
        <v>0</v>
      </c>
      <c r="M18" s="13"/>
      <c r="N18" s="76"/>
      <c r="O18" s="15">
        <f>Table_Input_Pesticides[[#This Row],[Total applied]]*Table_Input_Pesticides[[#This Row],[Active ingredient 2 amount]]*IF(Table_Input_Pesticides[[#This Row],[Constituent unit (select)]]="fraction of product", 1, 10^-3)</f>
        <v>0</v>
      </c>
      <c r="P18" s="13"/>
      <c r="Q18" s="76"/>
      <c r="R18" s="15">
        <f>Table_Input_Pesticides[[#This Row],[Total applied]]*Table_Input_Pesticides[[#This Row],[Active ingredient 3 amount]]*IF(Table_Input_Pesticides[[#This Row],[Constituent unit (select)]]="fraction of product", 1, 10^-3)</f>
        <v>0</v>
      </c>
    </row>
    <row r="19" spans="1:18" x14ac:dyDescent="0.25" ht="20" customHeight="1">
      <c r="A19" s="5" t="str">
        <f>HYPERLINK("#'Input - Common farm inputs'!A1", "Common farm inputs")</f>
        <v>Common farm inputs</v>
      </c>
      <c r="D19" s="249"/>
      <c r="E19" s="250"/>
      <c r="F19" s="13"/>
      <c r="G19" s="76"/>
      <c r="H19" s="15">
        <f>Table_Input_Pesticides[[#This Row],[Amount applied per ha]]*Table_Input_Pesticides[[#This Row],[Application area (ha)]]</f>
        <v>0</v>
      </c>
      <c r="I19" s="13"/>
      <c r="J19" s="13"/>
      <c r="K19" s="76"/>
      <c r="L19" s="15">
        <f>Table_Input_Pesticides[[#This Row],[Total applied]]*Table_Input_Pesticides[[#This Row],[Active ingredient 1 amount]]*IF(Table_Input_Pesticides[[#This Row],[Constituent unit (select)]]="fraction of product", 1, 10^-3)</f>
        <v>0</v>
      </c>
      <c r="M19" s="13"/>
      <c r="N19" s="76"/>
      <c r="O19" s="15">
        <f>Table_Input_Pesticides[[#This Row],[Total applied]]*Table_Input_Pesticides[[#This Row],[Active ingredient 2 amount]]*IF(Table_Input_Pesticides[[#This Row],[Constituent unit (select)]]="fraction of product", 1, 10^-3)</f>
        <v>0</v>
      </c>
      <c r="P19" s="13"/>
      <c r="Q19" s="76"/>
      <c r="R19" s="15">
        <f>Table_Input_Pesticides[[#This Row],[Total applied]]*Table_Input_Pesticides[[#This Row],[Active ingredient 3 amount]]*IF(Table_Input_Pesticides[[#This Row],[Constituent unit (select)]]="fraction of product", 1, 10^-3)</f>
        <v>0</v>
      </c>
    </row>
    <row r="20" spans="1:18" x14ac:dyDescent="0.25" ht="20" customHeight="1">
      <c r="A20" s="99" t="str">
        <f>HYPERLINK("#'Input - Crop pasture farm input'!A1", "Crop pasture farm input")</f>
        <v>Crop pasture farm input</v>
      </c>
    </row>
    <row r="21" spans="1:18" x14ac:dyDescent="0.25" ht="20" customHeight="1">
      <c r="A21" s="5" t="str">
        <f>HYPERLINK("#'Input - Livestock farm Inputs'!A1", "Livestock farm Inputs")</f>
        <v>Livestock farm Inputs</v>
      </c>
    </row>
    <row r="22" spans="1:18" ht="20" x14ac:dyDescent="0.25" customHeight="1">
      <c r="A22" s="5" t="str">
        <f>HYPERLINK("#'Input - Freight'!A1", "Freight")</f>
        <v>Freight</v>
      </c>
      <c r="D22" s="2" t="s">
        <v>1024</v>
      </c>
      <c r="E22" s="240"/>
      <c r="F22" s="240"/>
    </row>
    <row r="23" spans="1:18" x14ac:dyDescent="0.25" ht="20" customHeight="1">
      <c r="A23" s="5" t="str">
        <f>HYPERLINK("#'Input - Solid waste'!A1", "Solid waste")</f>
        <v>Solid waste</v>
      </c>
      <c r="D23" s="1" t="str">
        <f>'Constants - Scope 3'!E204</f>
        <v>Barley grain (for seed)</v>
      </c>
      <c r="E23" s="76"/>
      <c r="F23" s="16" t="s">
        <v>637</v>
      </c>
    </row>
    <row r="24" spans="1:18" x14ac:dyDescent="0.25" ht="20" customHeight="1">
      <c r="A24" s="5" t="str">
        <f>HYPERLINK("#'Input - Manure sent off-site'!A1", "Manure sent off-site")</f>
        <v>Manure sent off-site</v>
      </c>
      <c r="D24" s="1" t="str">
        <f>'Constants - Scope 3'!E205</f>
        <v>Maize grain (for seed)</v>
      </c>
      <c r="E24" s="76"/>
      <c r="F24" s="16" t="s">
        <v>637</v>
      </c>
    </row>
    <row r="25" spans="1:18" x14ac:dyDescent="0.25" ht="20" customHeight="1">
      <c r="A25" s="5" t="str">
        <f>HYPERLINK("#'Input - Data quality'!A1", "Data quality")</f>
        <v>Data quality</v>
      </c>
      <c r="D25" s="1" t="str">
        <f>'Constants - Scope 3'!E207</f>
        <v>Oat grain (for seed)</v>
      </c>
      <c r="E25" s="76"/>
      <c r="F25" s="16" t="s">
        <v>637</v>
      </c>
    </row>
    <row r="26" spans="1:18" x14ac:dyDescent="0.25" ht="20" customHeight="1">
      <c r="A26"/>
      <c r="D26" s="1" t="str">
        <f>'Constants - Scope 3'!E208</f>
        <v>Sorghum grain (for seed)</v>
      </c>
      <c r="E26" s="76"/>
      <c r="F26" s="16" t="s">
        <v>637</v>
      </c>
    </row>
    <row r="27" spans="1:18" x14ac:dyDescent="0.25" ht="20" customHeight="1">
      <c r="A27"/>
      <c r="D27" s="1" t="str">
        <f>'Constants - Scope 3'!E209</f>
        <v>Wheat grain (for seed)</v>
      </c>
      <c r="E27" s="76"/>
      <c r="F27" s="16" t="s">
        <v>637</v>
      </c>
    </row>
    <row r="28" spans="1:18" x14ac:dyDescent="0.25" ht="20" customHeight="1">
      <c r="A28" s="6" t="s">
        <v>2</v>
      </c>
    </row>
    <row r="29" spans="1:18" x14ac:dyDescent="0.25" ht="20" customHeight="1">
      <c r="A29" s="5" t="str">
        <f>HYPERLINK("#'3.2.1.1-2 Enteric Methane'!A1", "3.2.1.1-2 Enteric Methane")</f>
        <v>3.2.1.1-2 Enteric Methane</v>
      </c>
    </row>
    <row r="30" spans="1:18" x14ac:dyDescent="0.25" ht="20" customHeight="1">
      <c r="A30" s="5" t="str">
        <f>HYPERLINK("#'4.2.1.1-2 Methane'!A1", "4.2.1.1-2 Manure methane")</f>
        <v>4.2.1.1-2 Manure methane</v>
      </c>
    </row>
    <row r="31" spans="1:18" x14ac:dyDescent="0.25" ht="20" customHeight="1">
      <c r="A31" s="5" t="str">
        <f>HYPERLINK("#'4.2.1.3-4 Soil direct N20'!A1", "4.2.1.3-4 Soil direct N2O")</f>
        <v>4.2.1.3-4 Soil direct N2O</v>
      </c>
    </row>
    <row r="32" spans="1:18" x14ac:dyDescent="0.25" ht="20" customHeight="1">
      <c r="A32" s="5" t="str">
        <f>HYPERLINK("#'4.2.1.5-6 Soil Atmos Dep'!A1", "4.2.1.5-6 Soil atm. deposition")</f>
        <v>4.2.1.5-6 Soil atm. deposition</v>
      </c>
    </row>
    <row r="33" spans="1:1" x14ac:dyDescent="0.25" ht="20" customHeight="1">
      <c r="A33" s="5" t="str">
        <f>HYPERLINK("#'4.2.1.7-8 Soil leach runoff'!A1", "4.2.1.7-8 Soil leach &amp; runoff")</f>
        <v>4.2.1.7-8 Soil leach &amp; runoff</v>
      </c>
    </row>
    <row r="34" spans="1:1" x14ac:dyDescent="0.25" ht="20" customHeight="1">
      <c r="A34" s="5" t="str">
        <f>HYPERLINK("#'5.1.1.1-2 Inorganic fert N2O'!A1", "5.1.1.1-2 Inorganic fert N2O")</f>
        <v>5.1.1.1-2 Inorganic fert N2O</v>
      </c>
    </row>
    <row r="35" spans="1:1" x14ac:dyDescent="0.25" ht="20" customHeight="1">
      <c r="A35" s="5" t="str">
        <f>HYPERLINK("#'5.1.1.3-4 Inorganic fert CO2'!A1", "5.1.1.3-4 Inorganic fert CO2")</f>
        <v>5.1.1.3-4 Inorganic fert CO2</v>
      </c>
    </row>
    <row r="36" spans="1:1" x14ac:dyDescent="0.25" ht="20" customHeight="1">
      <c r="A36" s="5" t="str">
        <f>HYPERLINK("#'5.2.1.1-2 Organic Fert N2O'!A1", "5.2.1.1-2 Organic fert N2O")</f>
        <v>5.2.1.1-2 Organic fert N2O</v>
      </c>
    </row>
    <row r="37" spans="1:1" x14ac:dyDescent="0.25" ht="20" customHeight="1">
      <c r="A37" s="5" t="str">
        <f>HYPERLINK("#'5.3.1.1-2 Lime CO2'!A1", "5.3.1.1-2 Lime CO2")</f>
        <v>5.3.1.1-2 Lime CO2</v>
      </c>
    </row>
    <row r="38" spans="1:1" x14ac:dyDescent="0.25" ht="20" customHeight="1">
      <c r="A38" s="5" t="str">
        <f>HYPERLINK("#'5.4.1.1-4 Atmos deposition'!A1", "5.4.1.1-4 Atmos. deposition")</f>
        <v>5.4.1.1-4 Atmos. deposition</v>
      </c>
    </row>
    <row r="39" spans="1:1" x14ac:dyDescent="0.25" ht="20" customHeight="1">
      <c r="A39" s="5" t="str">
        <f>HYPERLINK("#'5.5.1.1-2 Leaching and runoff'!A1", "5.5.1.1-2 Leaching &amp; runoff")</f>
        <v>5.5.1.1-2 Leaching &amp; runoff</v>
      </c>
    </row>
    <row r="40" spans="1:1" x14ac:dyDescent="0.25" ht="20" customHeight="1">
      <c r="A40" s="5" t="str">
        <f>HYPERLINK("#'6.2.1.1-2 Pasture residue N2O'!A1", "6.2.1.1-2 Pasture residue N2O")</f>
        <v>6.2.1.1-2 Pasture residue N2O</v>
      </c>
    </row>
    <row r="41" spans="1:1" x14ac:dyDescent="0.25" ht="20" customHeight="1">
      <c r="A41" s="5" t="str">
        <f>HYPERLINK("#'6.3.1.1-2 Leach runoff pasture'!A1", "6.3.1.1-2 Leach &amp; runoff (pasture)")</f>
        <v>6.3.1.1-2 Leach &amp; runoff (pasture)</v>
      </c>
    </row>
    <row r="42" spans="1:1" x14ac:dyDescent="0.25" ht="20" customHeight="1">
      <c r="A42" s="5" t="str">
        <f>HYPERLINK("#'8.1.1.1-2 Transport fuel'!A1", "8.1.1.1-2 Transport fuel")</f>
        <v>8.1.1.1-2 Transport fuel</v>
      </c>
    </row>
    <row r="43" spans="1:1" x14ac:dyDescent="0.25" ht="20" customHeight="1">
      <c r="A43" s="5" t="str">
        <f>HYPERLINK("#'8.2.1.1-2 Stationary fuel'!A1", "8.2.1.1-2 Stationary fuel")</f>
        <v>8.2.1.1-2 Stationary fuel</v>
      </c>
    </row>
    <row r="44" spans="1:1" x14ac:dyDescent="0.25" ht="20" customHeight="1">
      <c r="A44" s="5" t="str">
        <f>HYPERLINK("#'10.1.1-2 Solid waste treatment'!A1", "10.1.1.1-2 Solid waste")</f>
        <v>10.1.1.1-2 Solid waste</v>
      </c>
    </row>
    <row r="45" spans="1:1" x14ac:dyDescent="0.25" ht="20" customHeight="1">
      <c r="A45" s="5" t="str">
        <f>HYPERLINK("#'14.1.1-2 Purchased electricity'!A1", "14.1.1-2 Purchased electricity")</f>
        <v>14.1.1-2 Purchased electricity</v>
      </c>
    </row>
    <row r="46" spans="1:1" x14ac:dyDescent="0.25" ht="20" customHeight="1">
      <c r="A46" s="5" t="str">
        <f>HYPERLINK("#'15 Scope 3'!A1", "15 Scope 3")</f>
        <v>15 Scope 3</v>
      </c>
    </row>
    <row r="47" spans="1:1" x14ac:dyDescent="0.25" ht="20" customHeight="1">
      <c r="A47" s="5" t="str">
        <f>HYPERLINK("#'Calcs - Manure sent off-site'!A1", "Calcs - Manure sent off-site")</f>
        <v>Calcs - Manure sent off-site</v>
      </c>
    </row>
    <row r="48" spans="1:1" x14ac:dyDescent="0.25" ht="20" customHeight="1">
      <c r="A48"/>
    </row>
    <row r="49" spans="1:1" x14ac:dyDescent="0.25" ht="20" customHeight="1">
      <c r="A49"/>
    </row>
    <row r="50" spans="1:1" x14ac:dyDescent="0.25" ht="20" customHeight="1">
      <c r="A50" s="85" t="s">
        <v>1</v>
      </c>
    </row>
    <row r="51" spans="1:1" x14ac:dyDescent="0.25" ht="20" customHeight="1">
      <c r="A51" s="5" t="str">
        <f>HYPERLINK("#'Constants - Pasture Beef'!A1", "Constants - Pasture Beef")</f>
        <v>Constants - Pasture Beef</v>
      </c>
    </row>
    <row r="52" spans="1:1" x14ac:dyDescent="0.25" ht="20" customHeight="1">
      <c r="A52" s="5" t="str">
        <f>HYPERLINK("#'Constants - Ag Residue'!A1", "Constants - Ag residue")</f>
        <v>Constants - Ag residue</v>
      </c>
    </row>
    <row r="53" spans="1:1" x14ac:dyDescent="0.25" ht="20" customHeight="1">
      <c r="A53" s="5" t="str">
        <f>HYPERLINK("#'Constants - Common Livestock'!A1", "Constants - Common Livestock")</f>
        <v>Constants - Common Livestock</v>
      </c>
    </row>
    <row r="54" spans="1:1" x14ac:dyDescent="0.25" ht="20" customHeight="1">
      <c r="A54" s="5" t="str">
        <f>HYPERLINK("#'Constants - Electricity'!A1", "Constants - Electricity")</f>
        <v>Constants - Electricity</v>
      </c>
    </row>
    <row r="55" spans="1:1" x14ac:dyDescent="0.25" ht="20" customHeight="1">
      <c r="A55" s="5" t="str">
        <f>HYPERLINK("#'Constants - Fertiliser'!A1", "Constants - Fertiliser")</f>
        <v>Constants - Fertiliser</v>
      </c>
    </row>
    <row r="56" spans="1:1" x14ac:dyDescent="0.25" ht="20" customHeight="1">
      <c r="A56" s="5" t="str">
        <f>HYPERLINK("#'Constants - Fuel'!A1", "Constants - Fuel")</f>
        <v>Constants - Fuel</v>
      </c>
    </row>
    <row r="57" spans="1:1" x14ac:dyDescent="0.25" ht="20" customHeight="1">
      <c r="A57" s="5" t="str">
        <f>HYPERLINK("#'Constants - Scope 3'!A1", "Constants - Scope 3")</f>
        <v>Constants - Scope 3</v>
      </c>
    </row>
    <row r="58" spans="1:1" x14ac:dyDescent="0.25" ht="20" customHeight="1">
      <c r="A58" s="5" t="str">
        <f>HYPERLINK("#'Constants - Solid Waste'!A1", "Constants - Solid Waste")</f>
        <v>Constants - Solid Waste</v>
      </c>
    </row>
    <row r="59" spans="1:1" x14ac:dyDescent="0.25" ht="20" customHeight="1">
      <c r="A59" s="5" t="str">
        <f>HYPERLINK("#'Constants - Common'!A1", "Constants - Common")</f>
        <v>Constants - Common</v>
      </c>
    </row>
    <row r="60" spans="1:1" x14ac:dyDescent="0.25" ht="20" customHeight="1">
      <c r="A60" s="5" t="str">
        <f>HYPERLINK("#'Acknowledgements'!A1", "Acknowledgements")</f>
        <v>Acknowledgements</v>
      </c>
    </row>
    <row r="61" spans="1:1" x14ac:dyDescent="0.25" ht="20" customHeight="1">
      <c r="A61"/>
    </row>
    <row r="62" spans="1:1" x14ac:dyDescent="0.25" ht="20" customHeight="1">
      <c r="A62"/>
    </row>
    <row r="63" spans="1:1" x14ac:dyDescent="0.25" ht="20" customHeight="1">
      <c r="A63"/>
    </row>
    <row r="64" spans="1:1" x14ac:dyDescent="0.25" ht="20" customHeight="1">
      <c r="A64"/>
    </row>
    <row r="65" spans="1:1" x14ac:dyDescent="0.25" ht="20" customHeight="1">
      <c r="A65"/>
    </row>
    <row r="66" spans="1:1" x14ac:dyDescent="0.25" ht="20" customHeight="1">
      <c r="A66"/>
    </row>
    <row r="67" spans="1:1" x14ac:dyDescent="0.25" ht="20" customHeight="1">
      <c r="A67"/>
    </row>
    <row r="68" spans="1:1" x14ac:dyDescent="0.25" ht="20" customHeight="1">
      <c r="A68"/>
    </row>
    <row r="69" spans="1:1" x14ac:dyDescent="0.25" ht="20" customHeight="1">
      <c r="A69"/>
    </row>
    <row r="70" spans="1:1" x14ac:dyDescent="0.25" ht="20" customHeight="1">
      <c r="A70"/>
    </row>
    <row r="71" spans="1:1" x14ac:dyDescent="0.25" ht="20" customHeight="1">
      <c r="A71"/>
    </row>
    <row r="72" spans="1:1" x14ac:dyDescent="0.25" ht="20" customHeight="1">
      <c r="A72"/>
    </row>
    <row r="73" spans="1:1" x14ac:dyDescent="0.25" ht="20" customHeight="1">
      <c r="A73"/>
    </row>
    <row r="74" spans="1:1" x14ac:dyDescent="0.25" ht="20" customHeight="1">
      <c r="A74"/>
    </row>
    <row r="75" spans="1:1" x14ac:dyDescent="0.25" ht="20" customHeight="1">
      <c r="A75"/>
    </row>
    <row r="76" spans="1:1" x14ac:dyDescent="0.25" ht="20" customHeight="1">
      <c r="A76"/>
    </row>
    <row r="77" spans="1:1" x14ac:dyDescent="0.25" ht="20" customHeight="1">
      <c r="A77"/>
    </row>
    <row r="78" spans="1:1" x14ac:dyDescent="0.25" ht="20" customHeight="1">
      <c r="A78"/>
    </row>
    <row r="79" spans="1:1" x14ac:dyDescent="0.25" ht="20" customHeight="1">
      <c r="A79"/>
    </row>
    <row r="80" spans="1:1" x14ac:dyDescent="0.25" ht="20" customHeight="1">
      <c r="A80"/>
    </row>
    <row r="81" spans="1:1" x14ac:dyDescent="0.25" ht="20" customHeight="1">
      <c r="A81"/>
    </row>
    <row r="82" spans="1:1" x14ac:dyDescent="0.25" ht="20" customHeight="1">
      <c r="A82"/>
    </row>
    <row r="83" spans="1:1" x14ac:dyDescent="0.25" ht="20" customHeight="1">
      <c r="A83"/>
    </row>
    <row r="84" spans="1:1" x14ac:dyDescent="0.25" ht="20" customHeight="1">
      <c r="A84"/>
    </row>
    <row r="85" spans="1:1" x14ac:dyDescent="0.25" ht="20" customHeight="1">
      <c r="A85"/>
    </row>
    <row r="86" spans="1:1" x14ac:dyDescent="0.25" ht="20" customHeight="1">
      <c r="A86"/>
    </row>
    <row r="87" spans="1:1" x14ac:dyDescent="0.25" ht="20" customHeight="1">
      <c r="A87"/>
    </row>
    <row r="88" spans="1:1" x14ac:dyDescent="0.25" ht="20" customHeight="1">
      <c r="A88"/>
    </row>
    <row r="89" spans="1:1" x14ac:dyDescent="0.25" ht="20" customHeight="1">
      <c r="A89"/>
    </row>
    <row r="90" spans="1:1" x14ac:dyDescent="0.25" ht="20" customHeight="1">
      <c r="A90"/>
    </row>
    <row r="91" spans="1:1" x14ac:dyDescent="0.25" ht="20" customHeight="1">
      <c r="A91"/>
    </row>
    <row r="92" spans="1:1" x14ac:dyDescent="0.25" ht="20" customHeight="1">
      <c r="A92"/>
    </row>
    <row r="93" spans="1:1" x14ac:dyDescent="0.25" ht="20" customHeight="1">
      <c r="A93"/>
    </row>
    <row r="94" spans="1:1" x14ac:dyDescent="0.25" ht="20" customHeight="1">
      <c r="A94"/>
    </row>
    <row r="95" spans="1:1" x14ac:dyDescent="0.25" ht="20" customHeight="1">
      <c r="A95"/>
    </row>
    <row r="96" spans="1:1" x14ac:dyDescent="0.25" ht="20" customHeight="1">
      <c r="A96"/>
    </row>
    <row r="97" spans="1:1" x14ac:dyDescent="0.25" ht="20" customHeight="1">
      <c r="A97"/>
    </row>
    <row r="98" spans="1:1" x14ac:dyDescent="0.25" ht="20" customHeight="1">
      <c r="A98"/>
    </row>
    <row r="99" spans="1:1" x14ac:dyDescent="0.25" ht="20" customHeight="1">
      <c r="A99"/>
    </row>
    <row r="100" spans="1:1" x14ac:dyDescent="0.25" ht="20" customHeight="1">
      <c r="A100"/>
    </row>
    <row r="101" spans="1:1" x14ac:dyDescent="0.25" ht="20" customHeight="1">
      <c r="A101"/>
    </row>
    <row r="102" spans="1:1" x14ac:dyDescent="0.25" ht="20" customHeight="1">
      <c r="A102"/>
    </row>
    <row r="103" spans="1:1" x14ac:dyDescent="0.25" ht="20" customHeight="1">
      <c r="A103"/>
    </row>
    <row r="104" spans="1:1" x14ac:dyDescent="0.25" ht="20" customHeight="1">
      <c r="A104"/>
    </row>
    <row r="105" spans="1:1" x14ac:dyDescent="0.25" ht="20" customHeight="1">
      <c r="A105"/>
    </row>
    <row r="106" spans="1:1" x14ac:dyDescent="0.25" ht="20" customHeight="1">
      <c r="A106"/>
    </row>
    <row r="107" spans="1:1" x14ac:dyDescent="0.25" ht="20" customHeight="1">
      <c r="A107"/>
    </row>
    <row r="108" spans="1:1" x14ac:dyDescent="0.25" ht="20" customHeight="1">
      <c r="A108"/>
    </row>
    <row r="109" spans="1:1" x14ac:dyDescent="0.25" ht="20" customHeight="1">
      <c r="A109"/>
    </row>
    <row r="110" spans="1:1" x14ac:dyDescent="0.25" ht="20" customHeight="1">
      <c r="A110"/>
    </row>
    <row r="111" spans="1:1" x14ac:dyDescent="0.25" ht="20" customHeight="1">
      <c r="A111"/>
    </row>
    <row r="112" spans="1:1" x14ac:dyDescent="0.25" ht="20" customHeight="1">
      <c r="A112"/>
    </row>
    <row r="113" spans="1:1" x14ac:dyDescent="0.25" ht="20" customHeight="1">
      <c r="A113"/>
    </row>
    <row r="114" spans="1:1" x14ac:dyDescent="0.25" ht="20" customHeight="1">
      <c r="A114"/>
    </row>
    <row r="115" spans="1:1" x14ac:dyDescent="0.25" ht="20" customHeight="1">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dataValidations count="3">
    <dataValidation type="list" allowBlank="1" showInputMessage="1" showErrorMessage="1" sqref="J10:J19 M10:M19 P10:P19" xr:uid="{8475C671-2830-49FB-A16F-45B2D8AE6569}">
      <formula1>INDIRECT("Table_SourceData_Scope3_Pesticides[Product]")</formula1>
    </dataValidation>
    <dataValidation type="list" allowBlank="1" showInputMessage="1" showErrorMessage="1" sqref="I10:I19" xr:uid="{EDC4FCAD-737C-40D9-A0D8-B52AB00A925E}">
      <formula1>"grams/litre or grams/kg, fraction of product"</formula1>
    </dataValidation>
    <dataValidation type="list" allowBlank="1" showInputMessage="1" showErrorMessage="1" sqref="F10:F19" xr:uid="{07B95862-F7E1-4E31-995E-B2C3C7D925E2}">
      <formula1>"kg / hectare, litre / hectare"</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12D4E-8756-497F-A0FD-3B75A7386EBC}">
  <sheetPr>
    <tabColor theme="5" tint="-0.249977111117893"/>
  </sheetPr>
  <dimension ref="A1:R160"/>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style="239" customWidth="1"/>
    <col min="2" max="2" width="5.28515625" style="239" customWidth="1"/>
    <col min="3" max="3" width="5.28515625" style="1" customWidth="1"/>
    <col min="4" max="17" width="35" style="1" customWidth="1"/>
    <col min="18" max="18" width="5.28515625" style="1" customWidth="1"/>
    <col min="19" max="16384" width="9.140625" style="239"/>
  </cols>
  <sheetData>
    <row r="1" spans="1:18" s="10" customFormat="1" ht="30" x14ac:dyDescent="0.35" customHeight="1">
      <c r="C1" s="10" t="s">
        <v>1025</v>
      </c>
    </row>
    <row r="2" spans="1:18" s="3" customFormat="1" ht="20" customHeight="1" x14ac:dyDescent="0.25">
      <c r="A2"/>
    </row>
    <row r="3" spans="1:18" ht="20" customHeight="1" x14ac:dyDescent="0.25">
      <c r="A3" s="5" t="str">
        <f>HYPERLINK("#'Home'!A1", "Home")</f>
        <v>Home</v>
      </c>
      <c r="C3" s="29"/>
      <c r="D3" s="29"/>
      <c r="E3" s="29"/>
      <c r="F3" s="29"/>
      <c r="G3" s="29"/>
      <c r="H3" s="29"/>
      <c r="I3" s="29"/>
      <c r="J3" s="29"/>
      <c r="K3" s="29"/>
      <c r="L3" s="29"/>
      <c r="M3" s="29"/>
      <c r="N3" s="29"/>
      <c r="O3" s="29"/>
      <c r="P3" s="29"/>
      <c r="Q3" s="29"/>
      <c r="R3" s="29"/>
    </row>
    <row r="4" spans="1:18" ht="20" customHeight="1" x14ac:dyDescent="0.25">
      <c r="A4" s="5" t="str">
        <f>HYPERLINK("#'Results - Activity period'!A1", "Results - Activity period")</f>
        <v>Results - Activity period</v>
      </c>
    </row>
    <row r="5" spans="1:18" ht="20" customHeight="1" x14ac:dyDescent="0.25">
      <c r="A5" s="5" t="str">
        <f>HYPERLINK("#'Results - Product EI'!A1", "Results - Product Emissions Intensity")</f>
        <v>Results - Product Emissions Intensity</v>
      </c>
      <c r="D5" s="2" t="s">
        <v>1026</v>
      </c>
      <c r="E5" s="240"/>
      <c r="F5" s="240"/>
      <c r="G5" s="240"/>
      <c r="H5" s="240"/>
      <c r="I5" s="240"/>
      <c r="J5" s="240"/>
    </row>
    <row r="6" spans="1:18" ht="20" customHeight="1" x14ac:dyDescent="0.25">
      <c r="A6"/>
      <c r="D6" s="243" t="s">
        <v>1027</v>
      </c>
      <c r="E6" s="251"/>
      <c r="F6" s="252"/>
      <c r="G6" s="240"/>
      <c r="H6" s="240"/>
      <c r="I6" s="240"/>
      <c r="J6" s="240"/>
    </row>
    <row r="7" spans="1:18" ht="20" customHeight="1" x14ac:dyDescent="0.25">
      <c r="A7"/>
      <c r="D7" s="1" t="str" cm="1">
        <f t="array" ref="D7:D9">Table_SourceData_Scope3_LickBlocks[Product]</f>
        <v>Lick block, dry season mix</v>
      </c>
      <c r="E7" s="76"/>
      <c r="F7" s="16" t="s">
        <v>637</v>
      </c>
      <c r="G7" s="240"/>
      <c r="H7" s="240"/>
      <c r="I7" s="240"/>
      <c r="J7" s="240"/>
    </row>
    <row r="8" spans="1:18" ht="20" customHeight="1" x14ac:dyDescent="0.25">
      <c r="A8" s="7" t="s">
        <v>0</v>
      </c>
      <c r="D8" s="1" t="str">
        <v>Lick block, mineral</v>
      </c>
      <c r="E8" s="76"/>
      <c r="F8" s="16" t="s">
        <v>637</v>
      </c>
      <c r="G8" s="240"/>
      <c r="H8" s="240"/>
      <c r="I8" s="240"/>
      <c r="J8" s="240"/>
    </row>
    <row r="9" spans="1:18" ht="20" customHeight="1" x14ac:dyDescent="0.25">
      <c r="A9" s="5" t="str">
        <f>HYPERLINK("#'Input - Enterprise'!A1", "Enterprise")</f>
        <v>Enterprise</v>
      </c>
      <c r="D9" s="1" t="str">
        <v>Lick block, weaner</v>
      </c>
      <c r="E9" s="76"/>
      <c r="F9" s="16" t="s">
        <v>637</v>
      </c>
      <c r="G9" s="240"/>
      <c r="H9" s="240"/>
      <c r="I9" s="240"/>
      <c r="J9" s="240"/>
    </row>
    <row r="10" spans="1:18" ht="20" customHeight="1" x14ac:dyDescent="0.25">
      <c r="A10" s="5" t="str">
        <f>HYPERLINK("#'Input - Site'!A1", "Site")</f>
        <v>Site</v>
      </c>
      <c r="G10" s="240"/>
      <c r="H10" s="240"/>
      <c r="I10" s="240"/>
      <c r="J10" s="240"/>
    </row>
    <row r="11" spans="1:18" ht="20" customHeight="1" x14ac:dyDescent="0.25">
      <c r="A11" s="5" t="str">
        <f>HYPERLINK("#'Input - Pasture Beef'!A1", "Pasture Beef")</f>
        <v>Pasture Beef</v>
      </c>
      <c r="D11" s="243" t="s">
        <v>1028</v>
      </c>
      <c r="E11" s="25"/>
      <c r="F11" s="25"/>
      <c r="G11" s="240"/>
      <c r="H11" s="240"/>
      <c r="I11" s="240"/>
      <c r="J11" s="240"/>
    </row>
    <row r="12" spans="1:18" ht="20" customHeight="1" x14ac:dyDescent="0.25">
      <c r="A12" s="5" t="str">
        <f>HYPERLINK("#'Input - Livestock sales'!A1", "Livestock sales")</f>
        <v>Livestock sales</v>
      </c>
      <c r="D12" s="1" t="str" cm="1">
        <f t="array" ref="D12:D15">Table_SourceData_Scope3_MixedRations[Product]</f>
        <v>Feed for chickens</v>
      </c>
      <c r="E12" s="76"/>
      <c r="F12" s="16" t="s">
        <v>637</v>
      </c>
      <c r="G12" s="240"/>
      <c r="H12" s="240"/>
      <c r="I12" s="240"/>
      <c r="J12" s="240"/>
    </row>
    <row r="13" spans="1:18" ht="20" customHeight="1" x14ac:dyDescent="0.25">
      <c r="A13" s="5" t="str">
        <f>HYPERLINK("#'Input - Beef cattle purchases'!A1", "Beef cattle purchases")</f>
        <v>Beef cattle purchases</v>
      </c>
      <c r="D13" s="1" t="str">
        <v>Feed for dairy calves</v>
      </c>
      <c r="E13" s="76"/>
      <c r="F13" s="16" t="s">
        <v>637</v>
      </c>
      <c r="G13" s="240"/>
      <c r="H13" s="240"/>
      <c r="I13" s="240"/>
      <c r="J13" s="240"/>
    </row>
    <row r="14" spans="1:18" ht="20" customHeight="1" x14ac:dyDescent="0.25">
      <c r="A14" s="5" t="str">
        <f>HYPERLINK("#'Input - Pasture'!A1", "Pasture")</f>
        <v>Pasture</v>
      </c>
      <c r="D14" s="1" t="str">
        <v>Feed for dairy cows</v>
      </c>
      <c r="E14" s="76"/>
      <c r="F14" s="16" t="s">
        <v>637</v>
      </c>
      <c r="G14" s="240"/>
      <c r="H14" s="240"/>
      <c r="I14" s="240"/>
      <c r="J14" s="240"/>
    </row>
    <row r="15" spans="1:18" ht="20" customHeight="1" x14ac:dyDescent="0.25">
      <c r="A15" s="5" t="str">
        <f>HYPERLINK("#'Input - Fert Prod System'!A1", "Fert Prod System")</f>
        <v>Fert Prod System</v>
      </c>
      <c r="D15" s="1" t="str">
        <v>Feed for pigs</v>
      </c>
      <c r="E15" s="76"/>
      <c r="F15" s="16" t="s">
        <v>637</v>
      </c>
      <c r="G15" s="240"/>
      <c r="H15" s="240"/>
      <c r="I15" s="240"/>
      <c r="J15" s="240"/>
    </row>
    <row r="16" spans="1:18" ht="20" customHeight="1" x14ac:dyDescent="0.25">
      <c r="A16" s="5" t="str">
        <f>HYPERLINK("#'Input - Fertiliser'!A1", "Fertiliser")</f>
        <v>Fertiliser</v>
      </c>
      <c r="D16" s="25"/>
      <c r="E16" s="25"/>
      <c r="F16" s="25"/>
      <c r="G16" s="240"/>
      <c r="H16" s="240"/>
      <c r="I16" s="240"/>
      <c r="J16" s="240"/>
    </row>
    <row r="17" spans="1:17" ht="20" customHeight="1" x14ac:dyDescent="0.25">
      <c r="A17" s="5" t="str">
        <f>HYPERLINK("#'Input - Fuel'!A1", "Fuel")</f>
        <v>Fuel</v>
      </c>
      <c r="D17" s="243" t="s">
        <v>1029</v>
      </c>
      <c r="E17" s="25"/>
      <c r="F17" s="25"/>
      <c r="G17" s="240"/>
      <c r="H17" s="240"/>
      <c r="I17" s="240"/>
      <c r="J17" s="240"/>
    </row>
    <row r="18" spans="1:17" ht="20" customHeight="1" x14ac:dyDescent="0.25">
      <c r="A18" s="5" t="str">
        <f>HYPERLINK("#'Input - Electricity'!A1", "Electricity")</f>
        <v>Electricity</v>
      </c>
      <c r="D18" s="82" t="s">
        <v>1030</v>
      </c>
      <c r="E18" s="82" t="s">
        <v>1031</v>
      </c>
      <c r="F18" s="82" t="s">
        <v>610</v>
      </c>
      <c r="G18" s="82" t="s">
        <v>1032</v>
      </c>
      <c r="H18" s="82" t="s">
        <v>591</v>
      </c>
      <c r="I18" s="82" t="s">
        <v>1033</v>
      </c>
      <c r="J18" s="82" t="s">
        <v>1034</v>
      </c>
      <c r="K18" s="82" t="s">
        <v>593</v>
      </c>
      <c r="L18" s="82" t="s">
        <v>1035</v>
      </c>
      <c r="M18" s="82" t="s">
        <v>1036</v>
      </c>
      <c r="N18" s="82" t="s">
        <v>595</v>
      </c>
      <c r="O18" s="82" t="s">
        <v>1037</v>
      </c>
      <c r="P18" s="82" t="s">
        <v>1038</v>
      </c>
      <c r="Q18" s="187" t="s">
        <v>597</v>
      </c>
    </row>
    <row r="19" spans="1:17" ht="20" customHeight="1" x14ac:dyDescent="0.25">
      <c r="A19" s="5" t="str">
        <f>HYPERLINK("#'Input - Common farm inputs'!A1", "Common farm inputs")</f>
        <v>Common farm inputs</v>
      </c>
      <c r="D19" s="34"/>
      <c r="E19" s="253"/>
      <c r="F19" s="13"/>
      <c r="G19" s="13"/>
      <c r="H19" s="188"/>
      <c r="I19" s="13"/>
      <c r="J19" s="13"/>
      <c r="K19" s="188"/>
      <c r="L19" s="13"/>
      <c r="M19" s="13"/>
      <c r="N19" s="188"/>
      <c r="O19" s="13"/>
      <c r="P19" s="13"/>
      <c r="Q19" s="188"/>
    </row>
    <row r="20" spans="1:17" ht="20" customHeight="1" x14ac:dyDescent="0.25">
      <c r="A20" s="5" t="str">
        <f>HYPERLINK("#'Input - Crop pasture farm input'!A1", "Crop pasture farm input")</f>
        <v>Crop pasture farm input</v>
      </c>
      <c r="D20" s="34"/>
      <c r="E20" s="253"/>
      <c r="F20" s="13"/>
      <c r="G20" s="13"/>
      <c r="H20" s="188"/>
      <c r="I20" s="13"/>
      <c r="J20" s="13"/>
      <c r="K20" s="188"/>
      <c r="L20" s="13"/>
      <c r="M20" s="13"/>
      <c r="N20" s="188"/>
      <c r="O20" s="13"/>
      <c r="P20" s="13"/>
      <c r="Q20" s="188"/>
    </row>
    <row r="21" spans="1:17" ht="20" customHeight="1" x14ac:dyDescent="0.25">
      <c r="A21" s="99" t="str">
        <f>HYPERLINK("#'Input - Livestock farm Inputs'!A1", "Livestock farm Inputs")</f>
        <v>Livestock farm Inputs</v>
      </c>
      <c r="D21" s="34"/>
      <c r="E21" s="253"/>
      <c r="F21" s="13"/>
      <c r="G21" s="13"/>
      <c r="H21" s="188"/>
      <c r="I21" s="13"/>
      <c r="J21" s="13"/>
      <c r="K21" s="188"/>
      <c r="L21" s="13"/>
      <c r="M21" s="13"/>
      <c r="N21" s="188"/>
      <c r="O21" s="13"/>
      <c r="P21" s="13"/>
      <c r="Q21" s="188"/>
    </row>
    <row r="22" spans="1:17" ht="20" customHeight="1" x14ac:dyDescent="0.25">
      <c r="A22" s="5" t="str">
        <f>HYPERLINK("#'Input - Freight'!A1", "Freight")</f>
        <v>Freight</v>
      </c>
      <c r="D22" s="34"/>
      <c r="E22" s="253"/>
      <c r="F22" s="13"/>
      <c r="G22" s="13"/>
      <c r="H22" s="188"/>
      <c r="I22" s="13"/>
      <c r="J22" s="13"/>
      <c r="K22" s="188"/>
      <c r="L22" s="13"/>
      <c r="M22" s="13"/>
      <c r="N22" s="188"/>
      <c r="O22" s="13"/>
      <c r="P22" s="13"/>
      <c r="Q22" s="188"/>
    </row>
    <row r="23" spans="1:17" ht="20" customHeight="1" x14ac:dyDescent="0.25">
      <c r="A23" s="5" t="str">
        <f>HYPERLINK("#'Input - Solid waste'!A1", "Solid waste")</f>
        <v>Solid waste</v>
      </c>
      <c r="D23" s="34"/>
      <c r="E23" s="253"/>
      <c r="F23" s="13"/>
      <c r="G23" s="13"/>
      <c r="H23" s="188"/>
      <c r="I23" s="13"/>
      <c r="J23" s="13"/>
      <c r="K23" s="188"/>
      <c r="L23" s="13"/>
      <c r="M23" s="13"/>
      <c r="N23" s="188"/>
      <c r="O23" s="13"/>
      <c r="P23" s="13"/>
      <c r="Q23" s="188"/>
    </row>
    <row r="24" spans="1:17" ht="20" customHeight="1" x14ac:dyDescent="0.25">
      <c r="A24" s="5" t="str">
        <f>HYPERLINK("#'Input - Manure sent off-site'!A1", "Manure sent off-site")</f>
        <v>Manure sent off-site</v>
      </c>
      <c r="D24" s="34"/>
      <c r="E24" s="253"/>
      <c r="F24" s="13"/>
      <c r="G24" s="13"/>
      <c r="H24" s="188"/>
      <c r="I24" s="13"/>
      <c r="J24" s="13"/>
      <c r="K24" s="188"/>
      <c r="L24" s="13"/>
      <c r="M24" s="13"/>
      <c r="N24" s="188"/>
      <c r="O24" s="13"/>
      <c r="P24" s="13"/>
      <c r="Q24" s="188"/>
    </row>
    <row r="25" spans="1:17" ht="20" customHeight="1" x14ac:dyDescent="0.25">
      <c r="A25" s="5" t="str">
        <f>HYPERLINK("#'Input - Data quality'!A1", "Data quality")</f>
        <v>Data quality</v>
      </c>
      <c r="D25" s="34"/>
      <c r="E25" s="253"/>
      <c r="F25" s="13"/>
      <c r="G25" s="13"/>
      <c r="H25" s="188"/>
      <c r="I25" s="13"/>
      <c r="J25" s="13"/>
      <c r="K25" s="188"/>
      <c r="L25" s="13"/>
      <c r="M25" s="13"/>
      <c r="N25" s="188"/>
      <c r="O25" s="13"/>
      <c r="P25" s="13"/>
      <c r="Q25" s="188"/>
    </row>
    <row r="26" spans="1:17" ht="20" customHeight="1" x14ac:dyDescent="0.25">
      <c r="A26"/>
      <c r="D26" s="34"/>
      <c r="E26" s="253"/>
      <c r="F26" s="13"/>
      <c r="G26" s="13"/>
      <c r="H26" s="188"/>
      <c r="I26" s="13"/>
      <c r="J26" s="13"/>
      <c r="K26" s="188"/>
      <c r="L26" s="13"/>
      <c r="M26" s="13"/>
      <c r="N26" s="188"/>
      <c r="O26" s="13"/>
      <c r="P26" s="13"/>
      <c r="Q26" s="188"/>
    </row>
    <row r="27" spans="1:17" ht="20" customHeight="1" x14ac:dyDescent="0.25">
      <c r="A27"/>
      <c r="D27" s="34"/>
      <c r="E27" s="253"/>
      <c r="F27" s="13"/>
      <c r="G27" s="13"/>
      <c r="H27" s="188"/>
      <c r="I27" s="13"/>
      <c r="J27" s="13"/>
      <c r="K27" s="188"/>
      <c r="L27" s="13"/>
      <c r="M27" s="13"/>
      <c r="N27" s="188"/>
      <c r="O27" s="13"/>
      <c r="P27" s="13"/>
      <c r="Q27" s="188"/>
    </row>
    <row r="28" spans="1:17" ht="20" customHeight="1" x14ac:dyDescent="0.25">
      <c r="A28" s="6" t="s">
        <v>2</v>
      </c>
      <c r="D28" s="34"/>
      <c r="E28" s="253"/>
      <c r="F28" s="13"/>
      <c r="G28" s="13"/>
      <c r="H28" s="188"/>
      <c r="I28" s="13"/>
      <c r="J28" s="13"/>
      <c r="K28" s="188"/>
      <c r="L28" s="13"/>
      <c r="M28" s="13"/>
      <c r="N28" s="188"/>
      <c r="O28" s="13"/>
      <c r="P28" s="13"/>
      <c r="Q28" s="188"/>
    </row>
    <row r="29" spans="1:17" ht="20" customHeight="1" x14ac:dyDescent="0.25">
      <c r="A29" s="5" t="str">
        <f>HYPERLINK("#'3.2.1.1-2 Enteric Methane'!A1", "3.2.1.1-2 Enteric Methane")</f>
        <v>3.2.1.1-2 Enteric Methane</v>
      </c>
    </row>
    <row r="30" spans="1:17" ht="20" customHeight="1" x14ac:dyDescent="0.25">
      <c r="A30" s="5" t="str">
        <f>HYPERLINK("#'4.2.1.1-2 Methane'!A1", "4.2.1.1-2 Manure methane")</f>
        <v>4.2.1.1-2 Manure methane</v>
      </c>
    </row>
    <row r="31" spans="1:17" ht="20" customHeight="1" x14ac:dyDescent="0.25">
      <c r="A31" s="5" t="str">
        <f>HYPERLINK("#'4.2.1.3-4 Soil direct N20'!A1", "4.2.1.3-4 Soil direct N2O")</f>
        <v>4.2.1.3-4 Soil direct N2O</v>
      </c>
      <c r="D31" s="243" t="s">
        <v>1039</v>
      </c>
    </row>
    <row r="32" spans="1:17" ht="20" customHeight="1" x14ac:dyDescent="0.25">
      <c r="A32" s="5" t="str">
        <f>HYPERLINK("#'4.2.1.5-6 Soil Atmos Dep'!A1", "4.2.1.5-6 Soil atm. deposition")</f>
        <v>4.2.1.5-6 Soil atm. deposition</v>
      </c>
      <c r="D32" s="82" t="s">
        <v>998</v>
      </c>
      <c r="E32" s="82" t="s">
        <v>999</v>
      </c>
      <c r="F32" s="82" t="s">
        <v>1040</v>
      </c>
    </row>
    <row r="33" spans="1:6" ht="20" customHeight="1" x14ac:dyDescent="0.25">
      <c r="A33" s="5" t="str">
        <f>HYPERLINK("#'4.2.1.7-8 Soil leach runoff'!A1", "4.2.1.7-8 Soil leach &amp; runoff")</f>
        <v>4.2.1.7-8 Soil leach &amp; runoff</v>
      </c>
      <c r="D33" s="34"/>
      <c r="E33" s="133"/>
      <c r="F33" s="76"/>
    </row>
    <row r="34" spans="1:6" ht="20" customHeight="1" x14ac:dyDescent="0.25">
      <c r="A34" s="5" t="str">
        <f>HYPERLINK("#'5.1.1.1-2 Inorganic fert N2O'!A1", "5.1.1.1-2 Inorganic fert N2O")</f>
        <v>5.1.1.1-2 Inorganic fert N2O</v>
      </c>
      <c r="D34" s="34"/>
      <c r="E34" s="254"/>
      <c r="F34" s="244"/>
    </row>
    <row r="35" spans="1:6" ht="20" customHeight="1" x14ac:dyDescent="0.25">
      <c r="A35" s="5" t="str">
        <f>HYPERLINK("#'5.1.1.3-4 Inorganic fert CO2'!A1", "5.1.1.3-4 Inorganic fert CO2")</f>
        <v>5.1.1.3-4 Inorganic fert CO2</v>
      </c>
      <c r="D35" s="34"/>
      <c r="E35" s="254"/>
      <c r="F35" s="244"/>
    </row>
    <row r="36" spans="1:6" ht="20" customHeight="1" x14ac:dyDescent="0.25">
      <c r="A36" s="5" t="str">
        <f>HYPERLINK("#'5.2.1.1-2 Organic Fert N2O'!A1", "5.2.1.1-2 Organic fert N2O")</f>
        <v>5.2.1.1-2 Organic fert N2O</v>
      </c>
      <c r="D36" s="34"/>
      <c r="E36" s="254"/>
      <c r="F36" s="244"/>
    </row>
    <row r="37" spans="1:6" ht="20" customHeight="1" x14ac:dyDescent="0.25">
      <c r="A37" s="5" t="str">
        <f>HYPERLINK("#'5.3.1.1-2 Lime CO2'!A1", "5.3.1.1-2 Lime CO2")</f>
        <v>5.3.1.1-2 Lime CO2</v>
      </c>
      <c r="D37" s="34"/>
      <c r="E37" s="254"/>
      <c r="F37" s="244"/>
    </row>
    <row r="38" spans="1:6" ht="20" customHeight="1" x14ac:dyDescent="0.25">
      <c r="A38" s="5" t="str">
        <f>HYPERLINK("#'5.4.1.1-4 Atmos deposition'!A1", "5.4.1.1-4 Atmos. deposition")</f>
        <v>5.4.1.1-4 Atmos. deposition</v>
      </c>
      <c r="D38" s="34"/>
      <c r="E38" s="254"/>
      <c r="F38" s="244"/>
    </row>
    <row r="39" spans="1:6" ht="20" customHeight="1" x14ac:dyDescent="0.25">
      <c r="A39" s="5" t="str">
        <f>HYPERLINK("#'5.5.1.1-2 Leaching and runoff'!A1", "5.5.1.1-2 Leaching &amp; runoff")</f>
        <v>5.5.1.1-2 Leaching &amp; runoff</v>
      </c>
      <c r="D39" s="34"/>
      <c r="E39" s="133"/>
      <c r="F39" s="76"/>
    </row>
    <row r="40" spans="1:6" ht="20" customHeight="1" x14ac:dyDescent="0.25">
      <c r="A40" s="5" t="str">
        <f>HYPERLINK("#'6.2.1.1-2 Pasture residue N2O'!A1", "6.2.1.1-2 Pasture residue N2O")</f>
        <v>6.2.1.1-2 Pasture residue N2O</v>
      </c>
      <c r="D40" s="34"/>
      <c r="E40" s="133"/>
      <c r="F40" s="76"/>
    </row>
    <row r="41" spans="1:6" ht="20" customHeight="1" x14ac:dyDescent="0.25">
      <c r="A41" s="5" t="str">
        <f>HYPERLINK("#'6.3.1.1-2 Leach runoff pasture'!A1", "6.3.1.1-2 Leach &amp; runoff (pasture)")</f>
        <v>6.3.1.1-2 Leach &amp; runoff (pasture)</v>
      </c>
      <c r="D41" s="34"/>
      <c r="E41" s="133"/>
      <c r="F41" s="76"/>
    </row>
    <row r="42" spans="1:6" ht="20" customHeight="1" x14ac:dyDescent="0.25">
      <c r="A42" s="5" t="str">
        <f>HYPERLINK("#'8.1.1.1-2 Transport fuel'!A1", "8.1.1.1-2 Transport fuel")</f>
        <v>8.1.1.1-2 Transport fuel</v>
      </c>
      <c r="D42" s="34"/>
      <c r="E42" s="133"/>
      <c r="F42" s="76"/>
    </row>
    <row r="43" spans="1:6" ht="20" customHeight="1" x14ac:dyDescent="0.25">
      <c r="A43" s="5" t="str">
        <f>HYPERLINK("#'8.2.1.1-2 Stationary fuel'!A1", "8.2.1.1-2 Stationary fuel")</f>
        <v>8.2.1.1-2 Stationary fuel</v>
      </c>
    </row>
    <row r="44" spans="1:6" ht="20" customHeight="1" x14ac:dyDescent="0.25">
      <c r="A44" s="5" t="str">
        <f>HYPERLINK("#'10.1.1-2 Solid waste treatment'!A1", "10.1.1.1-2 Solid waste")</f>
        <v>10.1.1.1-2 Solid waste</v>
      </c>
    </row>
    <row r="45" spans="1:6" ht="20" customHeight="1" x14ac:dyDescent="0.25">
      <c r="A45" s="5" t="str">
        <f>HYPERLINK("#'14.1.1-2 Purchased electricity'!A1", "14.1.1-2 Purchased electricity")</f>
        <v>14.1.1-2 Purchased electricity</v>
      </c>
    </row>
    <row r="46" spans="1:6" ht="20" customHeight="1" x14ac:dyDescent="0.25">
      <c r="A46" s="5" t="str">
        <f>HYPERLINK("#'15 Scope 3'!A1", "15 Scope 3")</f>
        <v>15 Scope 3</v>
      </c>
      <c r="D46" s="2" t="s">
        <v>1041</v>
      </c>
      <c r="E46" s="240"/>
      <c r="F46" s="240"/>
    </row>
    <row r="47" spans="1:6" ht="20" customHeight="1" x14ac:dyDescent="0.25">
      <c r="A47" s="5" t="str">
        <f>HYPERLINK("#'Calcs - Manure sent off-site'!A1", "Calcs - Manure sent off-site")</f>
        <v>Calcs - Manure sent off-site</v>
      </c>
      <c r="D47" s="1" t="str">
        <f>'Constants - Scope 3'!E202</f>
        <v>Animal ear tags (large)</v>
      </c>
      <c r="E47" s="76"/>
      <c r="F47" s="16" t="s">
        <v>1042</v>
      </c>
    </row>
    <row r="48" spans="1:6" ht="20" customHeight="1" x14ac:dyDescent="0.25">
      <c r="A48"/>
      <c r="D48" s="1" t="str">
        <f>'Constants - Scope 3'!E203</f>
        <v>Animal ear tags (small)</v>
      </c>
      <c r="E48" s="76"/>
      <c r="F48" s="16" t="s">
        <v>1042</v>
      </c>
    </row>
    <row r="49" spans="1:1" ht="20" customHeight="1" x14ac:dyDescent="0.25">
      <c r="A49"/>
    </row>
    <row r="50" spans="1:1" ht="20" customHeight="1" x14ac:dyDescent="0.25">
      <c r="A50" s="85" t="s">
        <v>1</v>
      </c>
    </row>
    <row r="51" spans="1:1" ht="20" customHeight="1" x14ac:dyDescent="0.25">
      <c r="A51" s="5" t="str">
        <f>HYPERLINK("#'Constants - Pasture Beef'!A1", "Constants - Pasture Beef")</f>
        <v>Constants - Pasture Beef</v>
      </c>
    </row>
    <row r="52" spans="1:1" ht="20" customHeight="1" x14ac:dyDescent="0.25">
      <c r="A52" s="5" t="str">
        <f>HYPERLINK("#'Constants - Ag Residue'!A1", "Constants - Ag residue")</f>
        <v>Constants - Ag residue</v>
      </c>
    </row>
    <row r="53" spans="1:1" ht="20" customHeight="1" x14ac:dyDescent="0.25">
      <c r="A53" s="5" t="str">
        <f>HYPERLINK("#'Constants - Common Livestock'!A1", "Constants - Common Livestock")</f>
        <v>Constants - Common Livestock</v>
      </c>
    </row>
    <row r="54" spans="1:1" ht="20" customHeight="1" x14ac:dyDescent="0.25">
      <c r="A54" s="5" t="str">
        <f>HYPERLINK("#'Constants - Electricity'!A1", "Constants - Electricity")</f>
        <v>Constants - Electricity</v>
      </c>
    </row>
    <row r="55" spans="1:1" ht="20" customHeight="1" x14ac:dyDescent="0.25">
      <c r="A55" s="5" t="str">
        <f>HYPERLINK("#'Constants - Fertiliser'!A1", "Constants - Fertiliser")</f>
        <v>Constants - Fertiliser</v>
      </c>
    </row>
    <row r="56" spans="1:1" ht="20" customHeight="1" x14ac:dyDescent="0.25">
      <c r="A56" s="5" t="str">
        <f>HYPERLINK("#'Constants - Fuel'!A1", "Constants - Fuel")</f>
        <v>Constants - Fuel</v>
      </c>
    </row>
    <row r="57" spans="1:1" ht="20" customHeight="1" x14ac:dyDescent="0.25">
      <c r="A57" s="5" t="str">
        <f>HYPERLINK("#'Constants - Scope 3'!A1", "Constants - Scope 3")</f>
        <v>Constants - Scope 3</v>
      </c>
    </row>
    <row r="58" spans="1:1" ht="20" customHeight="1" x14ac:dyDescent="0.25">
      <c r="A58" s="5" t="str">
        <f>HYPERLINK("#'Constants - Solid Waste'!A1", "Constants - Solid Waste")</f>
        <v>Constants - Solid Waste</v>
      </c>
    </row>
    <row r="59" spans="1:1" ht="20" customHeight="1" x14ac:dyDescent="0.25">
      <c r="A59" s="5" t="str">
        <f>HYPERLINK("#'Constants - Common'!A1", "Constants - Common")</f>
        <v>Constants - Common</v>
      </c>
    </row>
    <row r="60" spans="1:1" ht="20" customHeight="1" x14ac:dyDescent="0.25">
      <c r="A60" s="5" t="str">
        <f>HYPERLINK("#'Acknowledgements'!A1", "Acknowledgements")</f>
        <v>Acknowledgements</v>
      </c>
    </row>
    <row r="61" spans="1:1" ht="20" customHeight="1" x14ac:dyDescent="0.25">
      <c r="A61"/>
    </row>
    <row r="62" spans="1:1" ht="20" customHeight="1" x14ac:dyDescent="0.25">
      <c r="A62"/>
    </row>
    <row r="63" spans="1:1" ht="20" customHeight="1" x14ac:dyDescent="0.25">
      <c r="A63"/>
    </row>
    <row r="64" spans="1:1" ht="20" customHeight="1" x14ac:dyDescent="0.25">
      <c r="A64"/>
    </row>
    <row r="65" spans="1:1" ht="20" customHeight="1" x14ac:dyDescent="0.25">
      <c r="A65"/>
    </row>
    <row r="66" spans="1:1" ht="20" customHeight="1" x14ac:dyDescent="0.25">
      <c r="A66"/>
    </row>
    <row r="67" spans="1:1" ht="20" customHeight="1" x14ac:dyDescent="0.25">
      <c r="A67"/>
    </row>
    <row r="68" spans="1:1" ht="20" customHeight="1" x14ac:dyDescent="0.25">
      <c r="A68"/>
    </row>
    <row r="69" spans="1:1" ht="20" customHeight="1" x14ac:dyDescent="0.25">
      <c r="A69"/>
    </row>
    <row r="70" spans="1:1" ht="20" customHeight="1" x14ac:dyDescent="0.25">
      <c r="A70"/>
    </row>
    <row r="71" spans="1:1" ht="20" customHeight="1" x14ac:dyDescent="0.25">
      <c r="A71"/>
    </row>
    <row r="72" spans="1:1" ht="20" customHeight="1" x14ac:dyDescent="0.25">
      <c r="A72"/>
    </row>
    <row r="73" spans="1:1" ht="20" customHeight="1" x14ac:dyDescent="0.25">
      <c r="A73"/>
    </row>
    <row r="74" spans="1:1" ht="20" customHeight="1" x14ac:dyDescent="0.25">
      <c r="A74"/>
    </row>
    <row r="75" spans="1:1" ht="20" customHeight="1" x14ac:dyDescent="0.25">
      <c r="A75"/>
    </row>
    <row r="76" spans="1:1" ht="20" customHeight="1" x14ac:dyDescent="0.25">
      <c r="A76"/>
    </row>
    <row r="77" spans="1:1" x14ac:dyDescent="0.25" ht="20" customHeight="1">
      <c r="A77"/>
    </row>
    <row r="78" spans="1:1" x14ac:dyDescent="0.25" ht="20" customHeight="1">
      <c r="A78"/>
    </row>
    <row r="79" spans="1:1" x14ac:dyDescent="0.25" ht="20" customHeight="1">
      <c r="A79"/>
    </row>
    <row r="80" spans="1:1" x14ac:dyDescent="0.25" ht="20" customHeight="1">
      <c r="A80"/>
    </row>
    <row r="81" spans="1:1" x14ac:dyDescent="0.25" ht="20" customHeight="1">
      <c r="A81"/>
    </row>
    <row r="82" spans="1:1" x14ac:dyDescent="0.25" ht="20" customHeight="1">
      <c r="A82"/>
    </row>
    <row r="83" spans="1:1" x14ac:dyDescent="0.25" ht="20" customHeight="1">
      <c r="A83"/>
    </row>
    <row r="84" spans="1:1" x14ac:dyDescent="0.25" ht="20" customHeight="1">
      <c r="A84"/>
    </row>
    <row r="85" spans="1:1" x14ac:dyDescent="0.25" ht="20" customHeight="1">
      <c r="A85"/>
    </row>
    <row r="86" spans="1:1" x14ac:dyDescent="0.25" ht="20" customHeight="1">
      <c r="A86"/>
    </row>
    <row r="87" spans="1:1" x14ac:dyDescent="0.25" ht="20" customHeight="1">
      <c r="A87"/>
    </row>
    <row r="88" spans="1:1" x14ac:dyDescent="0.25" ht="20" customHeight="1">
      <c r="A88"/>
    </row>
    <row r="89" spans="1:1" x14ac:dyDescent="0.25" ht="20" customHeight="1">
      <c r="A89"/>
    </row>
    <row r="90" spans="1:1" x14ac:dyDescent="0.25" ht="20" customHeight="1">
      <c r="A90"/>
    </row>
    <row r="91" spans="1:1" x14ac:dyDescent="0.25" ht="20" customHeight="1">
      <c r="A91"/>
    </row>
    <row r="92" spans="1:1" x14ac:dyDescent="0.25" ht="20" customHeight="1">
      <c r="A92"/>
    </row>
    <row r="93" spans="1:1" x14ac:dyDescent="0.25" ht="20" customHeight="1">
      <c r="A93"/>
    </row>
    <row r="94" spans="1:1" x14ac:dyDescent="0.25" ht="20" customHeight="1">
      <c r="A94"/>
    </row>
    <row r="95" spans="1:1" x14ac:dyDescent="0.25" ht="20" customHeight="1">
      <c r="A95"/>
    </row>
    <row r="96" spans="1:1" x14ac:dyDescent="0.25" ht="20" customHeight="1">
      <c r="A96"/>
    </row>
    <row r="97" spans="1:1" x14ac:dyDescent="0.25" ht="20" customHeight="1">
      <c r="A97"/>
    </row>
    <row r="98" spans="1:1" x14ac:dyDescent="0.25" ht="20" customHeight="1">
      <c r="A98"/>
    </row>
    <row r="99" spans="1:1" x14ac:dyDescent="0.25" ht="20" customHeight="1">
      <c r="A99"/>
    </row>
    <row r="100" spans="1:1" x14ac:dyDescent="0.25" ht="20" customHeight="1">
      <c r="A100"/>
    </row>
    <row r="101" spans="1:1" x14ac:dyDescent="0.25" ht="20" customHeight="1">
      <c r="A101"/>
    </row>
    <row r="102" spans="1:1" x14ac:dyDescent="0.25" ht="20" customHeight="1">
      <c r="A102"/>
    </row>
    <row r="103" spans="1:1" x14ac:dyDescent="0.25" ht="20" customHeight="1">
      <c r="A103"/>
    </row>
    <row r="104" spans="1:1" x14ac:dyDescent="0.25" ht="20" customHeight="1">
      <c r="A104"/>
    </row>
    <row r="105" spans="1:1" x14ac:dyDescent="0.25" ht="20" customHeight="1">
      <c r="A105"/>
    </row>
    <row r="106" spans="1:1" x14ac:dyDescent="0.25" ht="20" customHeight="1">
      <c r="A106"/>
    </row>
    <row r="107" spans="1:1" x14ac:dyDescent="0.25" ht="20" customHeight="1">
      <c r="A107"/>
    </row>
    <row r="108" spans="1:1" x14ac:dyDescent="0.25" ht="20" customHeight="1">
      <c r="A108"/>
    </row>
    <row r="109" spans="1:1" x14ac:dyDescent="0.25" ht="20" customHeight="1">
      <c r="A109"/>
    </row>
    <row r="110" spans="1:1" x14ac:dyDescent="0.25" ht="20" customHeight="1">
      <c r="A110"/>
    </row>
    <row r="111" spans="1:1" x14ac:dyDescent="0.25" ht="20" customHeight="1">
      <c r="A111"/>
    </row>
    <row r="112" spans="1:1" x14ac:dyDescent="0.25" ht="20" customHeight="1">
      <c r="A112"/>
    </row>
    <row r="113" spans="1:1" x14ac:dyDescent="0.25" ht="20" customHeight="1">
      <c r="A113"/>
    </row>
    <row r="114" spans="1:1" x14ac:dyDescent="0.25" ht="20" customHeight="1">
      <c r="A114"/>
    </row>
    <row r="115" spans="1:1" x14ac:dyDescent="0.25" ht="20" customHeight="1">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dataValidations count="3">
    <dataValidation type="list" allowBlank="1" showInputMessage="1" showErrorMessage="1" sqref="E33:E42" xr:uid="{EFF68F3F-CF83-49C2-B2AB-BEDCBCDF3258}">
      <formula1>INDIRECT("Table_SourceData_Scope3_ChemicalsPharmacy[Product]")</formula1>
    </dataValidation>
    <dataValidation type="list" allowBlank="1" showInputMessage="1" showErrorMessage="1" sqref="M19:M28 P19:P28 J19:J28 G19:G28" xr:uid="{40F7B413-9D96-4EA1-BBBE-5A4D680C63D9}">
      <formula1>INDIRECT("Table_ProductRegions_" &amp; SUBSTITUTE(SUBSTITUTE(SUBSTITUTE(SUBSTITUTE(F19, " ", ""), ",", ""), "(", ""), ")", "") &amp; "[Region]")</formula1>
    </dataValidation>
    <dataValidation type="list" allowBlank="1" showInputMessage="1" showErrorMessage="1" sqref="F19:F28 I19:I28 L19:L28 O19:O28" xr:uid="{ABAA02AE-CB25-4E14-BABB-3FEF13A57F5E}">
      <formula1>INDIRECT(_xlfn.UNIQUE("Table_SourceData_Scope3_Feed[Product]"))</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BD3A-0718-4E1E-9CE3-D7A440D5FD40}">
  <sheetPr>
    <tabColor theme="5" tint="-0.249977111117893"/>
  </sheetPr>
  <dimension ref="A1:J160"/>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style="239" customWidth="1"/>
    <col min="2" max="2" width="5.28515625" style="239" customWidth="1"/>
    <col min="3" max="3" width="5.28515625" style="1" customWidth="1"/>
    <col min="4" max="4" width="46.5703125" style="1" customWidth="1"/>
    <col min="5" max="9" width="35" style="1" customWidth="1"/>
    <col min="10" max="10" width="5.28515625" style="1" customWidth="1"/>
    <col min="11" max="16384" width="9.140625" style="239"/>
  </cols>
  <sheetData>
    <row r="1" spans="1:10" s="10" customFormat="1" ht="30" customHeight="1" x14ac:dyDescent="0.35">
      <c r="C1" s="10" t="s">
        <v>1043</v>
      </c>
    </row>
    <row r="2" spans="1:10" s="3" customFormat="1" ht="20" customHeight="1" x14ac:dyDescent="0.25">
      <c r="A2"/>
    </row>
    <row r="3" spans="1:10" ht="20" customHeight="1" x14ac:dyDescent="0.25">
      <c r="A3" s="5" t="str">
        <f>HYPERLINK("#'Home'!A1", "Home")</f>
        <v>Home</v>
      </c>
      <c r="C3" s="29"/>
      <c r="D3" s="29"/>
      <c r="E3" s="29"/>
      <c r="F3" s="29"/>
      <c r="G3" s="29"/>
      <c r="H3" s="29"/>
      <c r="I3" s="29"/>
      <c r="J3" s="29"/>
    </row>
    <row r="4" spans="1:10" ht="20" customHeight="1" x14ac:dyDescent="0.25">
      <c r="A4" s="5" t="str">
        <f>HYPERLINK("#'Results - Activity period'!A1", "Results - Activity period")</f>
        <v>Results - Activity period</v>
      </c>
    </row>
    <row r="5" spans="1:10" ht="20" customHeight="1" x14ac:dyDescent="0.25">
      <c r="A5" s="5" t="str">
        <f>HYPERLINK("#'Results - Product EI'!A1", "Results - Product Emissions Intensity")</f>
        <v>Results - Product Emissions Intensity</v>
      </c>
    </row>
    <row r="6" spans="1:10" ht="20" customHeight="1" x14ac:dyDescent="0.25">
      <c r="A6"/>
      <c r="D6" s="2" t="s">
        <v>1044</v>
      </c>
    </row>
    <row r="7" spans="1:10" ht="20" customHeight="1" x14ac:dyDescent="0.25">
      <c r="A7"/>
    </row>
    <row r="8" spans="1:10" ht="20" customHeight="1" x14ac:dyDescent="0.25">
      <c r="A8" s="7" t="s">
        <v>0</v>
      </c>
      <c r="D8" s="20" t="s">
        <v>1045</v>
      </c>
      <c r="E8" s="20" t="s">
        <v>1046</v>
      </c>
      <c r="F8" s="20" t="s">
        <v>1047</v>
      </c>
      <c r="G8" s="20" t="s">
        <v>1048</v>
      </c>
      <c r="H8" s="20" t="s">
        <v>1049</v>
      </c>
    </row>
    <row r="9" spans="1:10" ht="20" customHeight="1" x14ac:dyDescent="0.25">
      <c r="A9" s="5" t="str">
        <f>HYPERLINK("#'Input - Enterprise'!A1", "Enterprise")</f>
        <v>Enterprise</v>
      </c>
      <c r="D9" s="34"/>
      <c r="E9" s="13"/>
      <c r="F9" s="20"/>
      <c r="G9" s="20"/>
      <c r="H9" s="20"/>
    </row>
    <row r="10" spans="1:10" ht="20" customHeight="1" x14ac:dyDescent="0.25">
      <c r="A10" s="5" t="str">
        <f>HYPERLINK("#'Input - Site'!A1", "Site")</f>
        <v>Site</v>
      </c>
      <c r="D10" s="34"/>
      <c r="E10" s="13"/>
      <c r="F10" s="20"/>
      <c r="G10" s="20"/>
      <c r="H10" s="20"/>
    </row>
    <row r="11" spans="1:10" ht="20" customHeight="1" x14ac:dyDescent="0.25">
      <c r="A11" s="5" t="str">
        <f>HYPERLINK("#'Input - Pasture Beef'!A1", "Pasture Beef")</f>
        <v>Pasture Beef</v>
      </c>
      <c r="D11" s="34"/>
      <c r="E11" s="13"/>
      <c r="F11" s="20"/>
      <c r="G11" s="20"/>
      <c r="H11" s="20"/>
    </row>
    <row r="12" spans="1:10" ht="20" customHeight="1" x14ac:dyDescent="0.25">
      <c r="A12" s="5" t="str">
        <f>HYPERLINK("#'Input - Livestock sales'!A1", "Livestock sales")</f>
        <v>Livestock sales</v>
      </c>
      <c r="D12" s="34"/>
      <c r="E12" s="13"/>
      <c r="F12" s="20"/>
      <c r="G12" s="20"/>
      <c r="H12" s="20"/>
    </row>
    <row r="13" spans="1:10" ht="20" customHeight="1" x14ac:dyDescent="0.25">
      <c r="A13" s="5" t="str">
        <f>HYPERLINK("#'Input - Beef cattle purchases'!A1", "Beef cattle purchases")</f>
        <v>Beef cattle purchases</v>
      </c>
      <c r="D13" s="34"/>
      <c r="E13" s="13"/>
      <c r="F13" s="20"/>
      <c r="G13" s="20"/>
      <c r="H13" s="20"/>
    </row>
    <row r="14" spans="1:10" ht="20" customHeight="1" x14ac:dyDescent="0.25">
      <c r="A14" s="5" t="str">
        <f>HYPERLINK("#'Input - Pasture'!A1", "Pasture")</f>
        <v>Pasture</v>
      </c>
      <c r="D14" s="34"/>
      <c r="E14" s="13"/>
      <c r="F14" s="20"/>
      <c r="G14" s="20"/>
      <c r="H14" s="20"/>
    </row>
    <row r="15" spans="1:10" ht="20" customHeight="1" x14ac:dyDescent="0.25">
      <c r="A15" s="5" t="str">
        <f>HYPERLINK("#'Input - Fert Prod System'!A1", "Fert Prod System")</f>
        <v>Fert Prod System</v>
      </c>
      <c r="D15" s="34"/>
      <c r="E15" s="13"/>
      <c r="F15" s="20"/>
      <c r="G15" s="20"/>
      <c r="H15" s="20"/>
    </row>
    <row r="16" spans="1:10" ht="20" customHeight="1" x14ac:dyDescent="0.25">
      <c r="A16" s="5" t="str">
        <f>HYPERLINK("#'Input - Fertiliser'!A1", "Fertiliser")</f>
        <v>Fertiliser</v>
      </c>
      <c r="D16" s="34"/>
      <c r="E16" s="13"/>
      <c r="F16" s="20"/>
      <c r="G16" s="20"/>
      <c r="H16" s="20"/>
    </row>
    <row r="17" spans="1:8" ht="20" customHeight="1" x14ac:dyDescent="0.25">
      <c r="A17" s="5" t="str">
        <f>HYPERLINK("#'Input - Fuel'!A1", "Fuel")</f>
        <v>Fuel</v>
      </c>
      <c r="D17" s="34"/>
      <c r="E17" s="13"/>
      <c r="F17" s="20"/>
      <c r="G17" s="20"/>
      <c r="H17" s="20"/>
    </row>
    <row r="18" spans="1:8" ht="20" customHeight="1" x14ac:dyDescent="0.25">
      <c r="A18" s="5" t="str">
        <f>HYPERLINK("#'Input - Electricity'!A1", "Electricity")</f>
        <v>Electricity</v>
      </c>
      <c r="D18" s="34"/>
      <c r="E18" s="13"/>
      <c r="F18" s="20"/>
      <c r="G18" s="20"/>
      <c r="H18" s="20"/>
    </row>
    <row r="19" spans="1:8" ht="20" customHeight="1" x14ac:dyDescent="0.25">
      <c r="A19" s="5" t="str">
        <f>HYPERLINK("#'Input - Common farm inputs'!A1", "Common farm inputs")</f>
        <v>Common farm inputs</v>
      </c>
    </row>
    <row r="20" spans="1:8" ht="20" customHeight="1" x14ac:dyDescent="0.25">
      <c r="A20" s="5" t="str">
        <f>HYPERLINK("#'Input - Crop pasture farm input'!A1", "Crop pasture farm input")</f>
        <v>Crop pasture farm input</v>
      </c>
    </row>
    <row r="21" spans="1:8" ht="20" customHeight="1" x14ac:dyDescent="0.25">
      <c r="A21" s="5" t="str">
        <f>HYPERLINK("#'Input - Livestock farm Inputs'!A1", "Livestock farm Inputs")</f>
        <v>Livestock farm Inputs</v>
      </c>
    </row>
    <row r="22" spans="1:8" ht="20" customHeight="1" x14ac:dyDescent="0.25">
      <c r="A22" s="99" t="str">
        <f>HYPERLINK("#'Input - Freight'!A1", "Freight")</f>
        <v>Freight</v>
      </c>
      <c r="D22" s="2" t="s">
        <v>1050</v>
      </c>
    </row>
    <row r="23" spans="1:8" ht="20" customHeight="1" x14ac:dyDescent="0.25">
      <c r="A23" s="5" t="str">
        <f>HYPERLINK("#'Input - Solid waste'!A1", "Solid waste")</f>
        <v>Solid waste</v>
      </c>
    </row>
    <row r="24" spans="1:8" ht="20" customHeight="1" x14ac:dyDescent="0.25">
      <c r="A24" s="5" t="str">
        <f>HYPERLINK("#'Input - Manure sent off-site'!A1", "Manure sent off-site")</f>
        <v>Manure sent off-site</v>
      </c>
      <c r="D24" s="20" t="s">
        <v>1045</v>
      </c>
      <c r="E24" s="20" t="s">
        <v>1046</v>
      </c>
      <c r="F24" s="20" t="s">
        <v>1047</v>
      </c>
      <c r="G24" s="20" t="s">
        <v>1048</v>
      </c>
      <c r="H24" s="20" t="s">
        <v>1049</v>
      </c>
    </row>
    <row r="25" spans="1:8" ht="20" customHeight="1" x14ac:dyDescent="0.25">
      <c r="A25" s="5" t="str">
        <f>HYPERLINK("#'Input - Data quality'!A1", "Data quality")</f>
        <v>Data quality</v>
      </c>
      <c r="D25" s="34"/>
      <c r="E25" s="13"/>
      <c r="F25" s="20"/>
      <c r="G25" s="20"/>
      <c r="H25" s="20"/>
    </row>
    <row r="26" spans="1:8" ht="20" customHeight="1" x14ac:dyDescent="0.25">
      <c r="A26"/>
      <c r="D26" s="34"/>
      <c r="E26" s="13"/>
      <c r="F26" s="20"/>
      <c r="G26" s="20"/>
      <c r="H26" s="20"/>
    </row>
    <row r="27" spans="1:8" ht="20" customHeight="1" x14ac:dyDescent="0.25">
      <c r="A27"/>
      <c r="D27" s="34"/>
      <c r="E27" s="13"/>
      <c r="F27" s="20"/>
      <c r="G27" s="20"/>
      <c r="H27" s="20"/>
    </row>
    <row r="28" spans="1:8" ht="20" customHeight="1" x14ac:dyDescent="0.25">
      <c r="A28" s="6" t="s">
        <v>2</v>
      </c>
      <c r="D28" s="34"/>
      <c r="E28" s="13"/>
      <c r="F28" s="20"/>
      <c r="G28" s="20"/>
      <c r="H28" s="20"/>
    </row>
    <row r="29" spans="1:8" ht="20" customHeight="1" x14ac:dyDescent="0.25">
      <c r="A29" s="5" t="str">
        <f>HYPERLINK("#'3.2.1.1-2 Enteric Methane'!A1", "3.2.1.1-2 Enteric Methane")</f>
        <v>3.2.1.1-2 Enteric Methane</v>
      </c>
      <c r="D29" s="34"/>
      <c r="E29" s="13"/>
      <c r="F29" s="20"/>
      <c r="G29" s="20"/>
      <c r="H29" s="20"/>
    </row>
    <row r="30" spans="1:8" ht="20" customHeight="1" x14ac:dyDescent="0.25">
      <c r="A30" s="5" t="str">
        <f>HYPERLINK("#'4.2.1.1-2 Methane'!A1", "4.2.1.1-2 Manure methane")</f>
        <v>4.2.1.1-2 Manure methane</v>
      </c>
      <c r="D30" s="34"/>
      <c r="E30" s="13"/>
      <c r="F30" s="20"/>
      <c r="G30" s="20"/>
      <c r="H30" s="20"/>
    </row>
    <row r="31" spans="1:8" ht="20" customHeight="1" x14ac:dyDescent="0.25">
      <c r="A31" s="5" t="str">
        <f>HYPERLINK("#'4.2.1.3-4 Soil direct N20'!A1", "4.2.1.3-4 Soil direct N2O")</f>
        <v>4.2.1.3-4 Soil direct N2O</v>
      </c>
      <c r="D31" s="34"/>
      <c r="E31" s="13"/>
      <c r="F31" s="20"/>
      <c r="G31" s="20"/>
      <c r="H31" s="20"/>
    </row>
    <row r="32" spans="1:8" ht="20" customHeight="1" x14ac:dyDescent="0.25">
      <c r="A32" s="5" t="str">
        <f>HYPERLINK("#'4.2.1.5-6 Soil Atmos Dep'!A1", "4.2.1.5-6 Soil atm. deposition")</f>
        <v>4.2.1.5-6 Soil atm. deposition</v>
      </c>
      <c r="D32" s="34"/>
      <c r="E32" s="13"/>
      <c r="F32" s="20"/>
      <c r="G32" s="20"/>
      <c r="H32" s="20"/>
    </row>
    <row r="33" spans="1:8" ht="20" customHeight="1" x14ac:dyDescent="0.25">
      <c r="A33" s="5" t="str">
        <f>HYPERLINK("#'4.2.1.7-8 Soil leach runoff'!A1", "4.2.1.7-8 Soil leach &amp; runoff")</f>
        <v>4.2.1.7-8 Soil leach &amp; runoff</v>
      </c>
      <c r="D33" s="34"/>
      <c r="E33" s="13"/>
      <c r="F33" s="20"/>
      <c r="G33" s="20"/>
      <c r="H33" s="20"/>
    </row>
    <row r="34" spans="1:8" ht="20" customHeight="1" x14ac:dyDescent="0.25">
      <c r="A34" s="5" t="str">
        <f>HYPERLINK("#'5.1.1.1-2 Inorganic fert N2O'!A1", "5.1.1.1-2 Inorganic fert N2O")</f>
        <v>5.1.1.1-2 Inorganic fert N2O</v>
      </c>
      <c r="D34" s="34"/>
      <c r="E34" s="13"/>
      <c r="F34" s="20"/>
      <c r="G34" s="20"/>
      <c r="H34" s="20"/>
    </row>
    <row r="35" spans="1:8" ht="20" customHeight="1" x14ac:dyDescent="0.25">
      <c r="A35" s="5" t="str">
        <f>HYPERLINK("#'5.1.1.3-4 Inorganic fert CO2'!A1", "5.1.1.3-4 Inorganic fert CO2")</f>
        <v>5.1.1.3-4 Inorganic fert CO2</v>
      </c>
    </row>
    <row r="36" spans="1:8" ht="20" customHeight="1" x14ac:dyDescent="0.25">
      <c r="A36" s="5" t="str">
        <f>HYPERLINK("#'5.2.1.1-2 Organic Fert N2O'!A1", "5.2.1.1-2 Organic fert N2O")</f>
        <v>5.2.1.1-2 Organic fert N2O</v>
      </c>
    </row>
    <row r="37" spans="1:8" ht="20" customHeight="1" x14ac:dyDescent="0.25">
      <c r="A37" s="5" t="str">
        <f>HYPERLINK("#'5.3.1.1-2 Lime CO2'!A1", "5.3.1.1-2 Lime CO2")</f>
        <v>5.3.1.1-2 Lime CO2</v>
      </c>
    </row>
    <row r="38" spans="1:8" ht="20" customHeight="1" x14ac:dyDescent="0.25">
      <c r="A38" s="5" t="str">
        <f>HYPERLINK("#'5.4.1.1-4 Atmos deposition'!A1", "5.4.1.1-4 Atmos. deposition")</f>
        <v>5.4.1.1-4 Atmos. deposition</v>
      </c>
    </row>
    <row r="39" spans="1:8" ht="20" customHeight="1" x14ac:dyDescent="0.25">
      <c r="A39" s="5" t="str">
        <f>HYPERLINK("#'5.5.1.1-2 Leaching and runoff'!A1", "5.5.1.1-2 Leaching &amp; runoff")</f>
        <v>5.5.1.1-2 Leaching &amp; runoff</v>
      </c>
    </row>
    <row r="40" spans="1:8" ht="20" customHeight="1" x14ac:dyDescent="0.25">
      <c r="A40" s="5" t="str">
        <f>HYPERLINK("#'6.2.1.1-2 Pasture residue N2O'!A1", "6.2.1.1-2 Pasture residue N2O")</f>
        <v>6.2.1.1-2 Pasture residue N2O</v>
      </c>
    </row>
    <row r="41" spans="1:8" ht="20" customHeight="1" x14ac:dyDescent="0.25">
      <c r="A41" s="5" t="str">
        <f>HYPERLINK("#'6.3.1.1-2 Leach runoff pasture'!A1", "6.3.1.1-2 Leach &amp; runoff (pasture)")</f>
        <v>6.3.1.1-2 Leach &amp; runoff (pasture)</v>
      </c>
    </row>
    <row r="42" spans="1:8" ht="20" customHeight="1" x14ac:dyDescent="0.25">
      <c r="A42" s="5" t="str">
        <f>HYPERLINK("#'8.1.1.1-2 Transport fuel'!A1", "8.1.1.1-2 Transport fuel")</f>
        <v>8.1.1.1-2 Transport fuel</v>
      </c>
    </row>
    <row r="43" spans="1:8" ht="20" customHeight="1" x14ac:dyDescent="0.25">
      <c r="A43" s="5" t="str">
        <f>HYPERLINK("#'8.2.1.1-2 Stationary fuel'!A1", "8.2.1.1-2 Stationary fuel")</f>
        <v>8.2.1.1-2 Stationary fuel</v>
      </c>
    </row>
    <row r="44" spans="1:8" ht="20" customHeight="1" x14ac:dyDescent="0.25">
      <c r="A44" s="5" t="str">
        <f>HYPERLINK("#'10.1.1-2 Solid waste treatment'!A1", "10.1.1.1-2 Solid waste")</f>
        <v>10.1.1.1-2 Solid waste</v>
      </c>
    </row>
    <row r="45" spans="1:8" ht="20" customHeight="1" x14ac:dyDescent="0.25">
      <c r="A45" s="5" t="str">
        <f>HYPERLINK("#'14.1.1-2 Purchased electricity'!A1", "14.1.1-2 Purchased electricity")</f>
        <v>14.1.1-2 Purchased electricity</v>
      </c>
    </row>
    <row r="46" spans="1:8" ht="20" customHeight="1" x14ac:dyDescent="0.25">
      <c r="A46" s="5" t="str">
        <f>HYPERLINK("#'15 Scope 3'!A1", "15 Scope 3")</f>
        <v>15 Scope 3</v>
      </c>
    </row>
    <row r="47" spans="1:8" ht="20" customHeight="1" x14ac:dyDescent="0.25">
      <c r="A47" s="5" t="str">
        <f>HYPERLINK("#'Calcs - Manure sent off-site'!A1", "Calcs - Manure sent off-site")</f>
        <v>Calcs - Manure sent off-site</v>
      </c>
    </row>
    <row r="48" spans="1:8" ht="20" customHeight="1" x14ac:dyDescent="0.25">
      <c r="A48"/>
    </row>
    <row r="49" spans="1:1" ht="20" customHeight="1" x14ac:dyDescent="0.25">
      <c r="A49"/>
    </row>
    <row r="50" spans="1:1" ht="20" customHeight="1" x14ac:dyDescent="0.25">
      <c r="A50" s="85" t="s">
        <v>1</v>
      </c>
    </row>
    <row r="51" spans="1:1" ht="20" customHeight="1" x14ac:dyDescent="0.25">
      <c r="A51" s="5" t="str">
        <f>HYPERLINK("#'Constants - Pasture Beef'!A1", "Constants - Pasture Beef")</f>
        <v>Constants - Pasture Beef</v>
      </c>
    </row>
    <row r="52" spans="1:1" x14ac:dyDescent="0.25" ht="20" customHeight="1">
      <c r="A52" s="5" t="str">
        <f>HYPERLINK("#'Constants - Ag Residue'!A1", "Constants - Ag residue")</f>
        <v>Constants - Ag residue</v>
      </c>
    </row>
    <row r="53" spans="1:1" x14ac:dyDescent="0.25" ht="20" customHeight="1">
      <c r="A53" s="5" t="str">
        <f>HYPERLINK("#'Constants - Common Livestock'!A1", "Constants - Common Livestock")</f>
        <v>Constants - Common Livestock</v>
      </c>
    </row>
    <row r="54" spans="1:1" x14ac:dyDescent="0.25" ht="20" customHeight="1">
      <c r="A54" s="5" t="str">
        <f>HYPERLINK("#'Constants - Electricity'!A1", "Constants - Electricity")</f>
        <v>Constants - Electricity</v>
      </c>
    </row>
    <row r="55" spans="1:1" x14ac:dyDescent="0.25" ht="20" customHeight="1">
      <c r="A55" s="5" t="str">
        <f>HYPERLINK("#'Constants - Fertiliser'!A1", "Constants - Fertiliser")</f>
        <v>Constants - Fertiliser</v>
      </c>
    </row>
    <row r="56" spans="1:1" x14ac:dyDescent="0.25" ht="20" customHeight="1">
      <c r="A56" s="5" t="str">
        <f>HYPERLINK("#'Constants - Fuel'!A1", "Constants - Fuel")</f>
        <v>Constants - Fuel</v>
      </c>
    </row>
    <row r="57" spans="1:1" x14ac:dyDescent="0.25" ht="20" customHeight="1">
      <c r="A57" s="5" t="str">
        <f>HYPERLINK("#'Constants - Scope 3'!A1", "Constants - Scope 3")</f>
        <v>Constants - Scope 3</v>
      </c>
    </row>
    <row r="58" spans="1:1" x14ac:dyDescent="0.25" ht="20" customHeight="1">
      <c r="A58" s="5" t="str">
        <f>HYPERLINK("#'Constants - Solid Waste'!A1", "Constants - Solid Waste")</f>
        <v>Constants - Solid Waste</v>
      </c>
    </row>
    <row r="59" spans="1:1" x14ac:dyDescent="0.25" ht="20" customHeight="1">
      <c r="A59" s="5" t="str">
        <f>HYPERLINK("#'Constants - Common'!A1", "Constants - Common")</f>
        <v>Constants - Common</v>
      </c>
    </row>
    <row r="60" spans="1:1" x14ac:dyDescent="0.25" ht="20" customHeight="1">
      <c r="A60" s="5" t="str">
        <f>HYPERLINK("#'Acknowledgements'!A1", "Acknowledgements")</f>
        <v>Acknowledgements</v>
      </c>
    </row>
    <row r="61" spans="1:1" x14ac:dyDescent="0.25" ht="20" customHeight="1">
      <c r="A61"/>
    </row>
    <row r="62" spans="1:1" x14ac:dyDescent="0.25" ht="20" customHeight="1">
      <c r="A62"/>
    </row>
    <row r="63" spans="1:1" x14ac:dyDescent="0.25" ht="20" customHeight="1">
      <c r="A63"/>
    </row>
    <row r="64" spans="1:1" x14ac:dyDescent="0.25" ht="20" customHeight="1">
      <c r="A64"/>
    </row>
    <row r="65" spans="1:1" x14ac:dyDescent="0.25" ht="20" customHeight="1">
      <c r="A65"/>
    </row>
    <row r="66" spans="1:1" x14ac:dyDescent="0.25" ht="20" customHeight="1">
      <c r="A66"/>
    </row>
    <row r="67" spans="1:1" x14ac:dyDescent="0.25" ht="20" customHeight="1">
      <c r="A67"/>
    </row>
    <row r="68" spans="1:1" x14ac:dyDescent="0.25" ht="20" customHeight="1">
      <c r="A68"/>
    </row>
    <row r="69" spans="1:1" x14ac:dyDescent="0.25" ht="20" customHeight="1">
      <c r="A69"/>
    </row>
    <row r="70" spans="1:1" x14ac:dyDescent="0.25" ht="20" customHeight="1">
      <c r="A70"/>
    </row>
    <row r="71" spans="1:1" x14ac:dyDescent="0.25" ht="20" customHeight="1">
      <c r="A71"/>
    </row>
    <row r="72" spans="1:1" x14ac:dyDescent="0.25" ht="20" customHeight="1">
      <c r="A72"/>
    </row>
    <row r="73" spans="1:1" x14ac:dyDescent="0.25" ht="20" customHeight="1">
      <c r="A73"/>
    </row>
    <row r="74" spans="1:1" x14ac:dyDescent="0.25" ht="20" customHeight="1">
      <c r="A74"/>
    </row>
    <row r="75" spans="1:1" x14ac:dyDescent="0.25" ht="20" customHeight="1">
      <c r="A75"/>
    </row>
    <row r="76" spans="1:1" x14ac:dyDescent="0.25" ht="20" customHeight="1">
      <c r="A76"/>
    </row>
    <row r="77" spans="1:1" x14ac:dyDescent="0.25" ht="20" customHeight="1">
      <c r="A77"/>
    </row>
    <row r="78" spans="1:1" x14ac:dyDescent="0.25" ht="20" customHeight="1">
      <c r="A78"/>
    </row>
    <row r="79" spans="1:1" x14ac:dyDescent="0.25" ht="20" customHeight="1">
      <c r="A79"/>
    </row>
    <row r="80" spans="1:1" x14ac:dyDescent="0.25" ht="20" customHeight="1">
      <c r="A80"/>
    </row>
    <row r="81" spans="1:1" x14ac:dyDescent="0.25" ht="20" customHeight="1">
      <c r="A81"/>
    </row>
    <row r="82" spans="1:1" x14ac:dyDescent="0.25" ht="20" customHeight="1">
      <c r="A82"/>
    </row>
    <row r="83" spans="1:1" x14ac:dyDescent="0.25" ht="20" customHeight="1">
      <c r="A83"/>
    </row>
    <row r="84" spans="1:1" x14ac:dyDescent="0.25" ht="20" customHeight="1">
      <c r="A84"/>
    </row>
    <row r="85" spans="1:1" x14ac:dyDescent="0.25" ht="20" customHeight="1">
      <c r="A85"/>
    </row>
    <row r="86" spans="1:1" x14ac:dyDescent="0.25" ht="20" customHeight="1">
      <c r="A86"/>
    </row>
    <row r="87" spans="1:1" x14ac:dyDescent="0.25" ht="20" customHeight="1">
      <c r="A87"/>
    </row>
    <row r="88" spans="1:1" x14ac:dyDescent="0.25" ht="20" customHeight="1">
      <c r="A88"/>
    </row>
    <row r="89" spans="1:1" x14ac:dyDescent="0.25" ht="20" customHeight="1">
      <c r="A89"/>
    </row>
    <row r="90" spans="1:1" x14ac:dyDescent="0.25" ht="20" customHeight="1">
      <c r="A90"/>
    </row>
    <row r="91" spans="1:1" x14ac:dyDescent="0.25" ht="20" customHeight="1">
      <c r="A91"/>
    </row>
    <row r="92" spans="1:1" x14ac:dyDescent="0.25" ht="20" customHeight="1">
      <c r="A92"/>
    </row>
    <row r="93" spans="1:1" x14ac:dyDescent="0.25" ht="20" customHeight="1">
      <c r="A93"/>
    </row>
    <row r="94" spans="1:1" x14ac:dyDescent="0.25" ht="20" customHeight="1">
      <c r="A94"/>
    </row>
    <row r="95" spans="1:1" x14ac:dyDescent="0.25" ht="20" customHeight="1">
      <c r="A95"/>
    </row>
    <row r="96" spans="1:1" x14ac:dyDescent="0.25" ht="20" customHeight="1">
      <c r="A96"/>
    </row>
    <row r="97" spans="1:1" x14ac:dyDescent="0.25" ht="20" customHeight="1">
      <c r="A97"/>
    </row>
    <row r="98" spans="1:1" x14ac:dyDescent="0.25" ht="20" customHeight="1">
      <c r="A98"/>
    </row>
    <row r="99" spans="1:1" x14ac:dyDescent="0.25" ht="20" customHeight="1">
      <c r="A99"/>
    </row>
    <row r="100" spans="1:1" x14ac:dyDescent="0.25" ht="20" customHeight="1">
      <c r="A100"/>
    </row>
    <row r="101" spans="1:1" x14ac:dyDescent="0.25" ht="20" customHeight="1">
      <c r="A101"/>
    </row>
    <row r="102" spans="1:1" x14ac:dyDescent="0.25" ht="20" customHeight="1">
      <c r="A102"/>
    </row>
    <row r="103" spans="1:1" x14ac:dyDescent="0.25" ht="20" customHeight="1">
      <c r="A103"/>
    </row>
    <row r="104" spans="1:1" x14ac:dyDescent="0.25" ht="20" customHeight="1">
      <c r="A104"/>
    </row>
    <row r="105" spans="1:1" x14ac:dyDescent="0.25" ht="20" customHeight="1">
      <c r="A105"/>
    </row>
    <row r="106" spans="1:1" x14ac:dyDescent="0.25" ht="20" customHeight="1">
      <c r="A106"/>
    </row>
    <row r="107" spans="1:1" x14ac:dyDescent="0.25" ht="20" customHeight="1">
      <c r="A107"/>
    </row>
    <row r="108" spans="1:1" x14ac:dyDescent="0.25" ht="20" customHeight="1">
      <c r="A108"/>
    </row>
    <row r="109" spans="1:1" x14ac:dyDescent="0.25" ht="20" customHeight="1">
      <c r="A109"/>
    </row>
    <row r="110" spans="1:1" x14ac:dyDescent="0.25" ht="20" customHeight="1">
      <c r="A110"/>
    </row>
    <row r="111" spans="1:1" x14ac:dyDescent="0.25" ht="20" customHeight="1">
      <c r="A111"/>
    </row>
    <row r="112" spans="1:1" x14ac:dyDescent="0.25" ht="20" customHeight="1">
      <c r="A112"/>
    </row>
    <row r="113" spans="1:1" x14ac:dyDescent="0.25" ht="20" customHeight="1">
      <c r="A113"/>
    </row>
    <row r="114" spans="1:1" x14ac:dyDescent="0.25" ht="20" customHeight="1">
      <c r="A114"/>
    </row>
    <row r="115" spans="1:1" x14ac:dyDescent="0.25" ht="20" customHeight="1">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dataValidations count="1">
    <dataValidation type="list" allowBlank="1" showInputMessage="1" showErrorMessage="1" sqref="E9:E18 E25:E34" xr:uid="{F00E3685-5A03-47C9-8940-DD0F03119062}">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025A-FBBA-42BB-B147-FAD915DCF3AC}">
  <sheetPr>
    <tabColor theme="5" tint="-0.249977111117893"/>
  </sheetPr>
  <dimension ref="A1:L385"/>
  <sheetViews>
    <sheetView showGridLines="0" zoomScaleNormal="100" workbookViewId="0">
      <pane xSplit="1" topLeftCell="B1" activePane="topRight" state="frozen"/>
      <selection pane="topRight" activeCell="A4" sqref="A4"/>
    </sheetView>
  </sheetViews>
  <sheetFormatPr defaultRowHeight="20" x14ac:dyDescent="0.25" customHeight="1"/>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894</v>
      </c>
    </row>
    <row r="2" spans="1:10" s="3" customFormat="1" ht="20" customHeight="1" x14ac:dyDescent="0.25">
      <c r="A2"/>
    </row>
    <row r="3" spans="1:10" ht="20" customHeight="1" x14ac:dyDescent="0.25">
      <c r="A3" s="5" t="str">
        <f>HYPERLINK("#'Home'!A1", "Home")</f>
        <v>Home</v>
      </c>
      <c r="C3" s="29"/>
      <c r="D3" s="29"/>
      <c r="E3" s="29"/>
      <c r="F3" s="29"/>
      <c r="G3" s="29"/>
      <c r="H3" s="29"/>
      <c r="I3" s="29"/>
      <c r="J3" s="29"/>
    </row>
    <row r="4" spans="1:10" ht="20" customHeight="1" x14ac:dyDescent="0.25">
      <c r="A4" s="5" t="str">
        <f>HYPERLINK("#'Results - Activity period'!A1", "Results - Activity period")</f>
        <v>Results - Activity period</v>
      </c>
    </row>
    <row r="5" spans="1:10" ht="20" customHeight="1" x14ac:dyDescent="0.25">
      <c r="A5" s="5" t="str">
        <f>HYPERLINK("#'Results - Product EI'!A1", "Results - Product Emissions Intensity")</f>
        <v>Results - Product Emissions Intensity</v>
      </c>
      <c r="D5" s="2" t="s">
        <v>895</v>
      </c>
    </row>
    <row r="6" spans="1:10" ht="20" customHeight="1" x14ac:dyDescent="0.25"/>
    <row r="7" spans="1:10" ht="20" customHeight="1" x14ac:dyDescent="0.25">
      <c r="D7" s="36" t="s">
        <v>772</v>
      </c>
      <c r="E7" s="39"/>
    </row>
    <row r="8" spans="1:10" ht="20" customHeight="1" x14ac:dyDescent="0.25">
      <c r="A8" s="7" t="s">
        <v>0</v>
      </c>
    </row>
    <row r="9" spans="1:10" ht="20" customHeight="1" x14ac:dyDescent="0.25">
      <c r="A9" s="5" t="str">
        <f>HYPERLINK("#'Input - Enterprise'!A1", "Enterprise")</f>
        <v>Enterprise</v>
      </c>
      <c r="D9" s="82" t="s">
        <v>194</v>
      </c>
      <c r="E9" s="82" t="s">
        <v>896</v>
      </c>
      <c r="F9" s="82" t="s">
        <v>897</v>
      </c>
      <c r="G9" s="82" t="s">
        <v>898</v>
      </c>
      <c r="H9" s="82" t="s">
        <v>899</v>
      </c>
      <c r="I9" s="82" t="s">
        <v>900</v>
      </c>
    </row>
    <row r="10" spans="1:10" ht="20" customHeight="1" x14ac:dyDescent="0.25">
      <c r="A10" s="5" t="str">
        <f>HYPERLINK("#'Input - Site'!A1", "Site")</f>
        <v>Site</v>
      </c>
      <c r="D10" s="34"/>
      <c r="E10" s="13"/>
      <c r="F10" s="13"/>
      <c r="G10" s="13"/>
      <c r="H10" s="76"/>
      <c r="I10" s="13"/>
    </row>
    <row r="11" spans="1:10" ht="20" customHeight="1" x14ac:dyDescent="0.25">
      <c r="A11" s="5" t="str">
        <f>HYPERLINK("#'Input - Pasture Beef'!A1", "Pasture Beef")</f>
        <v>Pasture Beef</v>
      </c>
      <c r="D11" s="34"/>
      <c r="E11" s="13"/>
      <c r="F11" s="13"/>
      <c r="G11" s="13"/>
      <c r="H11" s="76"/>
      <c r="I11" s="13"/>
    </row>
    <row r="12" spans="1:10" ht="20" customHeight="1" x14ac:dyDescent="0.25">
      <c r="A12" s="5" t="str">
        <f>HYPERLINK("#'Input - Livestock sales'!A1", "Livestock sales")</f>
        <v>Livestock sales</v>
      </c>
      <c r="D12" s="34"/>
      <c r="E12" s="13"/>
      <c r="F12" s="13"/>
      <c r="G12" s="13"/>
      <c r="H12" s="76"/>
      <c r="I12" s="13"/>
    </row>
    <row r="13" spans="1:10" ht="20" customHeight="1" x14ac:dyDescent="0.25">
      <c r="A13" s="5" t="str">
        <f>HYPERLINK("#'Input - Beef cattle purchases'!A1", "Beef cattle purchases")</f>
        <v>Beef cattle purchases</v>
      </c>
      <c r="D13" s="34"/>
      <c r="E13" s="13"/>
      <c r="F13" s="13"/>
      <c r="G13" s="13"/>
      <c r="H13" s="76"/>
      <c r="I13" s="13"/>
    </row>
    <row r="14" spans="1:10" ht="20" customHeight="1" x14ac:dyDescent="0.25">
      <c r="A14" s="5" t="str">
        <f>HYPERLINK("#'Input - Pasture'!A1", "Pasture")</f>
        <v>Pasture</v>
      </c>
      <c r="D14" s="34"/>
      <c r="E14" s="13"/>
      <c r="F14" s="13"/>
      <c r="G14" s="13"/>
      <c r="H14" s="76"/>
      <c r="I14" s="13"/>
    </row>
    <row r="15" spans="1:10" ht="20" customHeight="1" x14ac:dyDescent="0.25">
      <c r="A15" s="5" t="str">
        <f>HYPERLINK("#'Input - Fert Prod System'!A1", "Fert Prod System")</f>
        <v>Fert Prod System</v>
      </c>
      <c r="D15" s="34"/>
      <c r="E15" s="13"/>
      <c r="F15" s="13"/>
      <c r="G15" s="13"/>
      <c r="H15" s="76"/>
      <c r="I15" s="13"/>
    </row>
    <row r="16" spans="1:10" ht="20" customHeight="1" x14ac:dyDescent="0.25">
      <c r="A16" s="5" t="str">
        <f>HYPERLINK("#'Input - Fertiliser'!A1", "Fertiliser")</f>
        <v>Fertiliser</v>
      </c>
      <c r="D16" s="34"/>
      <c r="E16" s="13"/>
      <c r="F16" s="13"/>
      <c r="G16" s="13"/>
      <c r="H16" s="76"/>
      <c r="I16" s="13"/>
    </row>
    <row r="17" spans="1:11" ht="20" customHeight="1" x14ac:dyDescent="0.25">
      <c r="A17" s="5" t="str">
        <f>HYPERLINK("#'Input - Fuel'!A1", "Fuel")</f>
        <v>Fuel</v>
      </c>
      <c r="D17" s="34"/>
      <c r="E17" s="13"/>
      <c r="F17" s="13"/>
      <c r="G17" s="13"/>
      <c r="H17" s="76"/>
      <c r="I17" s="13"/>
    </row>
    <row r="18" spans="1:11" ht="20" customHeight="1" x14ac:dyDescent="0.25">
      <c r="A18" s="5" t="str">
        <f>HYPERLINK("#'Input - Electricity'!A1", "Electricity")</f>
        <v>Electricity</v>
      </c>
      <c r="D18" s="34"/>
      <c r="E18" s="13"/>
      <c r="F18" s="13"/>
      <c r="G18" s="13"/>
      <c r="H18" s="76"/>
      <c r="I18" s="13"/>
    </row>
    <row r="19" spans="1:11" ht="20" customHeight="1" x14ac:dyDescent="0.25">
      <c r="A19" s="5" t="str">
        <f>HYPERLINK("#'Input - Common farm inputs'!A1", "Common farm inputs")</f>
        <v>Common farm inputs</v>
      </c>
      <c r="D19" s="34"/>
      <c r="E19" s="13"/>
      <c r="F19" s="13"/>
      <c r="G19" s="13"/>
      <c r="H19" s="76"/>
      <c r="I19" s="13"/>
    </row>
    <row r="20" spans="1:11" ht="20" customHeight="1" x14ac:dyDescent="0.25">
      <c r="A20" s="5" t="str">
        <f>HYPERLINK("#'Input - Crop pasture farm input'!A1", "Crop pasture farm input")</f>
        <v>Crop pasture farm input</v>
      </c>
      <c r="D20" s="34"/>
      <c r="E20" s="13"/>
      <c r="F20" s="13"/>
      <c r="G20" s="13"/>
      <c r="H20" s="76"/>
      <c r="I20" s="13"/>
    </row>
    <row r="21" spans="1:11" ht="20" customHeight="1" x14ac:dyDescent="0.25">
      <c r="A21" s="5" t="str">
        <f>HYPERLINK("#'Input - Livestock farm Inputs'!A1", "Livestock farm Inputs")</f>
        <v>Livestock farm Inputs</v>
      </c>
      <c r="D21" s="34"/>
      <c r="E21" s="13"/>
      <c r="F21" s="13"/>
      <c r="G21" s="13"/>
      <c r="H21" s="76"/>
      <c r="I21" s="13"/>
    </row>
    <row r="22" spans="1:11" ht="20" customHeight="1" x14ac:dyDescent="0.25">
      <c r="A22" s="5" t="str">
        <f>HYPERLINK("#'Input - Freight'!A1", "Freight")</f>
        <v>Freight</v>
      </c>
      <c r="D22" s="34"/>
      <c r="E22" s="13"/>
      <c r="F22" s="13"/>
      <c r="G22" s="13"/>
      <c r="H22" s="76"/>
      <c r="I22" s="13"/>
    </row>
    <row r="23" spans="1:11" ht="20" customHeight="1" x14ac:dyDescent="0.25">
      <c r="A23" s="99" t="str">
        <f>HYPERLINK("#'Input - Solid waste'!A1", "Solid waste")</f>
        <v>Solid waste</v>
      </c>
      <c r="D23" s="34"/>
      <c r="E23" s="13"/>
      <c r="F23" s="13"/>
      <c r="G23" s="13"/>
      <c r="H23" s="76"/>
      <c r="I23" s="13"/>
    </row>
    <row r="24" spans="1:11" ht="20" customHeight="1" x14ac:dyDescent="0.25">
      <c r="A24" s="5" t="str">
        <f>HYPERLINK("#'Input - Manure sent off-site'!A1", "Manure sent off-site")</f>
        <v>Manure sent off-site</v>
      </c>
      <c r="D24" s="34"/>
      <c r="E24" s="13"/>
      <c r="F24" s="13"/>
      <c r="G24" s="13"/>
      <c r="H24" s="76"/>
      <c r="I24" s="13"/>
    </row>
    <row r="25" spans="1:11" ht="20" customHeight="1" x14ac:dyDescent="0.25">
      <c r="A25" s="5" t="str">
        <f>HYPERLINK("#'Input - Data quality'!A1", "Data quality")</f>
        <v>Data quality</v>
      </c>
      <c r="D25" s="34"/>
      <c r="E25" s="13"/>
      <c r="F25" s="13"/>
      <c r="G25" s="13"/>
      <c r="H25" s="76"/>
      <c r="I25" s="13"/>
    </row>
    <row r="26" spans="1:11" ht="20" customHeight="1" x14ac:dyDescent="0.25">
      <c r="D26" s="34"/>
      <c r="E26" s="13"/>
      <c r="F26" s="13"/>
      <c r="G26" s="13"/>
      <c r="H26" s="76"/>
      <c r="I26" s="13"/>
    </row>
    <row r="27" spans="1:11" ht="20" customHeight="1" x14ac:dyDescent="0.25">
      <c r="D27" s="34"/>
      <c r="E27" s="13"/>
      <c r="F27" s="13"/>
      <c r="G27" s="13"/>
      <c r="H27" s="76"/>
      <c r="I27" s="13"/>
    </row>
    <row r="28" spans="1:11" ht="20" customHeight="1" x14ac:dyDescent="0.25">
      <c r="A28" s="6" t="s">
        <v>2</v>
      </c>
      <c r="D28" s="34"/>
      <c r="E28" s="13"/>
      <c r="F28" s="13"/>
      <c r="G28" s="13"/>
      <c r="H28" s="76"/>
      <c r="I28" s="13"/>
    </row>
    <row r="29" spans="1:11" ht="20" customHeight="1" x14ac:dyDescent="0.25">
      <c r="A29" s="5" t="str">
        <f>HYPERLINK("#'3.2.1.1-2 Enteric Methane'!A1", "3.2.1.1-2 Enteric Methane")</f>
        <v>3.2.1.1-2 Enteric Methane</v>
      </c>
      <c r="D29" s="34"/>
      <c r="E29" s="13"/>
      <c r="F29" s="13"/>
      <c r="G29" s="13"/>
      <c r="H29" s="76"/>
      <c r="I29" s="13"/>
      <c r="K29" s="155"/>
    </row>
    <row r="30" spans="1:11" ht="20" customHeight="1" x14ac:dyDescent="0.25">
      <c r="A30" s="5" t="str">
        <f>HYPERLINK("#'4.2.1.1-2 Methane'!A1", "4.2.1.1-2 Manure methane")</f>
        <v>4.2.1.1-2 Manure methane</v>
      </c>
      <c r="D30" s="34"/>
      <c r="E30" s="13"/>
      <c r="F30" s="13"/>
      <c r="G30" s="13"/>
      <c r="H30" s="76"/>
      <c r="I30" s="13"/>
      <c r="K30" s="155"/>
    </row>
    <row r="31" spans="1:11" ht="20" customHeight="1" x14ac:dyDescent="0.25">
      <c r="A31" s="5" t="str">
        <f>HYPERLINK("#'4.2.1.3-4 Soil direct N20'!A1", "4.2.1.3-4 Soil direct N2O")</f>
        <v>4.2.1.3-4 Soil direct N2O</v>
      </c>
      <c r="D31" s="34"/>
      <c r="E31" s="13"/>
      <c r="F31" s="13"/>
      <c r="G31" s="13"/>
      <c r="H31" s="76"/>
      <c r="I31" s="13"/>
      <c r="K31" s="155"/>
    </row>
    <row r="32" spans="1:11" ht="20" customHeight="1" x14ac:dyDescent="0.25">
      <c r="A32" s="5" t="str">
        <f>HYPERLINK("#'4.2.1.5-6 Soil Atmos Dep'!A1", "4.2.1.5-6 Soil atm. deposition")</f>
        <v>4.2.1.5-6 Soil atm. deposition</v>
      </c>
      <c r="D32" s="34"/>
      <c r="E32" s="13"/>
      <c r="F32" s="13"/>
      <c r="G32" s="13"/>
      <c r="H32" s="76"/>
      <c r="I32" s="13"/>
      <c r="K32" s="155"/>
    </row>
    <row r="33" spans="1:12" ht="20" customHeight="1" x14ac:dyDescent="0.25">
      <c r="A33" s="5" t="str">
        <f>HYPERLINK("#'4.2.1.7-8 Soil leach runoff'!A1", "4.2.1.7-8 Soil leach &amp; runoff")</f>
        <v>4.2.1.7-8 Soil leach &amp; runoff</v>
      </c>
      <c r="K33" s="155"/>
    </row>
    <row r="34" spans="1:12" ht="20" customHeight="1" x14ac:dyDescent="0.25">
      <c r="A34" s="5" t="str">
        <f>HYPERLINK("#'5.1.1.1-2 Inorganic fert N2O'!A1", "5.1.1.1-2 Inorganic fert N2O")</f>
        <v>5.1.1.1-2 Inorganic fert N2O</v>
      </c>
      <c r="K34" s="155"/>
    </row>
    <row r="35" spans="1:12" ht="20" customHeight="1" x14ac:dyDescent="0.25">
      <c r="A35" s="5" t="str">
        <f>HYPERLINK("#'5.1.1.3-4 Inorganic fert CO2'!A1", "5.1.1.3-4 Inorganic fert CO2")</f>
        <v>5.1.1.3-4 Inorganic fert CO2</v>
      </c>
    </row>
    <row r="36" spans="1:12" ht="20" customHeight="1" x14ac:dyDescent="0.25">
      <c r="A36" s="5" t="str">
        <f>HYPERLINK("#'5.2.1.1-2 Organic Fert N2O'!A1", "5.2.1.1-2 Organic fert N2O")</f>
        <v>5.2.1.1-2 Organic fert N2O</v>
      </c>
      <c r="L36" s="155"/>
    </row>
    <row r="37" spans="1:12" ht="20" customHeight="1" x14ac:dyDescent="0.25">
      <c r="A37" s="5" t="str">
        <f>HYPERLINK("#'5.3.1.1-2 Lime CO2'!A1", "5.3.1.1-2 Lime CO2")</f>
        <v>5.3.1.1-2 Lime CO2</v>
      </c>
      <c r="L37" s="155"/>
    </row>
    <row r="38" spans="1:12" ht="20" customHeight="1" x14ac:dyDescent="0.25">
      <c r="A38" s="5" t="str">
        <f>HYPERLINK("#'5.4.1.1-4 Atmos deposition'!A1", "5.4.1.1-4 Atmos. deposition")</f>
        <v>5.4.1.1-4 Atmos. deposition</v>
      </c>
      <c r="C38" s="143"/>
    </row>
    <row r="39" spans="1:12" ht="20" customHeight="1" x14ac:dyDescent="0.25">
      <c r="A39" s="5" t="str">
        <f>HYPERLINK("#'5.5.1.1-2 Leaching and runoff'!A1", "5.5.1.1-2 Leaching &amp; runoff")</f>
        <v>5.5.1.1-2 Leaching &amp; runoff</v>
      </c>
      <c r="C39" s="143"/>
      <c r="J39" s="143"/>
    </row>
    <row r="40" spans="1:12" s="155" customFormat="1" ht="20" customHeight="1" x14ac:dyDescent="0.25">
      <c r="A40" s="5" t="str">
        <f>HYPERLINK("#'6.2.1.1-2 Pasture residue N2O'!A1", "6.2.1.1-2 Pasture residue N2O")</f>
        <v>6.2.1.1-2 Pasture residue N2O</v>
      </c>
      <c r="C40" s="1"/>
      <c r="D40" s="1"/>
      <c r="E40" s="1"/>
      <c r="F40" s="1"/>
      <c r="G40" s="1"/>
      <c r="H40" s="1"/>
      <c r="I40" s="1"/>
      <c r="J40" s="1"/>
    </row>
    <row r="41" spans="1:12" s="155" customFormat="1" ht="20" customHeight="1" x14ac:dyDescent="0.25">
      <c r="A41" s="5" t="str">
        <f>HYPERLINK("#'6.3.1.1-2 Leach runoff pasture'!A1", "6.3.1.1-2 Leach &amp; runoff (pasture)")</f>
        <v>6.3.1.1-2 Leach &amp; runoff (pasture)</v>
      </c>
      <c r="C41" s="1"/>
      <c r="D41" s="1"/>
      <c r="E41" s="1"/>
      <c r="F41" s="1"/>
      <c r="G41" s="1"/>
      <c r="H41" s="1"/>
      <c r="I41" s="1"/>
      <c r="J41" s="1"/>
      <c r="L41" s="155" t="s">
        <v>782</v>
      </c>
    </row>
    <row r="42" spans="1:12" ht="20" customHeight="1" x14ac:dyDescent="0.25">
      <c r="A42" s="5" t="str">
        <f>HYPERLINK("#'8.1.1.1-2 Transport fuel'!A1", "8.1.1.1-2 Transport fuel")</f>
        <v>8.1.1.1-2 Transport fuel</v>
      </c>
    </row>
    <row r="43" spans="1:12" ht="20" customHeight="1" x14ac:dyDescent="0.25">
      <c r="A43" s="5" t="str">
        <f>HYPERLINK("#'8.2.1.1-2 Stationary fuel'!A1", "8.2.1.1-2 Stationary fuel")</f>
        <v>8.2.1.1-2 Stationary fuel</v>
      </c>
    </row>
    <row r="44" spans="1:12" ht="20" customHeight="1" x14ac:dyDescent="0.25">
      <c r="A44" s="5" t="str">
        <f>HYPERLINK("#'10.1.1-2 Solid waste treatment'!A1", "10.1.1.1-2 Solid waste")</f>
        <v>10.1.1.1-2 Solid waste</v>
      </c>
    </row>
    <row r="45" spans="1:12" ht="20" customHeight="1" x14ac:dyDescent="0.25">
      <c r="A45" s="5" t="str">
        <f>HYPERLINK("#'14.1.1-2 Purchased electricity'!A1", "14.1.1-2 Purchased electricity")</f>
        <v>14.1.1-2 Purchased electricity</v>
      </c>
    </row>
    <row r="46" spans="1:12" ht="20" customHeight="1" x14ac:dyDescent="0.25">
      <c r="A46" s="5" t="str">
        <f>HYPERLINK("#'15 Scope 3'!A1", "15 Scope 3")</f>
        <v>15 Scope 3</v>
      </c>
    </row>
    <row r="47" spans="1:12" ht="20" customHeight="1" x14ac:dyDescent="0.25">
      <c r="A47" s="5" t="str">
        <f>HYPERLINK("#'Calcs - Manure sent off-site'!A1", "Calcs - Manure sent off-site")</f>
        <v>Calcs - Manure sent off-site</v>
      </c>
    </row>
    <row r="48" spans="1:12" ht="20" customHeight="1" x14ac:dyDescent="0.25"/>
    <row r="49" spans="1:1" ht="20" customHeight="1" x14ac:dyDescent="0.25"/>
    <row r="50" spans="1:1" ht="20" customHeight="1" x14ac:dyDescent="0.25">
      <c r="A50" s="85" t="s">
        <v>1</v>
      </c>
    </row>
    <row r="51" spans="1:1" ht="20" customHeight="1" x14ac:dyDescent="0.25">
      <c r="A51" s="5" t="str">
        <f>HYPERLINK("#'Constants - Pasture Beef'!A1", "Constants - Pasture Beef")</f>
        <v>Constants - Pasture Beef</v>
      </c>
    </row>
    <row r="52" spans="1:1" ht="20" customHeight="1" x14ac:dyDescent="0.25">
      <c r="A52" s="5" t="str">
        <f>HYPERLINK("#'Constants - Ag Residue'!A1", "Constants - Ag residue")</f>
        <v>Constants - Ag residue</v>
      </c>
    </row>
    <row r="53" spans="1:1" ht="20" customHeight="1" x14ac:dyDescent="0.25">
      <c r="A53" s="5" t="str">
        <f>HYPERLINK("#'Constants - Common Livestock'!A1", "Constants - Common Livestock")</f>
        <v>Constants - Common Livestock</v>
      </c>
    </row>
    <row r="54" spans="1:1" ht="20" customHeight="1" x14ac:dyDescent="0.25">
      <c r="A54" s="5" t="str">
        <f>HYPERLINK("#'Constants - Electricity'!A1", "Constants - Electricity")</f>
        <v>Constants - Electricity</v>
      </c>
    </row>
    <row r="55" spans="1:1" ht="20" customHeight="1" x14ac:dyDescent="0.25">
      <c r="A55" s="5" t="str">
        <f>HYPERLINK("#'Constants - Fertiliser'!A1", "Constants - Fertiliser")</f>
        <v>Constants - Fertiliser</v>
      </c>
    </row>
    <row r="56" spans="1:1" ht="20" customHeight="1" x14ac:dyDescent="0.25">
      <c r="A56" s="5" t="str">
        <f>HYPERLINK("#'Constants - Fuel'!A1", "Constants - Fuel")</f>
        <v>Constants - Fuel</v>
      </c>
    </row>
    <row r="57" spans="1:1" ht="20" customHeight="1" x14ac:dyDescent="0.25">
      <c r="A57" s="5" t="str">
        <f>HYPERLINK("#'Constants - Scope 3'!A1", "Constants - Scope 3")</f>
        <v>Constants - Scope 3</v>
      </c>
    </row>
    <row r="58" spans="1:1" ht="20" customHeight="1" x14ac:dyDescent="0.25">
      <c r="A58" s="5" t="str">
        <f>HYPERLINK("#'Constants - Solid Waste'!A1", "Constants - Solid Waste")</f>
        <v>Constants - Solid Waste</v>
      </c>
    </row>
    <row r="59" spans="1:1" ht="20" customHeight="1" x14ac:dyDescent="0.25">
      <c r="A59" s="5" t="str">
        <f>HYPERLINK("#'Constants - Common'!A1", "Constants - Common")</f>
        <v>Constants - Common</v>
      </c>
    </row>
    <row r="60" spans="1:1" ht="20" customHeight="1" x14ac:dyDescent="0.25">
      <c r="A60" s="5" t="str">
        <f>HYPERLINK("#'Acknowledgements'!A1", "Acknowledgements")</f>
        <v>Acknowledgements</v>
      </c>
    </row>
    <row r="61" spans="1:1" ht="20" customHeight="1" x14ac:dyDescent="0.25"/>
    <row r="62" spans="1:1" ht="20" customHeight="1" x14ac:dyDescent="0.25"/>
    <row r="63" spans="1:1" ht="20" customHeight="1" x14ac:dyDescent="0.25"/>
    <row r="64" spans="1:1" ht="20" customHeight="1" x14ac:dyDescent="0.25"/>
    <row r="65" spans="4:4" ht="20" customHeight="1" x14ac:dyDescent="0.25"/>
    <row r="66" spans="4:4" ht="20" customHeight="1" x14ac:dyDescent="0.25"/>
    <row r="67" spans="4:4" ht="20" customHeight="1" x14ac:dyDescent="0.25"/>
    <row r="68" spans="4:4" ht="20" customHeight="1" x14ac:dyDescent="0.25"/>
    <row r="69" spans="4:4" ht="20" customHeight="1" x14ac:dyDescent="0.25"/>
    <row r="70" spans="4:4" ht="20" customHeight="1" x14ac:dyDescent="0.25"/>
    <row r="71" spans="4:4" ht="20" customHeight="1" x14ac:dyDescent="0.25"/>
    <row r="72" spans="4:4" ht="20" customHeight="1" x14ac:dyDescent="0.25"/>
    <row r="73" spans="4:4" ht="20" customHeight="1" x14ac:dyDescent="0.25">
      <c r="D73" s="184"/>
    </row>
    <row r="74" spans="4:4" ht="20" customHeight="1" x14ac:dyDescent="0.25"/>
    <row r="75" spans="4:4" ht="20" customHeight="1" x14ac:dyDescent="0.25">
      <c r="D75" s="184"/>
    </row>
    <row r="76" spans="4:4" ht="20" customHeight="1" x14ac:dyDescent="0.25">
      <c r="D76" s="184"/>
    </row>
    <row r="77" spans="4:4" ht="20" customHeight="1" x14ac:dyDescent="0.25"/>
    <row r="78" spans="4:4" ht="20" customHeight="1" x14ac:dyDescent="0.25"/>
    <row r="79" spans="4:4" ht="20" customHeight="1" x14ac:dyDescent="0.25"/>
    <row r="80" spans="4:4"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385" spans="4:4" x14ac:dyDescent="0.25" ht="20" customHeight="1">
      <c r="D385" s="80"/>
    </row>
  </sheetData>
  <conditionalFormatting sqref="F162:F163">
    <cfRule type="cellIs" dxfId="16" priority="7" operator="lessThan">
      <formula>0</formula>
    </cfRule>
  </conditionalFormatting>
  <conditionalFormatting sqref="F174:F175">
    <cfRule type="cellIs" dxfId="15" priority="6" operator="lessThan">
      <formula>0</formula>
    </cfRule>
  </conditionalFormatting>
  <conditionalFormatting sqref="F186:F187">
    <cfRule type="cellIs" dxfId="14" priority="5" operator="lessThan">
      <formula>0</formula>
    </cfRule>
  </conditionalFormatting>
  <conditionalFormatting sqref="F274:F275">
    <cfRule type="cellIs" dxfId="13" priority="17" operator="lessThan">
      <formula>0</formula>
    </cfRule>
  </conditionalFormatting>
  <conditionalFormatting sqref="F279:F280">
    <cfRule type="cellIs" dxfId="12" priority="16" operator="lessThan">
      <formula>0</formula>
    </cfRule>
  </conditionalFormatting>
  <conditionalFormatting sqref="F284:F285">
    <cfRule type="cellIs" dxfId="11" priority="15" operator="lessThan">
      <formula>0</formula>
    </cfRule>
  </conditionalFormatting>
  <conditionalFormatting sqref="F308:F309">
    <cfRule type="cellIs" dxfId="10" priority="14" operator="lessThan">
      <formula>0</formula>
    </cfRule>
  </conditionalFormatting>
  <conditionalFormatting sqref="F313:F314">
    <cfRule type="cellIs" dxfId="9" priority="13" operator="lessThan">
      <formula>0</formula>
    </cfRule>
  </conditionalFormatting>
  <conditionalFormatting sqref="F318:F319">
    <cfRule type="cellIs" dxfId="8" priority="12" operator="lessThan">
      <formula>0</formula>
    </cfRule>
  </conditionalFormatting>
  <conditionalFormatting sqref="I33 F71">
    <cfRule type="cellIs" dxfId="7" priority="9" operator="lessThan">
      <formula>0</formula>
    </cfRule>
  </conditionalFormatting>
  <conditionalFormatting sqref="I79:I83">
    <cfRule type="cellIs" dxfId="6" priority="4" operator="lessThan">
      <formula>0</formula>
    </cfRule>
  </conditionalFormatting>
  <conditionalFormatting sqref="I87 I146">
    <cfRule type="cellIs" dxfId="5" priority="10" operator="lessThan">
      <formula>0</formula>
    </cfRule>
  </conditionalFormatting>
  <conditionalFormatting sqref="I98:I100">
    <cfRule type="cellIs" dxfId="4" priority="3" operator="lessThan">
      <formula>0</formula>
    </cfRule>
  </conditionalFormatting>
  <conditionalFormatting sqref="I104:I107">
    <cfRule type="cellIs" dxfId="3" priority="2"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11" operator="lessThan">
      <formula>0</formula>
    </cfRule>
  </conditionalFormatting>
  <conditionalFormatting sqref="J37 I59 F150:F151">
    <cfRule type="cellIs" dxfId="0" priority="8" operator="lessThan">
      <formula>0</formula>
    </cfRule>
  </conditionalFormatting>
  <dataValidations count="9">
    <dataValidation type="list" allowBlank="1" showInputMessage="1" showErrorMessage="1" sqref="F10:F32" xr:uid="{37ACDAC9-D4D7-485F-B0AE-BA1E77294422}">
      <formula1>INDIRECT("Table_WasteTypes_" &amp; SUBSTITUTE(E10, " ", "") &amp; "[Waste type w]")</formula1>
    </dataValidation>
    <dataValidation type="list" allowBlank="1" showInputMessage="1" showErrorMessage="1" sqref="I10:I32" xr:uid="{FDB24F24-7794-44A9-AA61-4E93CD6AF4C5}">
      <formula1>"tonnes, cubic metres m3"</formula1>
    </dataValidation>
    <dataValidation type="list" allowBlank="1" showInputMessage="1" showErrorMessage="1" sqref="G10:G32" xr:uid="{D1AA47DA-A5C6-4499-92D7-1FEF4F0D61D4}">
      <formula1>"Treated on-site, Removed and treated off-site"</formula1>
    </dataValidation>
    <dataValidation type="list" allowBlank="1" showInputMessage="1" showErrorMessage="1" sqref="E10:E32" xr:uid="{A0BA01E3-C75C-4F0C-8BB7-A2B39789E6B1}">
      <formula1>INDIRECT(_xlfn.UNIQUE("Table_SourceData_WasteSolid_WasteTreatmentEFs[Treatment type t]"))</formula1>
    </dataValidation>
    <dataValidation type="list" allowBlank="1" showInputMessage="1" showErrorMessage="1" sqref="E35" xr:uid="{33B53AD2-D6A6-4E0D-9AAB-7E8900C11FD0}">
      <formula1>INDIRECT("Table_SourceData_ElectricityEFs[State, Territory or grid description]")</formula1>
    </dataValidation>
    <dataValidation type="list" allowBlank="1" showInputMessage="1" showErrorMessage="1" sqref="E89" xr:uid="{D0C10956-B0AF-491E-8169-9902830678E3}">
      <formula1>INDIRECT("Table_SourceData_Swine_IrrigationMethods[Irrigation method]")</formula1>
    </dataValidation>
    <dataValidation type="list" allowBlank="1" showInputMessage="1" showErrorMessage="1" sqref="E273 E278 E283 E317 E312 E307 E185 E173 E149 E161" xr:uid="{3F148ACC-8EBB-4F01-94E3-FFCEAF68EDA7}">
      <formula1>"Yes, No"</formula1>
    </dataValidation>
    <dataValidation type="list" allowBlank="1" showInputMessage="1" showErrorMessage="1" sqref="E249" xr:uid="{7A5281A0-A90B-433C-913C-98980C4FC570}">
      <formula1>INDIRECT("Table_SourceData_Dairy_ProductionSystemTemplates[Area]")</formula1>
    </dataValidation>
    <dataValidation type="list" allowBlank="1" showInputMessage="1" showErrorMessage="1" sqref="D301" xr:uid="{F8539878-581A-417A-AFC1-2446189B780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808FF-233A-47F4-9983-BCCA5A8BAB02}">
  <sheetPr>
    <tabColor theme="5" tint="-0.249977111117893"/>
  </sheetPr>
  <dimension ref="A1:K160"/>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style="239" customWidth="1"/>
    <col min="2" max="2" width="5.28515625" style="239" customWidth="1"/>
    <col min="3" max="3" width="5.28515625" style="1" customWidth="1"/>
    <col min="4" max="10" width="35" style="1" customWidth="1"/>
    <col min="11" max="11" width="5.28515625" style="1" customWidth="1"/>
    <col min="12" max="16384" width="9.140625" style="239"/>
  </cols>
  <sheetData>
    <row r="1" spans="1:11" ht="30" x14ac:dyDescent="0.35" customHeight="1">
      <c r="A1" s="10" t="e" vm="1">
        <v>#VALUE!</v>
      </c>
      <c r="C1" s="10" t="s">
        <v>1051</v>
      </c>
      <c r="D1" s="10"/>
      <c r="E1" s="10"/>
      <c r="F1" s="10"/>
      <c r="G1" s="10"/>
      <c r="H1" s="10"/>
      <c r="I1" s="10"/>
      <c r="J1" s="10"/>
      <c r="K1" s="10"/>
    </row>
    <row r="2" spans="1:11" s="3" customFormat="1" x14ac:dyDescent="0.25" ht="20" customHeight="1">
      <c r="A2"/>
    </row>
    <row r="3" spans="1:11" ht="20" x14ac:dyDescent="0.25" customHeight="1">
      <c r="A3" s="5" t="str">
        <f>HYPERLINK("#'Home'!A1", "Home")</f>
        <v>Home</v>
      </c>
      <c r="C3" s="29"/>
      <c r="D3" s="29"/>
      <c r="E3" s="29"/>
      <c r="F3" s="29"/>
      <c r="G3" s="29"/>
      <c r="H3" s="29"/>
      <c r="I3" s="29"/>
      <c r="J3" s="29"/>
      <c r="K3" s="29"/>
    </row>
    <row r="4" spans="1:11" x14ac:dyDescent="0.25" ht="20" customHeight="1">
      <c r="A4" s="5" t="str">
        <f>HYPERLINK("#'Results - Activity period'!A1", "Results - Activity period")</f>
        <v>Results - Activity period</v>
      </c>
    </row>
    <row r="5" spans="1:11" ht="20" x14ac:dyDescent="0.25" customHeight="1">
      <c r="A5" s="5" t="str">
        <f>HYPERLINK("#'Results - Product EI'!A1", "Results - Product Emissions Intensity")</f>
        <v>Results - Product Emissions Intensity</v>
      </c>
      <c r="D5" s="2" t="s">
        <v>1052</v>
      </c>
    </row>
    <row r="6" spans="1:11" x14ac:dyDescent="0.25" ht="20" customHeight="1">
      <c r="A6"/>
    </row>
    <row r="7" spans="1:11" x14ac:dyDescent="0.25" ht="20" customHeight="1">
      <c r="A7"/>
      <c r="D7" s="1" t="s">
        <v>1053</v>
      </c>
    </row>
    <row r="8" spans="1:11" ht="20" x14ac:dyDescent="0.25" customHeight="1">
      <c r="A8" s="7" t="s">
        <v>0</v>
      </c>
      <c r="D8" s="1" t="s">
        <v>1054</v>
      </c>
    </row>
    <row r="9" spans="1:11" x14ac:dyDescent="0.25" ht="20" customHeight="1">
      <c r="A9" s="5" t="str">
        <f>HYPERLINK("#'Input - Enterprise'!A1", "Enterprise")</f>
        <v>Enterprise</v>
      </c>
    </row>
    <row r="10" spans="1:11" x14ac:dyDescent="0.25" ht="20" customHeight="1">
      <c r="A10" s="5" t="str">
        <f>HYPERLINK("#'Input - Site'!A1", "Site")</f>
        <v>Site</v>
      </c>
      <c r="D10" s="1" t="s">
        <v>1055</v>
      </c>
      <c r="F10" s="76"/>
      <c r="G10" s="16" t="s">
        <v>1056</v>
      </c>
    </row>
    <row r="11" spans="1:11" x14ac:dyDescent="0.25" ht="20" customHeight="1">
      <c r="A11" s="5" t="str">
        <f>HYPERLINK("#'Input - Pasture Beef'!A1", "Pasture Beef")</f>
        <v>Pasture Beef</v>
      </c>
      <c r="D11" s="1" t="s">
        <v>1057</v>
      </c>
      <c r="F11" s="76"/>
      <c r="G11" s="16" t="s">
        <v>1056</v>
      </c>
    </row>
    <row r="12" spans="1:11" x14ac:dyDescent="0.25" ht="20" customHeight="1">
      <c r="A12" s="5" t="str">
        <f>HYPERLINK("#'Input - Livestock sales'!A1", "Livestock sales")</f>
        <v>Livestock sales</v>
      </c>
    </row>
    <row r="13" spans="1:11" x14ac:dyDescent="0.25" ht="20" customHeight="1">
      <c r="A13" s="5" t="str">
        <f>HYPERLINK("#'Input - Beef cattle purchases'!A1", "Beef cattle purchases")</f>
        <v>Beef cattle purchases</v>
      </c>
      <c r="D13" s="1" t="s">
        <v>1058</v>
      </c>
      <c r="F13" s="13"/>
      <c r="G13" s="16" t="s">
        <v>106</v>
      </c>
    </row>
    <row r="14" spans="1:11" x14ac:dyDescent="0.25" ht="20" customHeight="1">
      <c r="A14" s="5" t="str">
        <f>HYPERLINK("#'Input - Pasture'!A1", "Pasture")</f>
        <v>Pasture</v>
      </c>
      <c r="D14" s="1" t="s">
        <v>1059</v>
      </c>
      <c r="F14" s="13"/>
      <c r="G14" s="16" t="s">
        <v>106</v>
      </c>
    </row>
    <row r="15" spans="1:11" x14ac:dyDescent="0.25" ht="20" customHeight="1">
      <c r="A15" s="5" t="str">
        <f>HYPERLINK("#'Input - Fert Prod System'!A1", "Fert Prod System")</f>
        <v>Fert Prod System</v>
      </c>
    </row>
    <row r="16" spans="1:11" x14ac:dyDescent="0.25" ht="20" customHeight="1">
      <c r="A16" s="5" t="str">
        <f>HYPERLINK("#'Input - Fertiliser'!A1", "Fertiliser")</f>
        <v>Fertiliser</v>
      </c>
    </row>
    <row r="17" spans="1:1" x14ac:dyDescent="0.25" ht="20" customHeight="1">
      <c r="A17" s="5" t="str">
        <f>HYPERLINK("#'Input - Fuel'!A1", "Fuel")</f>
        <v>Fuel</v>
      </c>
    </row>
    <row r="18" spans="1:1" x14ac:dyDescent="0.25" ht="20" customHeight="1">
      <c r="A18" s="5" t="str">
        <f>HYPERLINK("#'Input - Electricity'!A1", "Electricity")</f>
        <v>Electricity</v>
      </c>
    </row>
    <row r="19" spans="1:1" x14ac:dyDescent="0.25" ht="20" customHeight="1">
      <c r="A19" s="5" t="str">
        <f>HYPERLINK("#'Input - Common farm inputs'!A1", "Common farm inputs")</f>
        <v>Common farm inputs</v>
      </c>
    </row>
    <row r="20" spans="1:1" x14ac:dyDescent="0.25" ht="20" customHeight="1">
      <c r="A20" s="5" t="str">
        <f>HYPERLINK("#'Input - Crop pasture farm input'!A1", "Crop pasture farm input")</f>
        <v>Crop pasture farm input</v>
      </c>
    </row>
    <row r="21" spans="1:1" x14ac:dyDescent="0.25" ht="20" customHeight="1">
      <c r="A21" s="5" t="str">
        <f>HYPERLINK("#'Input - Livestock farm Inputs'!A1", "Livestock farm Inputs")</f>
        <v>Livestock farm Inputs</v>
      </c>
    </row>
    <row r="22" spans="1:1" x14ac:dyDescent="0.25" ht="20" customHeight="1">
      <c r="A22" s="5" t="str">
        <f>HYPERLINK("#'Input - Freight'!A1", "Freight")</f>
        <v>Freight</v>
      </c>
    </row>
    <row r="23" spans="1:1" x14ac:dyDescent="0.25" ht="20" customHeight="1">
      <c r="A23" s="5" t="str">
        <f>HYPERLINK("#'Input - Solid waste'!A1", "Solid waste")</f>
        <v>Solid waste</v>
      </c>
    </row>
    <row r="24" spans="1:1" x14ac:dyDescent="0.25" ht="20" customHeight="1">
      <c r="A24" s="99" t="str">
        <f>HYPERLINK("#'Input - Manure sent off-site'!A1", "Manure sent off-site")</f>
        <v>Manure sent off-site</v>
      </c>
    </row>
    <row r="25" spans="1:1" x14ac:dyDescent="0.25" ht="20" customHeight="1">
      <c r="A25" s="5" t="str">
        <f>HYPERLINK("#'Input - Data quality'!A1", "Data quality")</f>
        <v>Data quality</v>
      </c>
    </row>
    <row r="26" spans="1:1" x14ac:dyDescent="0.25" ht="20" customHeight="1">
      <c r="A26"/>
    </row>
    <row r="27" spans="1:1" x14ac:dyDescent="0.25" ht="20" customHeight="1">
      <c r="A27"/>
    </row>
    <row r="28" spans="1:1" x14ac:dyDescent="0.25" ht="20" customHeight="1">
      <c r="A28" s="6" t="s">
        <v>2</v>
      </c>
    </row>
    <row r="29" spans="1:1" x14ac:dyDescent="0.25" ht="20" customHeight="1">
      <c r="A29" s="5" t="str">
        <f>HYPERLINK("#'3.2.1.1-2 Enteric Methane'!A1", "3.2.1.1-2 Enteric Methane")</f>
        <v>3.2.1.1-2 Enteric Methane</v>
      </c>
    </row>
    <row r="30" spans="1:1" x14ac:dyDescent="0.25" ht="20" customHeight="1">
      <c r="A30" s="5" t="str">
        <f>HYPERLINK("#'4.2.1.1-2 Methane'!A1", "4.2.1.1-2 Manure methane")</f>
        <v>4.2.1.1-2 Manure methane</v>
      </c>
    </row>
    <row r="31" spans="1:1" x14ac:dyDescent="0.25" ht="20" customHeight="1">
      <c r="A31" s="5" t="str">
        <f>HYPERLINK("#'4.2.1.3-4 Soil direct N20'!A1", "4.2.1.3-4 Soil direct N2O")</f>
        <v>4.2.1.3-4 Soil direct N2O</v>
      </c>
    </row>
    <row r="32" spans="1:1" x14ac:dyDescent="0.25" ht="20" customHeight="1">
      <c r="A32" s="5" t="str">
        <f>HYPERLINK("#'4.2.1.5-6 Soil Atmos Dep'!A1", "4.2.1.5-6 Soil atm. deposition")</f>
        <v>4.2.1.5-6 Soil atm. deposition</v>
      </c>
    </row>
    <row r="33" spans="1:1" x14ac:dyDescent="0.25" ht="20" customHeight="1">
      <c r="A33" s="5" t="str">
        <f>HYPERLINK("#'4.2.1.7-8 Soil leach runoff'!A1", "4.2.1.7-8 Soil leach &amp; runoff")</f>
        <v>4.2.1.7-8 Soil leach &amp; runoff</v>
      </c>
    </row>
    <row r="34" spans="1:1" x14ac:dyDescent="0.25" ht="20" customHeight="1">
      <c r="A34" s="5" t="str">
        <f>HYPERLINK("#'5.1.1.1-2 Inorganic fert N2O'!A1", "5.1.1.1-2 Inorganic fert N2O")</f>
        <v>5.1.1.1-2 Inorganic fert N2O</v>
      </c>
    </row>
    <row r="35" spans="1:1" x14ac:dyDescent="0.25" ht="20" customHeight="1">
      <c r="A35" s="5" t="str">
        <f>HYPERLINK("#'5.1.1.3-4 Inorganic fert CO2'!A1", "5.1.1.3-4 Inorganic fert CO2")</f>
        <v>5.1.1.3-4 Inorganic fert CO2</v>
      </c>
    </row>
    <row r="36" spans="1:1" x14ac:dyDescent="0.25" ht="20" customHeight="1">
      <c r="A36" s="5" t="str">
        <f>HYPERLINK("#'5.2.1.1-2 Organic Fert N2O'!A1", "5.2.1.1-2 Organic fert N2O")</f>
        <v>5.2.1.1-2 Organic fert N2O</v>
      </c>
    </row>
    <row r="37" spans="1:1" x14ac:dyDescent="0.25" ht="20" customHeight="1">
      <c r="A37" s="5" t="str">
        <f>HYPERLINK("#'5.3.1.1-2 Lime CO2'!A1", "5.3.1.1-2 Lime CO2")</f>
        <v>5.3.1.1-2 Lime CO2</v>
      </c>
    </row>
    <row r="38" spans="1:1" x14ac:dyDescent="0.25" ht="20" customHeight="1">
      <c r="A38" s="5" t="str">
        <f>HYPERLINK("#'5.4.1.1-4 Atmos deposition'!A1", "5.4.1.1-4 Atmos. deposition")</f>
        <v>5.4.1.1-4 Atmos. deposition</v>
      </c>
    </row>
    <row r="39" spans="1:1" x14ac:dyDescent="0.25" ht="20" customHeight="1">
      <c r="A39" s="5" t="str">
        <f>HYPERLINK("#'5.5.1.1-2 Leaching and runoff'!A1", "5.5.1.1-2 Leaching &amp; runoff")</f>
        <v>5.5.1.1-2 Leaching &amp; runoff</v>
      </c>
    </row>
    <row r="40" spans="1:1" x14ac:dyDescent="0.25" ht="20" customHeight="1">
      <c r="A40" s="5" t="str">
        <f>HYPERLINK("#'6.2.1.1-2 Pasture residue N2O'!A1", "6.2.1.1-2 Pasture residue N2O")</f>
        <v>6.2.1.1-2 Pasture residue N2O</v>
      </c>
    </row>
    <row r="41" spans="1:1" x14ac:dyDescent="0.25" ht="20" customHeight="1">
      <c r="A41" s="5" t="str">
        <f>HYPERLINK("#'6.3.1.1-2 Leach runoff pasture'!A1", "6.3.1.1-2 Leach &amp; runoff (pasture)")</f>
        <v>6.3.1.1-2 Leach &amp; runoff (pasture)</v>
      </c>
    </row>
    <row r="42" spans="1:1" x14ac:dyDescent="0.25" ht="20" customHeight="1">
      <c r="A42" s="5" t="str">
        <f>HYPERLINK("#'8.1.1.1-2 Transport fuel'!A1", "8.1.1.1-2 Transport fuel")</f>
        <v>8.1.1.1-2 Transport fuel</v>
      </c>
    </row>
    <row r="43" spans="1:1" x14ac:dyDescent="0.25" ht="20" customHeight="1">
      <c r="A43" s="5" t="str">
        <f>HYPERLINK("#'8.2.1.1-2 Stationary fuel'!A1", "8.2.1.1-2 Stationary fuel")</f>
        <v>8.2.1.1-2 Stationary fuel</v>
      </c>
    </row>
    <row r="44" spans="1:1" x14ac:dyDescent="0.25" ht="20" customHeight="1">
      <c r="A44" s="5" t="str">
        <f>HYPERLINK("#'10.1.1-2 Solid waste treatment'!A1", "10.1.1.1-2 Solid waste")</f>
        <v>10.1.1.1-2 Solid waste</v>
      </c>
    </row>
    <row r="45" spans="1:1" x14ac:dyDescent="0.25" ht="20" customHeight="1">
      <c r="A45" s="5" t="str">
        <f>HYPERLINK("#'14.1.1-2 Purchased electricity'!A1", "14.1.1-2 Purchased electricity")</f>
        <v>14.1.1-2 Purchased electricity</v>
      </c>
    </row>
    <row r="46" spans="1:1" x14ac:dyDescent="0.25" ht="20" customHeight="1">
      <c r="A46" s="5" t="str">
        <f>HYPERLINK("#'15 Scope 3'!A1", "15 Scope 3")</f>
        <v>15 Scope 3</v>
      </c>
    </row>
    <row r="47" spans="1:1" x14ac:dyDescent="0.25" ht="20" customHeight="1">
      <c r="A47" s="5" t="str">
        <f>HYPERLINK("#'Calcs - Manure sent off-site'!A1", "Calcs - Manure sent off-site")</f>
        <v>Calcs - Manure sent off-site</v>
      </c>
    </row>
    <row r="48" spans="1:1" x14ac:dyDescent="0.25" ht="20" customHeight="1">
      <c r="A48"/>
    </row>
    <row r="49" spans="1:1" x14ac:dyDescent="0.25" ht="20" customHeight="1">
      <c r="A49"/>
    </row>
    <row r="50" spans="1:1" x14ac:dyDescent="0.25" ht="20" customHeight="1">
      <c r="A50" s="85" t="s">
        <v>1</v>
      </c>
    </row>
    <row r="51" spans="1:1" x14ac:dyDescent="0.25" ht="20" customHeight="1">
      <c r="A51" s="5" t="str">
        <f>HYPERLINK("#'Constants - Pasture Beef'!A1", "Constants - Pasture Beef")</f>
        <v>Constants - Pasture Beef</v>
      </c>
    </row>
    <row r="52" spans="1:1" x14ac:dyDescent="0.25" ht="20" customHeight="1">
      <c r="A52" s="5" t="str">
        <f>HYPERLINK("#'Constants - Ag Residue'!A1", "Constants - Ag residue")</f>
        <v>Constants - Ag residue</v>
      </c>
    </row>
    <row r="53" spans="1:1" x14ac:dyDescent="0.25" ht="20" customHeight="1">
      <c r="A53" s="5" t="str">
        <f>HYPERLINK("#'Constants - Common Livestock'!A1", "Constants - Common Livestock")</f>
        <v>Constants - Common Livestock</v>
      </c>
    </row>
    <row r="54" spans="1:1" x14ac:dyDescent="0.25" ht="20" customHeight="1">
      <c r="A54" s="5" t="str">
        <f>HYPERLINK("#'Constants - Electricity'!A1", "Constants - Electricity")</f>
        <v>Constants - Electricity</v>
      </c>
    </row>
    <row r="55" spans="1:1" x14ac:dyDescent="0.25" ht="20" customHeight="1">
      <c r="A55" s="5" t="str">
        <f>HYPERLINK("#'Constants - Fertiliser'!A1", "Constants - Fertiliser")</f>
        <v>Constants - Fertiliser</v>
      </c>
    </row>
    <row r="56" spans="1:1" x14ac:dyDescent="0.25" ht="20" customHeight="1">
      <c r="A56" s="5" t="str">
        <f>HYPERLINK("#'Constants - Fuel'!A1", "Constants - Fuel")</f>
        <v>Constants - Fuel</v>
      </c>
    </row>
    <row r="57" spans="1:1" x14ac:dyDescent="0.25" ht="20" customHeight="1">
      <c r="A57" s="5" t="str">
        <f>HYPERLINK("#'Constants - Scope 3'!A1", "Constants - Scope 3")</f>
        <v>Constants - Scope 3</v>
      </c>
    </row>
    <row r="58" spans="1:1" x14ac:dyDescent="0.25" ht="20" customHeight="1">
      <c r="A58" s="5" t="str">
        <f>HYPERLINK("#'Constants - Solid Waste'!A1", "Constants - Solid Waste")</f>
        <v>Constants - Solid Waste</v>
      </c>
    </row>
    <row r="59" spans="1:1" x14ac:dyDescent="0.25" ht="20" customHeight="1">
      <c r="A59" s="5" t="str">
        <f>HYPERLINK("#'Constants - Common'!A1", "Constants - Common")</f>
        <v>Constants - Common</v>
      </c>
    </row>
    <row r="60" spans="1:1" x14ac:dyDescent="0.25" ht="20" customHeight="1">
      <c r="A60" s="5" t="str">
        <f>HYPERLINK("#'Acknowledgements'!A1", "Acknowledgements")</f>
        <v>Acknowledgements</v>
      </c>
    </row>
    <row r="61" spans="1:1" x14ac:dyDescent="0.25" ht="20" customHeight="1">
      <c r="A61"/>
    </row>
    <row r="62" spans="1:1" x14ac:dyDescent="0.25" ht="20" customHeight="1">
      <c r="A62"/>
    </row>
    <row r="63" spans="1:1" x14ac:dyDescent="0.25" ht="20" customHeight="1">
      <c r="A63"/>
    </row>
    <row r="64" spans="1:1" x14ac:dyDescent="0.25" ht="20" customHeight="1">
      <c r="A64"/>
    </row>
    <row r="65" spans="1:1" x14ac:dyDescent="0.25" ht="20" customHeight="1">
      <c r="A65"/>
    </row>
    <row r="66" spans="1:1" x14ac:dyDescent="0.25" ht="20" customHeight="1">
      <c r="A66"/>
    </row>
    <row r="67" spans="1:1" x14ac:dyDescent="0.25" ht="20" customHeight="1">
      <c r="A67"/>
    </row>
    <row r="68" spans="1:1" x14ac:dyDescent="0.25" ht="20" customHeight="1">
      <c r="A68"/>
    </row>
    <row r="69" spans="1:1" x14ac:dyDescent="0.25" ht="20" customHeight="1">
      <c r="A69"/>
    </row>
    <row r="70" spans="1:1" x14ac:dyDescent="0.25" ht="20" customHeight="1">
      <c r="A70"/>
    </row>
    <row r="71" spans="1:1" x14ac:dyDescent="0.25" ht="20" customHeight="1">
      <c r="A71"/>
    </row>
    <row r="72" spans="1:1" x14ac:dyDescent="0.25" ht="20" customHeight="1">
      <c r="A72"/>
    </row>
    <row r="73" spans="1:1" x14ac:dyDescent="0.25" ht="20" customHeight="1">
      <c r="A73"/>
    </row>
    <row r="74" spans="1:1" x14ac:dyDescent="0.25" ht="20" customHeight="1">
      <c r="A74"/>
    </row>
    <row r="75" spans="1:1" x14ac:dyDescent="0.25" ht="20" customHeight="1">
      <c r="A75"/>
    </row>
    <row r="76" spans="1:1" x14ac:dyDescent="0.25" ht="20" customHeight="1">
      <c r="A76"/>
    </row>
    <row r="77" spans="1:1" x14ac:dyDescent="0.25" ht="20" customHeight="1">
      <c r="A77"/>
    </row>
    <row r="78" spans="1:1" x14ac:dyDescent="0.25" ht="20" customHeight="1">
      <c r="A78"/>
    </row>
    <row r="79" spans="1:1" x14ac:dyDescent="0.25" ht="20" customHeight="1">
      <c r="A79"/>
    </row>
    <row r="80" spans="1:1" x14ac:dyDescent="0.25" ht="20" customHeight="1">
      <c r="A80"/>
    </row>
    <row r="81" spans="1:1" x14ac:dyDescent="0.25" ht="20" customHeight="1">
      <c r="A81"/>
    </row>
    <row r="82" spans="1:1" x14ac:dyDescent="0.25" ht="20" customHeight="1">
      <c r="A82"/>
    </row>
    <row r="83" spans="1:1" x14ac:dyDescent="0.25" ht="20" customHeight="1">
      <c r="A83"/>
    </row>
    <row r="84" spans="1:1" x14ac:dyDescent="0.25" ht="20" customHeight="1">
      <c r="A84"/>
    </row>
    <row r="85" spans="1:1" x14ac:dyDescent="0.25" ht="20" customHeight="1">
      <c r="A85"/>
    </row>
    <row r="86" spans="1:1" x14ac:dyDescent="0.25" ht="20" customHeight="1">
      <c r="A86"/>
    </row>
    <row r="87" spans="1:1" x14ac:dyDescent="0.25" ht="20" customHeight="1">
      <c r="A87"/>
    </row>
    <row r="88" spans="1:1" x14ac:dyDescent="0.25" ht="20" customHeight="1">
      <c r="A88"/>
    </row>
    <row r="89" spans="1:1" x14ac:dyDescent="0.25" ht="20" customHeight="1">
      <c r="A89"/>
    </row>
    <row r="90" spans="1:1" x14ac:dyDescent="0.25" ht="20" customHeight="1">
      <c r="A90"/>
    </row>
    <row r="91" spans="1:1" x14ac:dyDescent="0.25" ht="20" customHeight="1">
      <c r="A91"/>
    </row>
    <row r="92" spans="1:1" x14ac:dyDescent="0.25" ht="20" customHeight="1">
      <c r="A92"/>
    </row>
    <row r="93" spans="1:1" x14ac:dyDescent="0.25" ht="20" customHeight="1">
      <c r="A93"/>
    </row>
    <row r="94" spans="1:1" x14ac:dyDescent="0.25" ht="20" customHeight="1">
      <c r="A94"/>
    </row>
    <row r="95" spans="1:1" x14ac:dyDescent="0.25" ht="20" customHeight="1">
      <c r="A95"/>
    </row>
    <row r="96" spans="1:1" x14ac:dyDescent="0.25" ht="20" customHeight="1">
      <c r="A96"/>
    </row>
    <row r="97" spans="1:1" x14ac:dyDescent="0.25" ht="20" customHeight="1">
      <c r="A97"/>
    </row>
    <row r="98" spans="1:1" x14ac:dyDescent="0.25" ht="20" customHeight="1">
      <c r="A98"/>
    </row>
    <row r="99" spans="1:1" x14ac:dyDescent="0.25" ht="20" customHeight="1">
      <c r="A99"/>
    </row>
    <row r="100" spans="1:1" x14ac:dyDescent="0.25" ht="20" customHeight="1">
      <c r="A100"/>
    </row>
    <row r="101" spans="1:1" x14ac:dyDescent="0.25" ht="20" customHeight="1">
      <c r="A101"/>
    </row>
    <row r="102" spans="1:1" x14ac:dyDescent="0.25" ht="20" customHeight="1">
      <c r="A102"/>
    </row>
    <row r="103" spans="1:1" x14ac:dyDescent="0.25" ht="20" customHeight="1">
      <c r="A103"/>
    </row>
    <row r="104" spans="1:1" x14ac:dyDescent="0.25" ht="20" customHeight="1">
      <c r="A104"/>
    </row>
    <row r="105" spans="1:1" x14ac:dyDescent="0.25" ht="20" customHeight="1">
      <c r="A105"/>
    </row>
    <row r="106" spans="1:1" x14ac:dyDescent="0.25" ht="20" customHeight="1">
      <c r="A106"/>
    </row>
    <row r="107" spans="1:1" x14ac:dyDescent="0.25" ht="20" customHeight="1">
      <c r="A107"/>
    </row>
    <row r="108" spans="1:1" x14ac:dyDescent="0.25" ht="20" customHeight="1">
      <c r="A108"/>
    </row>
    <row r="109" spans="1:1" x14ac:dyDescent="0.25" ht="20" customHeight="1">
      <c r="A109"/>
    </row>
    <row r="110" spans="1:1" x14ac:dyDescent="0.25" ht="20" customHeight="1">
      <c r="A110"/>
    </row>
    <row r="111" spans="1:1" x14ac:dyDescent="0.25" ht="20" customHeight="1">
      <c r="A111"/>
    </row>
    <row r="112" spans="1:1" x14ac:dyDescent="0.25" ht="20" customHeight="1">
      <c r="A112"/>
    </row>
    <row r="113" spans="1:1" x14ac:dyDescent="0.25" ht="20" customHeight="1">
      <c r="A113"/>
    </row>
    <row r="114" spans="1:1" x14ac:dyDescent="0.25" ht="20" customHeight="1">
      <c r="A114"/>
    </row>
    <row r="115" spans="1:1" x14ac:dyDescent="0.25" ht="20" customHeight="1">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dataValidations count="2">
    <dataValidation type="list" allowBlank="1" showInputMessage="1" showErrorMessage="1" sqref="F14" xr:uid="{DC4CE4C2-D3BF-4881-B0A0-06427125DBF3}">
      <formula1>INDIRECT("Table_SourceData_Fertiliser_IrrigationMethods[Irrigation method]")</formula1>
    </dataValidation>
    <dataValidation type="list" allowBlank="1" showInputMessage="1" showErrorMessage="1" sqref="F13" xr:uid="{05DFDE37-F619-4294-9AC5-AB0FA0BD2E3F}">
      <formula1>INDIRECT("Table_SourceData_Fertiliser_CropProdSystems[Production system]")</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A635-C926-4C02-B86C-072EC0457B83}">
  <sheetPr>
    <tabColor rgb="FFCC6600"/>
  </sheetPr>
  <dimension ref="A1:M83"/>
  <sheetViews>
    <sheetView showGridLines="0" tabSelected="1" topLeftCell="A52" zoomScaleNormal="100" workbookViewId="0">
      <pane xSplit="1" topLeftCell="B1" activePane="topRight" state="frozen"/>
      <selection pane="topRight" activeCell="D76" sqref="D76:D79"/>
    </sheetView>
  </sheetViews>
  <sheetFormatPr defaultRowHeight="20" x14ac:dyDescent="0.25" customHeight="1"/>
  <cols>
    <col min="1" max="1" width="36.7109375" customWidth="1"/>
    <col min="2" max="2" width="4.7109375" customWidth="1"/>
    <col min="3" max="3" width="4.7109375" style="1" customWidth="1"/>
    <col min="4" max="4" width="49" style="1" customWidth="1"/>
    <col min="5" max="5" width="66.140625" style="1" customWidth="1"/>
    <col min="6" max="6" width="71.5703125" style="1" customWidth="1"/>
    <col min="7" max="7" width="55.5703125" style="1" customWidth="1"/>
    <col min="8" max="8" width="101.28515625" style="1" customWidth="1"/>
    <col min="9" max="9" width="74.5703125" style="1" customWidth="1"/>
    <col min="10" max="13" width="30.7109375" style="1" customWidth="1"/>
    <col min="14" max="14" width="30.7109375" customWidth="1"/>
  </cols>
  <sheetData>
    <row r="1" spans="1:13" s="10" customFormat="1" ht="30" x14ac:dyDescent="0.35" customHeight="1">
      <c r="C1" s="10" t="s">
        <v>185</v>
      </c>
    </row>
    <row r="2" spans="1:13" s="3" customFormat="1" x14ac:dyDescent="0.25" ht="20" customHeight="1">
      <c r="A2"/>
    </row>
    <row r="3" spans="1:13" ht="20" x14ac:dyDescent="0.25" customHeight="1">
      <c r="A3" s="5" t="str">
        <f>HYPERLINK("#'Home'!A1", "Home")</f>
        <v>Home</v>
      </c>
      <c r="C3" s="29"/>
      <c r="D3" s="29"/>
      <c r="E3" s="29"/>
      <c r="F3" s="29"/>
      <c r="G3" s="29"/>
      <c r="H3" s="29"/>
      <c r="I3" s="29"/>
      <c r="J3" s="29"/>
      <c r="K3" s="29"/>
      <c r="L3" s="29"/>
      <c r="M3" s="29"/>
    </row>
    <row r="4" spans="1:13" x14ac:dyDescent="0.25" ht="20" customHeight="1">
      <c r="A4" s="5" t="str">
        <f>HYPERLINK("#'Results - Activity period'!A1", "Results - Activity period")</f>
        <v>Results - Activity period</v>
      </c>
    </row>
    <row r="5" spans="1:13" ht="20" x14ac:dyDescent="0.25" customHeight="1">
      <c r="A5" s="5" t="str">
        <f>HYPERLINK("#'Results - Product EI'!A1", "Results - Product Emissions Intensity")</f>
        <v>Results - Product Emissions Intensity</v>
      </c>
      <c r="D5" s="2" t="s">
        <v>236</v>
      </c>
    </row>
    <row r="7" spans="1:13" x14ac:dyDescent="0.25" ht="20" customHeight="1">
      <c r="D7" s="82" t="s">
        <v>275</v>
      </c>
      <c r="E7" s="82" t="s">
        <v>237</v>
      </c>
      <c r="F7" s="82" t="s">
        <v>238</v>
      </c>
      <c r="G7" s="82" t="s">
        <v>239</v>
      </c>
      <c r="H7" s="82" t="s">
        <v>186</v>
      </c>
      <c r="I7" s="82" t="s">
        <v>187</v>
      </c>
      <c r="J7" s="82" t="s">
        <v>188</v>
      </c>
    </row>
    <row r="8" spans="1:13" x14ac:dyDescent="0.25" ht="20" customHeight="1">
      <c r="A8" s="7" t="s">
        <v>0</v>
      </c>
      <c r="D8" s="1" t="str">
        <f>"Liveweight sold"</f>
        <v>Liveweight sold</v>
      </c>
      <c r="E8" s="13"/>
      <c r="F8" s="13"/>
      <c r="G8" s="13"/>
      <c r="H8" s="83"/>
      <c r="I8" s="83"/>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9" spans="1:13" x14ac:dyDescent="0.25" ht="20" customHeight="1">
      <c r="A9" s="5" t="str">
        <f>HYPERLINK("#'Input - Enterprise'!A1", "Enterprise")</f>
        <v>Enterprise</v>
      </c>
      <c r="D9" s="1" t="str">
        <f>"Liveweight grown"</f>
        <v>Liveweight grown</v>
      </c>
      <c r="E9" s="13"/>
      <c r="F9" s="13"/>
      <c r="G9" s="13"/>
      <c r="H9" s="83"/>
      <c r="I9" s="83"/>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1:13" x14ac:dyDescent="0.25" ht="20" customHeight="1">
      <c r="A10" s="5" t="str">
        <f>HYPERLINK("#'Input - Site'!A1", "Site")</f>
        <v>Site</v>
      </c>
      <c r="D10" s="1" t="str">
        <f>"Manure produced"</f>
        <v>Manure produced</v>
      </c>
      <c r="E10" s="13"/>
      <c r="F10" s="13"/>
      <c r="G10" s="13"/>
      <c r="H10" s="83"/>
      <c r="I10" s="83"/>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1" spans="1:13" x14ac:dyDescent="0.25" ht="20" customHeight="1">
      <c r="A11" s="5" t="str">
        <f>HYPERLINK("#'Input - Pasture Beef'!A1", "Pasture Beef")</f>
        <v>Pasture Beef</v>
      </c>
      <c r="D11" s="1" t="str">
        <f>"Manure sold"</f>
        <v>Manure sold</v>
      </c>
      <c r="E11" s="13"/>
      <c r="F11" s="13"/>
      <c r="G11" s="13"/>
      <c r="H11" s="83"/>
      <c r="I11" s="83"/>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2" spans="1:13" x14ac:dyDescent="0.25" ht="20" customHeight="1">
      <c r="A12" s="5" t="str">
        <f>HYPERLINK("#'Input - Livestock sales'!A1", "Livestock sales")</f>
        <v>Livestock sales</v>
      </c>
      <c r="D12" s="1" t="str">
        <f>"Percent income from liveweight sold"</f>
        <v>Percent income from liveweight sold</v>
      </c>
      <c r="E12" s="13"/>
      <c r="F12" s="13"/>
      <c r="G12" s="13"/>
      <c r="H12" s="83"/>
      <c r="I12" s="83"/>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3" spans="1:13" x14ac:dyDescent="0.25" ht="20" customHeight="1">
      <c r="A13" s="5" t="str">
        <f>HYPERLINK("#'Input - Beef cattle purchases'!A1", "Beef cattle purchases")</f>
        <v>Beef cattle purchases</v>
      </c>
      <c r="D13" s="1" t="str">
        <f>"Percent income from manure sold"</f>
        <v>Percent income from manure sold</v>
      </c>
      <c r="E13" s="13"/>
      <c r="F13" s="13"/>
      <c r="G13" s="13"/>
      <c r="H13" s="83"/>
      <c r="I13" s="83"/>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4" spans="1:13" x14ac:dyDescent="0.25" ht="20" customHeight="1">
      <c r="A14" s="5" t="str">
        <f>HYPERLINK("#'Input - Pasture'!A1", "Pasture")</f>
        <v>Pasture</v>
      </c>
    </row>
    <row r="15" spans="1:13" x14ac:dyDescent="0.25" ht="20" customHeight="1">
      <c r="A15" s="5" t="str">
        <f>HYPERLINK("#'Input - Fert Prod System'!A1", "Fert Prod System")</f>
        <v>Fert Prod System</v>
      </c>
      <c r="J15" s="87">
        <f>SUM(Table_Input_DataQuality_Enterprise[Score])</f>
        <v>0</v>
      </c>
    </row>
    <row r="16" spans="1:13" ht="20" x14ac:dyDescent="0.25" customHeight="1">
      <c r="A16" s="5" t="str">
        <f>HYPERLINK("#'Input - Fertiliser'!A1", "Fertiliser")</f>
        <v>Fertiliser</v>
      </c>
      <c r="D16" s="2" t="s">
        <v>246</v>
      </c>
    </row>
    <row r="17" spans="1:10" x14ac:dyDescent="0.25" ht="20" customHeight="1">
      <c r="A17" s="5" t="str">
        <f>HYPERLINK("#'Input - Fuel'!A1", "Fuel")</f>
        <v>Fuel</v>
      </c>
    </row>
    <row r="18" spans="1:10" x14ac:dyDescent="0.25" ht="20" customHeight="1">
      <c r="A18" s="5" t="str">
        <f>HYPERLINK("#'Input - Electricity'!A1", "Electricity")</f>
        <v>Electricity</v>
      </c>
      <c r="D18" s="82" t="s">
        <v>275</v>
      </c>
      <c r="E18" s="82" t="s">
        <v>237</v>
      </c>
      <c r="F18" s="82" t="s">
        <v>238</v>
      </c>
      <c r="G18" s="82" t="s">
        <v>239</v>
      </c>
      <c r="H18" s="82" t="s">
        <v>186</v>
      </c>
      <c r="I18" s="82" t="s">
        <v>187</v>
      </c>
      <c r="J18" s="82" t="s">
        <v>188</v>
      </c>
    </row>
    <row r="19" spans="1:10" x14ac:dyDescent="0.25" ht="20" customHeight="1">
      <c r="A19" s="5" t="str">
        <f>HYPERLINK("#'Input - Common farm inputs'!A1", "Common farm inputs")</f>
        <v>Common farm inputs</v>
      </c>
      <c r="D19" s="1" t="str">
        <f>"Leaching zone"</f>
        <v>Leaching zone</v>
      </c>
      <c r="E19" s="13"/>
      <c r="F19" s="13"/>
      <c r="G19" s="13"/>
      <c r="H19" s="83"/>
      <c r="I19" s="83"/>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0" spans="1:10" x14ac:dyDescent="0.25" ht="20" customHeight="1">
      <c r="A20" s="5" t="str">
        <f>HYPERLINK("#'Input - Crop pasture farm input'!A1", "Crop pasture farm input")</f>
        <v>Crop pasture farm input</v>
      </c>
      <c r="D20" s="1" t="str">
        <f>"Elevation"</f>
        <v>Elevation</v>
      </c>
      <c r="E20" s="13"/>
      <c r="F20" s="13"/>
      <c r="G20" s="13"/>
      <c r="H20" s="83"/>
      <c r="I20" s="83"/>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1" spans="1:10" x14ac:dyDescent="0.25" ht="20" customHeight="1">
      <c r="A21" s="5" t="str">
        <f>HYPERLINK("#'Input - Livestock farm Inputs'!A1", "Livestock farm Inputs")</f>
        <v>Livestock farm Inputs</v>
      </c>
      <c r="D21" s="1" t="str">
        <f>"Average temperature for reporting period"</f>
        <v>Average temperature for reporting period</v>
      </c>
      <c r="E21" s="13"/>
      <c r="F21" s="13"/>
      <c r="G21" s="13"/>
      <c r="H21" s="83"/>
      <c r="I21" s="83"/>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2" spans="1:10" x14ac:dyDescent="0.25" ht="20" customHeight="1">
      <c r="A22" s="5" t="str">
        <f>HYPERLINK("#'Input - Freight'!A1", "Freight")</f>
        <v>Freight</v>
      </c>
      <c r="D22" s="1" t="str">
        <f>"Total rainfall for reporting period"</f>
        <v>Total rainfall for reporting period</v>
      </c>
      <c r="E22" s="13"/>
      <c r="F22" s="13"/>
      <c r="G22" s="13"/>
      <c r="H22" s="83"/>
      <c r="I22" s="83"/>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3" spans="1:10" x14ac:dyDescent="0.25" ht="20" customHeight="1">
      <c r="A23" s="5" t="str">
        <f>HYPERLINK("#'Input - Solid waste'!A1", "Solid waste")</f>
        <v>Solid waste</v>
      </c>
      <c r="D23" s="1" t="str">
        <f>"Potential evapotranspiration for reporting period"</f>
        <v>Potential evapotranspiration for reporting period</v>
      </c>
      <c r="E23" s="13"/>
      <c r="F23" s="13"/>
      <c r="G23" s="13"/>
      <c r="H23" s="83"/>
      <c r="I23" s="83"/>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4" spans="1:10" x14ac:dyDescent="0.25" ht="20" customHeight="1">
      <c r="A24" s="5" t="str">
        <f>HYPERLINK("#'Input - Manure sent off-site'!A1", "Manure sent off-site")</f>
        <v>Manure sent off-site</v>
      </c>
      <c r="D24" s="1" t="str">
        <f>"Number of frost days for reporting period"</f>
        <v>Number of frost days for reporting period</v>
      </c>
      <c r="E24" s="84"/>
      <c r="F24" s="84"/>
      <c r="G24" s="84"/>
      <c r="H24" s="83"/>
      <c r="I24" s="83"/>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5" spans="1:10" x14ac:dyDescent="0.25" ht="20" customHeight="1">
      <c r="A25" s="99" t="str">
        <f>HYPERLINK("#'Input - Data quality'!A1", "Data quality")</f>
        <v>Data quality</v>
      </c>
    </row>
    <row r="26" spans="1:10" x14ac:dyDescent="0.25" ht="20" customHeight="1">
      <c r="J26" s="87">
        <f>SUM(Table_Input_DataQuality_Site[Score])</f>
        <v>0</v>
      </c>
    </row>
    <row r="27" spans="1:10" ht="20" x14ac:dyDescent="0.25" customHeight="1">
      <c r="D27" s="2" t="s">
        <v>249</v>
      </c>
    </row>
    <row r="28" spans="1:10" x14ac:dyDescent="0.25" ht="20" customHeight="1">
      <c r="A28" s="6" t="s">
        <v>2</v>
      </c>
    </row>
    <row r="29" spans="1:10" x14ac:dyDescent="0.25" ht="20" customHeight="1">
      <c r="A29" s="5" t="str">
        <f>HYPERLINK("#'3.2.1.1-2 Enteric Methane'!A1", "3.2.1.1-2 Enteric Methane")</f>
        <v>3.2.1.1-2 Enteric Methane</v>
      </c>
      <c r="D29" s="82" t="s">
        <v>275</v>
      </c>
      <c r="E29" s="82" t="s">
        <v>237</v>
      </c>
      <c r="F29" s="82" t="s">
        <v>238</v>
      </c>
      <c r="G29" s="82" t="s">
        <v>239</v>
      </c>
      <c r="H29" s="82" t="s">
        <v>186</v>
      </c>
      <c r="I29" s="82" t="s">
        <v>187</v>
      </c>
      <c r="J29" s="82" t="s">
        <v>188</v>
      </c>
    </row>
    <row r="30" spans="1:10" x14ac:dyDescent="0.25" ht="20" customHeight="1">
      <c r="A30" s="5" t="str">
        <f>HYPERLINK("#'4.2.1.1-2 Methane'!A1", "4.2.1.1-2 Manure methane")</f>
        <v>4.2.1.1-2 Manure methane</v>
      </c>
      <c r="D30" s="1" t="str">
        <f>"Livestock production region"</f>
        <v>Livestock production region</v>
      </c>
      <c r="E30" s="13"/>
      <c r="F30" s="13"/>
      <c r="G30" s="13"/>
      <c r="H30" s="83"/>
      <c r="I30" s="83"/>
      <c r="J3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1" spans="1:10" x14ac:dyDescent="0.25" ht="20" customHeight="1">
      <c r="A31" s="5" t="str">
        <f>HYPERLINK("#'4.2.1.3-4 Soil direct N20'!A1", "4.2.1.3-4 Soil direct N2O")</f>
        <v>4.2.1.3-4 Soil direct N2O</v>
      </c>
      <c r="D31" s="1" t="str">
        <f>"Cattle breed"</f>
        <v>Cattle breed</v>
      </c>
      <c r="E31" s="13"/>
      <c r="F31" s="13"/>
      <c r="G31" s="13"/>
      <c r="H31" s="83"/>
      <c r="I31" s="83"/>
      <c r="J3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2" spans="1:10" x14ac:dyDescent="0.25" ht="20" customHeight="1">
      <c r="A32" s="5" t="str">
        <f>HYPERLINK("#'4.2.1.5-6 Soil Atmos Dep'!A1", "4.2.1.5-6 Soil atm. deposition")</f>
        <v>4.2.1.5-6 Soil atm. deposition</v>
      </c>
      <c r="D32" s="1" t="str">
        <f>"Head count"</f>
        <v>Head count</v>
      </c>
      <c r="E32" s="13"/>
      <c r="F32" s="13"/>
      <c r="G32" s="13"/>
      <c r="H32" s="83"/>
      <c r="I32" s="83"/>
      <c r="J32"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3" spans="1:10" x14ac:dyDescent="0.25" ht="20" customHeight="1">
      <c r="A33" s="5" t="str">
        <f>HYPERLINK("#'4.2.1.7-8 Soil leach runoff'!A1", "4.2.1.7-8 Soil leach &amp; runoff")</f>
        <v>4.2.1.7-8 Soil leach &amp; runoff</v>
      </c>
      <c r="D33" s="1" t="str">
        <f>"Liveweight"</f>
        <v>Liveweight</v>
      </c>
      <c r="E33" s="13"/>
      <c r="F33" s="13"/>
      <c r="G33" s="13"/>
      <c r="H33" s="83"/>
      <c r="I33" s="83"/>
      <c r="J33"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4" spans="1:10" x14ac:dyDescent="0.25" ht="20" customHeight="1">
      <c r="A34" s="5" t="str">
        <f>HYPERLINK("#'5.1.1.1-2 Inorganic fert N2O'!A1", "5.1.1.1-2 Inorganic fert N2O")</f>
        <v>5.1.1.1-2 Inorganic fert N2O</v>
      </c>
      <c r="D34" s="1" t="str">
        <f>"Liveweight gain"</f>
        <v>Liveweight gain</v>
      </c>
      <c r="E34" s="13"/>
      <c r="F34" s="13"/>
      <c r="G34" s="13"/>
      <c r="H34" s="83"/>
      <c r="I34" s="83"/>
      <c r="J34"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5" spans="1:10" x14ac:dyDescent="0.25" ht="20" customHeight="1">
      <c r="A35" s="5" t="str">
        <f>HYPERLINK("#'5.1.1.3-4 Inorganic fert CO2'!A1", "5.1.1.3-4 Inorganic fert CO2")</f>
        <v>5.1.1.3-4 Inorganic fert CO2</v>
      </c>
      <c r="D35" s="1" t="str">
        <f>"Dry matter digestibility of diet"</f>
        <v>Dry matter digestibility of diet</v>
      </c>
      <c r="E35" s="13"/>
      <c r="F35" s="84"/>
      <c r="G35" s="84"/>
      <c r="H35" s="83"/>
      <c r="I35" s="83"/>
      <c r="J35"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6" spans="1:10" x14ac:dyDescent="0.25" ht="20" customHeight="1">
      <c r="A36" s="5" t="str">
        <f>HYPERLINK("#'5.2.1.1-2 Organic Fert N2O'!A1", "5.2.1.1-2 Organic fert N2O")</f>
        <v>5.2.1.1-2 Organic fert N2O</v>
      </c>
      <c r="D36" s="1" t="str">
        <f>"Crude protein in diet"</f>
        <v>Crude protein in diet</v>
      </c>
      <c r="E36" s="13"/>
      <c r="F36" s="84"/>
      <c r="G36" s="84"/>
      <c r="H36" s="83"/>
      <c r="I36" s="83"/>
      <c r="J36"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7" spans="1:10" x14ac:dyDescent="0.25" ht="20" customHeight="1">
      <c r="A37" s="5" t="str">
        <f>HYPERLINK("#'5.3.1.1-2 Lime CO2'!A1", "5.3.1.1-2 Lime CO2")</f>
        <v>5.3.1.1-2 Lime CO2</v>
      </c>
      <c r="D37" s="1" t="str">
        <f>"Livestock access to water bodies"</f>
        <v>Livestock access to water bodies</v>
      </c>
      <c r="E37" s="13"/>
      <c r="F37" s="84"/>
      <c r="G37" s="84"/>
      <c r="H37" s="83"/>
      <c r="I37" s="83"/>
      <c r="J37"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8" spans="1:10" x14ac:dyDescent="0.25" ht="20" customHeight="1">
      <c r="A38" s="5" t="str">
        <f>HYPERLINK("#'5.4.1.1-4 Atmos deposition'!A1", "5.4.1.1-4 Atmos. deposition")</f>
        <v>5.4.1.1-4 Atmos. deposition</v>
      </c>
      <c r="D38" s="1" t="str">
        <f>"Calving timing"</f>
        <v>Calving timing</v>
      </c>
      <c r="E38" s="13"/>
      <c r="F38" s="84"/>
      <c r="G38" s="84"/>
      <c r="H38" s="83"/>
      <c r="I38" s="83"/>
      <c r="J38"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9" spans="1:10" x14ac:dyDescent="0.25" ht="20" customHeight="1">
      <c r="A39" s="5" t="str">
        <f>HYPERLINK("#'5.5.1.1-2 Leaching and runoff'!A1", "5.5.1.1-2 Leaching &amp; runoff")</f>
        <v>5.5.1.1-2 Leaching &amp; runoff</v>
      </c>
      <c r="D39" s="1" t="str">
        <f>"Calving rates"</f>
        <v>Calving rates</v>
      </c>
      <c r="E39" s="13"/>
      <c r="F39" s="84"/>
      <c r="G39" s="84"/>
      <c r="H39" s="83"/>
      <c r="I39" s="83"/>
      <c r="J39"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0" spans="1:10" x14ac:dyDescent="0.25" ht="20" customHeight="1">
      <c r="A40" s="5" t="str">
        <f>HYPERLINK("#'6.2.1.1-2 Pasture residue N2O'!A1", "6.2.1.1-2 Pasture residue N2O")</f>
        <v>6.2.1.1-2 Pasture residue N2O</v>
      </c>
      <c r="D40" s="1" t="str">
        <f>"Livestock sales"</f>
        <v>Livestock sales</v>
      </c>
      <c r="E40" s="13"/>
      <c r="F40" s="84"/>
      <c r="G40" s="84"/>
      <c r="H40" s="83"/>
      <c r="I40" s="83"/>
      <c r="J4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1" spans="1:10" x14ac:dyDescent="0.25" ht="20" customHeight="1">
      <c r="A41" s="5" t="str">
        <f>HYPERLINK("#'6.3.1.1-2 Leach runoff pasture'!A1", "6.3.1.1-2 Leach &amp; runoff (pasture)")</f>
        <v>6.3.1.1-2 Leach &amp; runoff (pasture)</v>
      </c>
      <c r="D41" s="1" t="str">
        <f>"Livestock purchases"</f>
        <v>Livestock purchases</v>
      </c>
      <c r="E41" s="13"/>
      <c r="F41" s="84"/>
      <c r="G41" s="84"/>
      <c r="H41" s="83"/>
      <c r="I41" s="83"/>
      <c r="J4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2" spans="1:10" x14ac:dyDescent="0.25" ht="20" customHeight="1">
      <c r="A42" s="5" t="str">
        <f>HYPERLINK("#'8.1.1.1-2 Transport fuel'!A1", "8.1.1.1-2 Transport fuel")</f>
        <v>8.1.1.1-2 Transport fuel</v>
      </c>
    </row>
    <row r="43" spans="1:10" x14ac:dyDescent="0.25" ht="20" customHeight="1">
      <c r="A43" s="5" t="str">
        <f>HYPERLINK("#'8.2.1.1-2 Stationary fuel'!A1", "8.2.1.1-2 Stationary fuel")</f>
        <v>8.2.1.1-2 Stationary fuel</v>
      </c>
      <c r="J43" s="87">
        <f>SUM(Table_Input_DataQuality_PastureBeef[Score])</f>
        <v>0</v>
      </c>
    </row>
    <row r="44" spans="1:10" ht="20" x14ac:dyDescent="0.25" customHeight="1">
      <c r="A44" s="5" t="str">
        <f>HYPERLINK("#'10.1.1-2 Solid waste treatment'!A1", "10.1.1.1-2 Solid waste")</f>
        <v>10.1.1.1-2 Solid waste</v>
      </c>
      <c r="D44" s="2" t="s">
        <v>256</v>
      </c>
    </row>
    <row r="45" spans="1:10" x14ac:dyDescent="0.25" ht="20" customHeight="1">
      <c r="A45" s="5" t="str">
        <f>HYPERLINK("#'14.1.1-2 Purchased electricity'!A1", "14.1.1-2 Purchased electricity")</f>
        <v>14.1.1-2 Purchased electricity</v>
      </c>
    </row>
    <row r="46" spans="1:10" x14ac:dyDescent="0.25" ht="20" customHeight="1">
      <c r="A46" s="5" t="str">
        <f>HYPERLINK("#'15 Scope 3'!A1", "15 Scope 3")</f>
        <v>15 Scope 3</v>
      </c>
      <c r="D46" s="82" t="s">
        <v>275</v>
      </c>
      <c r="E46" s="82" t="s">
        <v>237</v>
      </c>
      <c r="F46" s="82" t="s">
        <v>238</v>
      </c>
      <c r="G46" s="82" t="s">
        <v>239</v>
      </c>
      <c r="H46" s="82" t="s">
        <v>186</v>
      </c>
      <c r="I46" s="82" t="s">
        <v>187</v>
      </c>
      <c r="J46" s="82" t="s">
        <v>188</v>
      </c>
    </row>
    <row r="47" spans="1:10" x14ac:dyDescent="0.25" ht="20" customHeight="1">
      <c r="A47" s="5" t="str">
        <f>HYPERLINK("#'Calcs - Manure sent off-site'!A1", "Calcs - Manure sent off-site")</f>
        <v>Calcs - Manure sent off-site</v>
      </c>
      <c r="D47" s="1" t="str">
        <f>"Pasture type"</f>
        <v>Pasture type</v>
      </c>
      <c r="E47" s="13"/>
      <c r="F47" s="13"/>
      <c r="G47" s="13"/>
      <c r="H47" s="83"/>
      <c r="I47" s="83"/>
      <c r="J4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8" spans="1:10" x14ac:dyDescent="0.25" ht="20" customHeight="1">
      <c r="D48" s="1" t="str">
        <f>"Irrigation method"</f>
        <v>Irrigation method</v>
      </c>
      <c r="E48" s="13"/>
      <c r="F48" s="13"/>
      <c r="G48" s="13"/>
      <c r="H48" s="83"/>
      <c r="I48" s="83"/>
      <c r="J4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9" spans="1:10" x14ac:dyDescent="0.25" ht="20" customHeight="1">
      <c r="D49" s="1" t="str">
        <f>"Area under pasture"</f>
        <v>Area under pasture</v>
      </c>
      <c r="E49" s="13"/>
      <c r="F49" s="13"/>
      <c r="G49" s="13"/>
      <c r="H49" s="83"/>
      <c r="I49" s="83"/>
      <c r="J4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0" spans="1:10" x14ac:dyDescent="0.25" ht="20" customHeight="1">
      <c r="A50" s="85" t="s">
        <v>1</v>
      </c>
      <c r="D50" s="1" t="str">
        <f>"Pasture yield"</f>
        <v>Pasture yield</v>
      </c>
      <c r="E50" s="13"/>
      <c r="F50" s="13"/>
      <c r="G50" s="13"/>
      <c r="H50" s="83"/>
      <c r="I50" s="83"/>
      <c r="J5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1" spans="1:10" x14ac:dyDescent="0.25" ht="20" customHeight="1">
      <c r="A51" s="5" t="str">
        <f>HYPERLINK("#'Constants - Pasture Beef'!A1", "Constants - Pasture Beef")</f>
        <v>Constants - Pasture Beef</v>
      </c>
      <c r="D51" s="1" t="str">
        <f>"Area of pasture renewed or removed"</f>
        <v>Area of pasture renewed or removed</v>
      </c>
      <c r="E51" s="13"/>
      <c r="F51" s="13"/>
      <c r="G51" s="13"/>
      <c r="H51" s="83"/>
      <c r="I51" s="83"/>
      <c r="J5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2" spans="1:10" x14ac:dyDescent="0.25" ht="20" customHeight="1">
      <c r="A52" s="5" t="str">
        <f>HYPERLINK("#'Constants - Ag Residue'!A1", "Constants - Ag residue")</f>
        <v>Constants - Ag residue</v>
      </c>
    </row>
    <row r="53" spans="1:10" x14ac:dyDescent="0.25" ht="20" customHeight="1">
      <c r="A53" s="5" t="str">
        <f>HYPERLINK("#'Constants - Common Livestock'!A1", "Constants - Common Livestock")</f>
        <v>Constants - Common Livestock</v>
      </c>
      <c r="J53" s="87">
        <f>SUM(Table_Input_DataQuality_PastureManagement[Score])</f>
        <v>0</v>
      </c>
    </row>
    <row r="54" spans="1:10" ht="20" x14ac:dyDescent="0.25" customHeight="1">
      <c r="A54" s="5" t="str">
        <f>HYPERLINK("#'Constants - Electricity'!A1", "Constants - Electricity")</f>
        <v>Constants - Electricity</v>
      </c>
      <c r="D54" s="2" t="s">
        <v>262</v>
      </c>
    </row>
    <row r="55" spans="1:10" x14ac:dyDescent="0.25" ht="20" customHeight="1">
      <c r="A55" s="5" t="str">
        <f>HYPERLINK("#'Constants - Fertiliser'!A1", "Constants - Fertiliser")</f>
        <v>Constants - Fertiliser</v>
      </c>
    </row>
    <row r="56" spans="1:10" x14ac:dyDescent="0.25" ht="20" customHeight="1">
      <c r="A56" s="5" t="str">
        <f>HYPERLINK("#'Constants - Fuel'!A1", "Constants - Fuel")</f>
        <v>Constants - Fuel</v>
      </c>
      <c r="D56" s="82" t="s">
        <v>275</v>
      </c>
      <c r="E56" s="82" t="s">
        <v>237</v>
      </c>
      <c r="F56" s="82" t="s">
        <v>238</v>
      </c>
      <c r="G56" s="82" t="s">
        <v>239</v>
      </c>
      <c r="H56" s="82" t="s">
        <v>186</v>
      </c>
      <c r="I56" s="82" t="s">
        <v>187</v>
      </c>
      <c r="J56" s="82" t="s">
        <v>188</v>
      </c>
    </row>
    <row r="57" spans="1:10" x14ac:dyDescent="0.25" ht="20" customHeight="1">
      <c r="A57" s="5" t="str">
        <f>HYPERLINK("#'Constants - Scope 3'!A1", "Constants - Scope 3")</f>
        <v>Constants - Scope 3</v>
      </c>
      <c r="D57" s="1" t="str">
        <f>"Branded inorganic fertiliser applications"</f>
        <v>Branded inorganic fertiliser applications</v>
      </c>
      <c r="E57" s="13"/>
      <c r="F57" s="13"/>
      <c r="G57" s="13"/>
      <c r="H57" s="83"/>
      <c r="I57" s="83"/>
      <c r="J57"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58" spans="1:10" x14ac:dyDescent="0.25" ht="20" customHeight="1">
      <c r="A58" s="5" t="str">
        <f>HYPERLINK("#'Constants - Solid Waste'!A1", "Constants - Solid Waste")</f>
        <v>Constants - Solid Waste</v>
      </c>
      <c r="D58" s="1" t="str">
        <f>"Custom inorganic fertiliser blend applications"</f>
        <v>Custom inorganic fertiliser blend applications</v>
      </c>
      <c r="E58" s="13"/>
      <c r="F58" s="13"/>
      <c r="G58" s="13"/>
      <c r="H58" s="83"/>
      <c r="I58" s="83"/>
      <c r="J58"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59" spans="1:10" x14ac:dyDescent="0.25" ht="20" customHeight="1">
      <c r="A59" s="5" t="str">
        <f>HYPERLINK("#'Constants - Common'!A1", "Constants - Common")</f>
        <v>Constants - Common</v>
      </c>
      <c r="D59" s="1" t="str">
        <f>"Lime applications"</f>
        <v>Lime applications</v>
      </c>
      <c r="E59" s="13"/>
      <c r="F59" s="13"/>
      <c r="G59" s="13"/>
      <c r="H59" s="83"/>
      <c r="I59" s="83"/>
      <c r="J5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60" spans="1:10" x14ac:dyDescent="0.25" ht="20" customHeight="1">
      <c r="A60" s="5" t="str">
        <f>HYPERLINK("#'Acknowledgements'!A1", "Acknowledgements")</f>
        <v>Acknowledgements</v>
      </c>
      <c r="D60" s="1" t="str">
        <f>"Organic fertiliser applications"</f>
        <v>Organic fertiliser applications</v>
      </c>
      <c r="E60" s="13"/>
      <c r="F60" s="13"/>
      <c r="G60" s="13"/>
      <c r="H60" s="83"/>
      <c r="I60" s="83"/>
      <c r="J60"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62" spans="1:10" x14ac:dyDescent="0.25" ht="20" customHeight="1">
      <c r="J62" s="87">
        <f>SUM(Table_Input_DataQuality_FertiliserApplications[Score])</f>
        <v>0</v>
      </c>
    </row>
    <row r="63" spans="1:10" ht="20" x14ac:dyDescent="0.25" customHeight="1">
      <c r="D63" s="2" t="s">
        <v>276</v>
      </c>
    </row>
    <row r="65" spans="4:10" x14ac:dyDescent="0.25" ht="20" customHeight="1">
      <c r="D65" s="82" t="s">
        <v>275</v>
      </c>
      <c r="E65" s="82" t="s">
        <v>237</v>
      </c>
      <c r="F65" s="82" t="s">
        <v>238</v>
      </c>
      <c r="G65" s="82" t="s">
        <v>239</v>
      </c>
      <c r="H65" s="82" t="s">
        <v>186</v>
      </c>
      <c r="I65" s="82" t="s">
        <v>187</v>
      </c>
      <c r="J65" s="82" t="s">
        <v>188</v>
      </c>
    </row>
    <row r="66" spans="4:10" x14ac:dyDescent="0.25" ht="20" customHeight="1">
      <c r="D66" s="1" t="str">
        <f>"Fuel purchases"</f>
        <v>Fuel purchases</v>
      </c>
      <c r="E66" s="13"/>
      <c r="F66" s="13"/>
      <c r="G66" s="13"/>
      <c r="H66" s="83"/>
      <c r="I66" s="83"/>
      <c r="J6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7" spans="4:10" x14ac:dyDescent="0.25" ht="20" customHeight="1">
      <c r="D67" s="1" t="str">
        <f>"Fuel consumption"</f>
        <v>Fuel consumption</v>
      </c>
      <c r="E67" s="13"/>
      <c r="F67" s="13"/>
      <c r="G67" s="13"/>
      <c r="H67" s="83"/>
      <c r="I67" s="83"/>
      <c r="J6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8" spans="4:10" x14ac:dyDescent="0.25" ht="20" customHeight="1">
      <c r="D68" s="1" t="str">
        <f>"Electricity consumption"</f>
        <v>Electricity consumption</v>
      </c>
      <c r="E68" s="13"/>
      <c r="F68" s="13"/>
      <c r="G68" s="13"/>
      <c r="H68" s="83"/>
      <c r="I68" s="83"/>
      <c r="J6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9" spans="4:10" x14ac:dyDescent="0.25" ht="20" customHeight="1">
      <c r="D69" s="1" t="str">
        <f>"Electricity generation"</f>
        <v>Electricity generation</v>
      </c>
      <c r="E69" s="13"/>
      <c r="F69" s="13"/>
      <c r="G69" s="13"/>
      <c r="H69" s="83"/>
      <c r="I69" s="83"/>
      <c r="J69"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71" spans="4:10" x14ac:dyDescent="0.25" ht="20" customHeight="1">
      <c r="J71" s="87">
        <f>SUM(Table_Input_DataQuality_FuelElectricity[Score])</f>
        <v>0</v>
      </c>
    </row>
    <row r="73" spans="4:10" ht="20" x14ac:dyDescent="0.25" customHeight="1">
      <c r="D73" s="2" t="s">
        <v>277</v>
      </c>
    </row>
    <row r="75" spans="4:10" x14ac:dyDescent="0.25" ht="20" customHeight="1">
      <c r="D75" s="82" t="s">
        <v>275</v>
      </c>
      <c r="E75" s="82" t="s">
        <v>237</v>
      </c>
      <c r="F75" s="82" t="s">
        <v>238</v>
      </c>
      <c r="G75" s="82" t="s">
        <v>239</v>
      </c>
      <c r="H75" s="82" t="s">
        <v>186</v>
      </c>
      <c r="I75" s="82" t="s">
        <v>187</v>
      </c>
      <c r="J75" s="82" t="s">
        <v>188</v>
      </c>
    </row>
    <row r="76" spans="4:10" x14ac:dyDescent="0.25" ht="20" customHeight="1">
      <c r="D76" s="1" t="str">
        <f>"Farm input purchases"</f>
        <v>Farm input purchases</v>
      </c>
      <c r="E76" s="13"/>
      <c r="F76" s="13"/>
      <c r="G76" s="13"/>
      <c r="H76" s="83"/>
      <c r="I76" s="83"/>
      <c r="J7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7" spans="4:10" x14ac:dyDescent="0.25" ht="20" customHeight="1">
      <c r="D77" s="1" t="str">
        <f>"Inbound freight use"</f>
        <v>Inbound freight use</v>
      </c>
      <c r="E77" s="13"/>
      <c r="F77" s="13"/>
      <c r="G77" s="13"/>
      <c r="H77" s="83"/>
      <c r="I77" s="83"/>
      <c r="J7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8" spans="4:10" x14ac:dyDescent="0.25" ht="20" customHeight="1">
      <c r="D78" s="1" t="str">
        <f>"Outbound freight use"</f>
        <v>Outbound freight use</v>
      </c>
      <c r="E78" s="13"/>
      <c r="F78" s="13"/>
      <c r="G78" s="13"/>
      <c r="H78" s="83"/>
      <c r="I78" s="83"/>
      <c r="J7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9" spans="4:10" x14ac:dyDescent="0.25" ht="20" customHeight="1">
      <c r="D79" s="1" t="str">
        <f>"Solid waste generation and treatment"</f>
        <v>Solid waste generation and treatment</v>
      </c>
      <c r="E79" s="13"/>
      <c r="F79" s="13"/>
      <c r="G79" s="13"/>
      <c r="H79" s="83"/>
      <c r="I79" s="83"/>
      <c r="J7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81" spans="4:10" x14ac:dyDescent="0.25" ht="20" customHeight="1">
      <c r="J81" s="87">
        <f>SUM(Table_Input_DataQuality_FarmInputsFreightWaste[Score])</f>
        <v>0</v>
      </c>
    </row>
    <row r="83" spans="4:10" ht="20" x14ac:dyDescent="0.25" customHeight="1">
      <c r="D83" s="90" t="s">
        <v>278</v>
      </c>
      <c r="E83" s="91" t="str">
        <f>(J15+J26+J43+J53+J62+J71+J81)&amp;" out of "&amp;((COUNT(Table_Input_DataQuality_Enterprise[Score])*15)+(COUNT(Table_Input_DataQuality_Site[Score])*15)+(COUNT(Table_Input_DataQuality_PastureBeef[Score])*15)+(COUNT(Table_Input_DataQuality_PastureManagement[Score])*15)+(COUNT(Table_Input_DataQuality_FertiliserApplications[Score])*15)+(COUNT(Table_Input_DataQuality_FuelElectricity[Score])*15)+(COUNT(Table_Input_DataQuality_FarmInputsFreightWaste[Score])*15))</f>
        <v>0 out of 615</v>
      </c>
    </row>
  </sheetData>
  <dataValidations count="3">
    <dataValidation type="list" allowBlank="1" showInputMessage="1" showErrorMessage="1" sqref="F8:F13 F19:F24 F30:F41 F47:F51 F57:F60 F66:F69 F76:F79" xr:uid="{7A41F482-9DC2-427F-BD67-9E7030E9FA1D}">
      <formula1>INDIRECT("Table_SourceData_DataQuality_SpatialRepresentativeness[User friendly description]")</formula1>
    </dataValidation>
    <dataValidation type="list" allowBlank="1" showInputMessage="1" showErrorMessage="1" sqref="E8:E13 E19:E24 E30:E41 E47:E51 E57:E60 E66:E69 E76:E79" xr:uid="{A2F79B94-E5F1-44B9-A20F-B6166F7EA291}">
      <formula1>INDIRECT("Table_SourceData_DataQuality_TemporalRepresentativeness[User friendly description]")</formula1>
    </dataValidation>
    <dataValidation type="list" allowBlank="1" showInputMessage="1" showErrorMessage="1" sqref="G8:G13 G19:G24 G30:G41 G47:G51 G57:G60 G66:G69 G76:G79" xr:uid="{BA67DDE5-AE35-4EC9-9563-5791102272E4}">
      <formula1>INDIRECT("Table_SourceData_DataQuality_SampleSize[User friendly description]")</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32CE-EB77-418E-84EA-E2E028B40CA9}">
  <sheetPr>
    <tabColor rgb="FF008000"/>
  </sheetPr>
  <dimension ref="A1:AI274"/>
  <sheetViews>
    <sheetView showGridLines="0" topLeftCell="A15" zoomScaleNormal="100" workbookViewId="0">
      <pane xSplit="1" topLeftCell="B1" activePane="topRight" state="frozen"/>
      <selection pane="topRight" activeCell="A30" sqref="A30"/>
    </sheetView>
  </sheetViews>
  <sheetFormatPr defaultRowHeight="20" x14ac:dyDescent="0.25" customHeight="1"/>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570</v>
      </c>
    </row>
    <row r="2" spans="1:35" s="3" customFormat="1" ht="20" customHeight="1" x14ac:dyDescent="0.25">
      <c r="A2"/>
    </row>
    <row r="3" spans="1:35" ht="20" customHeight="1" x14ac:dyDescent="0.25">
      <c r="A3" s="5" t="str">
        <f>HYPERLINK("#'Home'!A1", "Home")</f>
        <v>Home</v>
      </c>
      <c r="C3" s="23"/>
      <c r="D3" s="23" t="s">
        <v>136</v>
      </c>
      <c r="E3" s="23"/>
      <c r="F3" s="23"/>
      <c r="G3" s="23"/>
      <c r="H3" s="23"/>
      <c r="I3" s="23"/>
      <c r="J3" s="23"/>
      <c r="K3" s="23"/>
      <c r="L3" s="23"/>
      <c r="M3" s="23"/>
      <c r="N3" s="23"/>
      <c r="O3" s="23"/>
      <c r="P3" s="23"/>
      <c r="Q3" s="23"/>
      <c r="R3" s="23"/>
      <c r="T3" s="23"/>
      <c r="U3" s="23" t="s">
        <v>137</v>
      </c>
      <c r="V3" s="23"/>
      <c r="W3" s="23"/>
      <c r="X3" s="23"/>
      <c r="Y3" s="23"/>
      <c r="Z3" s="23"/>
      <c r="AA3" s="23"/>
      <c r="AB3" s="23"/>
      <c r="AC3" s="23"/>
      <c r="AD3" s="23"/>
      <c r="AE3" s="23"/>
      <c r="AF3" s="23"/>
      <c r="AG3" s="23"/>
      <c r="AH3" s="23"/>
      <c r="AI3" s="23"/>
    </row>
    <row r="4" spans="1:35" ht="20" customHeight="1" x14ac:dyDescent="0.25">
      <c r="A4" s="5" t="str">
        <f>HYPERLINK("#'Results - Activity period'!A1", "Results - Activity period")</f>
        <v>Results - Activity period</v>
      </c>
    </row>
    <row r="5" spans="1:35" ht="20" customHeight="1" x14ac:dyDescent="0.25">
      <c r="A5" s="5" t="str">
        <f>HYPERLINK("#'Results - Product EI'!A1", "Results - Product Emissions Intensity")</f>
        <v>Results - Product Emissions Intensity</v>
      </c>
      <c r="D5" s="2" t="str" cm="1">
        <f t="array" ref="D5">EntericMethane_PastureBeef_Equations.VEERG_3_2_1_1__4_AdditionalIntakeForMilkProduction_Title()</f>
        <v>Additional intake for milk production in the season of calving and the season after calving</v>
      </c>
    </row>
    <row r="6" spans="1:35" ht="20" customHeight="1" x14ac:dyDescent="0.25">
      <c r="D6" s="17" t="str" cm="1">
        <f t="array" ref="D6">EntericMethane_PastureBeef_Equations.VEERG_3_2_1_1__4_AdditionalIntakeForMilkProduction_Source()</f>
        <v>VEERG 2026: 3.2.1.1, Equation (4)</v>
      </c>
    </row>
    <row r="7" spans="1:35" ht="20" customHeight="1" x14ac:dyDescent="0.25">
      <c r="D7" s="103" t="s">
        <v>372</v>
      </c>
      <c r="E7" s="103" t="s">
        <v>373</v>
      </c>
    </row>
    <row r="8" spans="1:35" ht="20" customHeight="1" x14ac:dyDescent="0.25">
      <c r="A8" s="7" t="s">
        <v>0</v>
      </c>
    </row>
    <row r="9" spans="1:35" ht="20" customHeight="1" x14ac:dyDescent="0.25">
      <c r="A9" s="5" t="str">
        <f>HYPERLINK("#'Input - Enterprise'!A1", "Enterprise")</f>
        <v>Enterprise</v>
      </c>
    </row>
    <row r="10" spans="1:35" ht="20" customHeight="1" x14ac:dyDescent="0.25">
      <c r="A10" s="5" t="str">
        <f>HYPERLINK("#'Input - Site'!A1", "Site")</f>
        <v>Site</v>
      </c>
      <c r="D10" s="77" t="s">
        <v>374</v>
      </c>
      <c r="E10" s="1" t="str" cm="1">
        <f t="array" ref="E10">EntericMethane_PastureBeef_Equations.VEERG_3_2_1_1__4_AdditionalIntakeForMilkProduction_Variable()</f>
        <v>MA_jk45</v>
      </c>
    </row>
    <row r="11" spans="1:35" ht="20" customHeight="1" x14ac:dyDescent="0.25">
      <c r="A11" s="5" t="str">
        <f>HYPERLINK("#'Input - Pasture Beef'!A1", "Pasture Beef")</f>
        <v>Pasture Beef</v>
      </c>
      <c r="D11" s="77" t="s">
        <v>121</v>
      </c>
      <c r="E11" s="9" t="str" cm="1">
        <f t="array" ref="E11">EntericMethane_PastureBeef_Equations.VEERG_3_2_1_1__4_AdditionalIntakeForMilkProduction_Unit()</f>
        <v>fraction</v>
      </c>
    </row>
    <row r="12" spans="1:35" ht="20" customHeight="1" x14ac:dyDescent="0.25">
      <c r="A12" s="5" t="str">
        <f>HYPERLINK("#'Input - Livestock sales'!A1", "Livestock sales")</f>
        <v>Livestock sales</v>
      </c>
    </row>
    <row r="13" spans="1:35" ht="20" customHeight="1" x14ac:dyDescent="0.25">
      <c r="A13" s="5" t="str">
        <f>HYPERLINK("#'Input - Beef cattle purchases'!A1", "Beef cattle purchases")</f>
        <v>Beef cattle purchases</v>
      </c>
      <c r="D13" s="105" t="str" cm="1">
        <f t="array" ref="D13:E16">_xlfn.CHOOSECOLS(EntericMethane_PastureBeef_Equations.VEERG_3_2_1_1__4_AdditionalIntakeForMilkProduction_ArgumentsVariation(), 1, 2)</f>
        <v>LC_jk45</v>
      </c>
      <c r="E13" s="106" t="str">
        <v>proportion of cows greater than 1 year in calf in the season of calving expressed as a fraction</v>
      </c>
      <c r="F13" s="107"/>
      <c r="G13" s="108"/>
      <c r="H13" s="105" t="str" cm="1">
        <f t="array" ref="H13:I16">_xlfn.CHOOSECOLS(EntericMethane_PastureBeef_Equations.VEERG_3_2_1_1__4_AdditionalIntakeForMilkProduction_ArgumentsVariation(), 3,4)</f>
        <v>fraction</v>
      </c>
      <c r="I13" s="109" t="str">
        <v>Input</v>
      </c>
      <c r="J13" s="111" t="str" cm="1">
        <f t="array" aca="1" ref="J13" ca="1">HYPERLINK(Common_InputFunctions.Utility_SourceHyperlink($D$18), $D$18)</f>
        <v>M1_Table_LC_j_k-4-5</v>
      </c>
    </row>
    <row r="14" spans="1:35" ht="20" customHeight="1" x14ac:dyDescent="0.25">
      <c r="A14" s="5" t="str">
        <f>HYPERLINK("#'Input - Pasture'!A1", "Pasture")</f>
        <v>Pasture</v>
      </c>
      <c r="D14" s="105" t="str">
        <v>FA_jk45calv</v>
      </c>
      <c r="E14" s="106" t="str">
        <v>feed adjustment value for lactating cows in the season of calving expressed as a fraction</v>
      </c>
      <c r="F14" s="107"/>
      <c r="G14" s="108"/>
      <c r="H14" s="105" t="str">
        <v>fraction</v>
      </c>
      <c r="I14" s="110" t="str">
        <v>Constant</v>
      </c>
      <c r="J14" s="105" t="e" cm="1">
        <f t="array" ref="J14">_xlfn.XLOOKUP(1, (Table_SourceData_PastureBeef_FeedIntakeAdjustment_Variation[Breed]=$J$16)*(Table_SourceData_PastureBeef_FeedIntakeAdjustment_Variation[Season]=+"Calving season"),Table_SourceData_PastureBeef_FeedIntakeAdjustment_Variation[Feed adjustment])</f>
        <v>#N/A</v>
      </c>
    </row>
    <row r="15" spans="1:35" ht="20" customHeight="1" x14ac:dyDescent="0.25">
      <c r="A15" s="5" t="str">
        <f>HYPERLINK("#'Input - Fert Prod System'!A1", "Fert Prod System")</f>
        <v>Fert Prod System</v>
      </c>
      <c r="D15" s="105" t="str">
        <v>FA_jk45after</v>
      </c>
      <c r="E15" s="106" t="str">
        <v>feed adjustment value for lactating cows in the season immediately after calving expressed as a fraction</v>
      </c>
      <c r="F15" s="107"/>
      <c r="G15" s="108"/>
      <c r="H15" s="105" t="str">
        <v>fraction</v>
      </c>
      <c r="I15" s="110" t="str">
        <v>Constant</v>
      </c>
      <c r="J15" s="105" t="e" cm="1">
        <f t="array" ref="J15">_xlfn.XLOOKUP(1, (Table_SourceData_PastureBeef_FeedIntakeAdjustment_Variation[Breed]=$J$16)*(Table_SourceData_PastureBeef_FeedIntakeAdjustment_Variation[Season]=+"Season after calving"),Table_SourceData_PastureBeef_FeedIntakeAdjustment_Variation[Feed adjustment])</f>
        <v>#N/A</v>
      </c>
    </row>
    <row r="16" spans="1:35" ht="20" customHeight="1" x14ac:dyDescent="0.25">
      <c r="A16" s="5" t="str">
        <f>HYPERLINK("#'Input - Fertiliser'!A1", "Fertiliser")</f>
        <v>Fertiliser</v>
      </c>
      <c r="D16" s="105" t="str">
        <v>b</v>
      </c>
      <c r="E16" s="106" t="str">
        <v>breed of cattle</v>
      </c>
      <c r="F16" s="107"/>
      <c r="G16" s="108"/>
      <c r="H16" s="105" t="str">
        <v/>
      </c>
      <c r="I16" s="109" t="str">
        <v>Input</v>
      </c>
      <c r="J16" s="105">
        <f>X_Cell_PastureBeef_Breed</f>
        <v>0</v>
      </c>
    </row>
    <row r="17" spans="1:34" ht="20" customHeight="1" x14ac:dyDescent="0.25">
      <c r="A17" s="5" t="str">
        <f>HYPERLINK("#'Input - Fuel'!A1", "Fuel")</f>
        <v>Fuel</v>
      </c>
    </row>
    <row r="18" spans="1:34" ht="20" customHeight="1" x14ac:dyDescent="0.25">
      <c r="A18" s="5" t="str">
        <f>HYPERLINK("#'Input - Electricity'!A1", "Electricity")</f>
        <v>Electricity</v>
      </c>
      <c r="D18" s="112" t="s">
        <v>375</v>
      </c>
    </row>
    <row r="19" spans="1:34" ht="20" customHeight="1" x14ac:dyDescent="0.25">
      <c r="A19" s="5" t="str">
        <f>HYPERLINK("#'Input - Common farm inputs'!A1", "Common farm inputs")</f>
        <v>Common farm inputs</v>
      </c>
      <c r="D19" s="113" t="s">
        <v>377</v>
      </c>
      <c r="U19" s="112" t="s">
        <v>376</v>
      </c>
    </row>
    <row r="20" spans="1:34" ht="20" customHeight="1" x14ac:dyDescent="0.25">
      <c r="A20" s="5" t="str">
        <f>HYPERLINK("#'Input - Crop pasture farm input'!A1", "Crop pasture farm input")</f>
        <v>Crop pasture farm input</v>
      </c>
      <c r="D20" s="114" t="s">
        <v>76</v>
      </c>
      <c r="E20" s="82" t="s">
        <v>328</v>
      </c>
      <c r="F20" s="82" t="s">
        <v>329</v>
      </c>
      <c r="G20" s="82" t="s">
        <v>330</v>
      </c>
      <c r="U20" s="113" t="s">
        <v>378</v>
      </c>
    </row>
    <row r="21" spans="1:34" ht="20" customHeight="1" x14ac:dyDescent="0.25">
      <c r="A21" s="5" t="str">
        <f>HYPERLINK("#'Input - Livestock farm Inputs'!A1", "Livestock farm Inputs")</f>
        <v>Livestock farm Inputs</v>
      </c>
      <c r="D21" s="15" t="str">
        <f>'Input - Pasture Beef'!E162</f>
        <v>Winter</v>
      </c>
      <c r="E21" s="125">
        <f>'Input - Pasture Beef'!F168</f>
        <v>0.7</v>
      </c>
      <c r="F21" s="125">
        <f>'Input - Pasture Beef'!G168</f>
        <v>0.5</v>
      </c>
      <c r="G21" s="125">
        <f>'Input - Pasture Beef'!H168</f>
        <v>0.5</v>
      </c>
      <c r="H21" s="16" t="s">
        <v>379</v>
      </c>
      <c r="U21" s="114" t="s">
        <v>75</v>
      </c>
      <c r="V21" s="82" t="s">
        <v>328</v>
      </c>
      <c r="W21" s="82" t="s">
        <v>329</v>
      </c>
      <c r="X21" s="82" t="s">
        <v>330</v>
      </c>
    </row>
    <row r="22" spans="1:34" ht="20" customHeight="1" x14ac:dyDescent="0.25">
      <c r="A22" s="5" t="str">
        <f>HYPERLINK("#'Input - Freight'!A1", "Freight")</f>
        <v>Freight</v>
      </c>
      <c r="U22" s="15" t="str">
        <f>TEXT(EDATE('Input - Pasture Beef'!E176,0), "mmmm") &amp; ", " &amp; TEXT(EDATE('Input - Pasture Beef'!E177,0), "mmmm") &amp; ", " &amp; TEXT(EDATE('Input - Pasture Beef'!E178,0), "mmmm")</f>
        <v>August, September, October</v>
      </c>
      <c r="V22" s="125">
        <f>'Input - Pasture Beef'!E185</f>
        <v>0.75</v>
      </c>
      <c r="W22" s="125">
        <f>'Input - Pasture Beef'!F185</f>
        <v>0.75</v>
      </c>
      <c r="X22" s="125">
        <f>'Input - Pasture Beef'!G185</f>
        <v>0.75</v>
      </c>
      <c r="Y22" s="16" t="s">
        <v>379</v>
      </c>
    </row>
    <row r="23" spans="1:34" ht="20" customHeight="1" x14ac:dyDescent="0.25">
      <c r="A23" s="5" t="str">
        <f>HYPERLINK("#'Input - Solid waste'!A1", "Solid waste")</f>
        <v>Solid waste</v>
      </c>
      <c r="D23" s="112" t="s">
        <v>382</v>
      </c>
      <c r="U23" s="15" t="str">
        <f>TEXT(EDATE('Input - Pasture Beef'!$E$176,1), "mmmm") &amp; ", " &amp; TEXT(EDATE('Input - Pasture Beef'!$E$176,2), "mmmm") &amp; ", " &amp; TEXT(EDATE('Input - Pasture Beef'!$E$176,3), "mmmm")</f>
        <v>September, October, November</v>
      </c>
      <c r="Y23" s="16"/>
    </row>
    <row r="24" spans="1:34" ht="20" customHeight="1" x14ac:dyDescent="0.25">
      <c r="A24" s="5" t="str">
        <f>HYPERLINK("#'Input - Manure sent off-site'!A1", "Manure sent off-site")</f>
        <v>Manure sent off-site</v>
      </c>
      <c r="D24" s="113" t="s">
        <v>384</v>
      </c>
      <c r="Y24" s="16"/>
    </row>
    <row r="25" spans="1:34" ht="20" customHeight="1" x14ac:dyDescent="0.25">
      <c r="A25" s="5" t="str">
        <f>HYPERLINK("#'Input - Data quality'!A1", "Data quality")</f>
        <v>Data quality</v>
      </c>
      <c r="D25" s="114" t="s">
        <v>76</v>
      </c>
      <c r="E25" s="114" t="s">
        <v>357</v>
      </c>
      <c r="F25" s="114" t="s">
        <v>383</v>
      </c>
      <c r="G25" s="114" t="s">
        <v>326</v>
      </c>
      <c r="H25" s="114" t="s">
        <v>184</v>
      </c>
      <c r="I25" s="114" t="s">
        <v>327</v>
      </c>
      <c r="J25" s="114" t="s">
        <v>328</v>
      </c>
      <c r="K25" s="114" t="s">
        <v>329</v>
      </c>
      <c r="L25" s="114" t="s">
        <v>330</v>
      </c>
      <c r="M25" s="114" t="s">
        <v>331</v>
      </c>
      <c r="N25" s="114" t="s">
        <v>332</v>
      </c>
      <c r="O25" s="114" t="s">
        <v>333</v>
      </c>
      <c r="P25" s="114" t="s">
        <v>334</v>
      </c>
      <c r="U25" s="112" t="s">
        <v>380</v>
      </c>
    </row>
    <row r="26" spans="1:34" ht="20" customHeight="1" x14ac:dyDescent="0.25">
      <c r="D26" s="15" t="s">
        <v>335</v>
      </c>
      <c r="E26" s="15" t="str" cm="1">
        <f t="array" ref="E26">_xlfn.IFS(D21=D26, "Calving season", D21=D29, "Season after calving", D21=D27, "", D21=D28, "")</f>
        <v>Season after calving</v>
      </c>
      <c r="F26" s="15" t="e" cm="1">
        <f t="array" ref="F26">_xlfn.IFS(E26="Calving season", $J$14, E26="Season after calving", $J$15, E26="", "")</f>
        <v>#N/A</v>
      </c>
      <c r="G26" s="15">
        <v>1</v>
      </c>
      <c r="H26" s="15">
        <v>1</v>
      </c>
      <c r="I26" s="15">
        <v>1</v>
      </c>
      <c r="J26" s="15" cm="1">
        <f t="array" ref="J26">IFERROR(EntericMethane_PastureBeef_Equations.VEERG_3_2_1_1__4_AdditionalIntakeForMilkProduction(E$21,$F26), 1)</f>
        <v>1</v>
      </c>
      <c r="K26" s="15" cm="1">
        <f t="array" ref="K26">IFERROR(EntericMethane_PastureBeef_Equations.VEERG_3_2_1_1__4_AdditionalIntakeForMilkProduction(F$21,$F26), 1)</f>
        <v>1</v>
      </c>
      <c r="L26" s="15" cm="1">
        <f t="array" ref="L26">IFERROR(EntericMethane_PastureBeef_Equations.VEERG_3_2_1_1__4_AdditionalIntakeForMilkProduction(G$21,$F26), 1)</f>
        <v>1</v>
      </c>
      <c r="M26" s="15">
        <v>1</v>
      </c>
      <c r="N26" s="15">
        <v>1</v>
      </c>
      <c r="O26" s="15">
        <v>1</v>
      </c>
      <c r="P26" s="15">
        <v>1</v>
      </c>
      <c r="Q26" s="16" t="str">
        <f>$E$11</f>
        <v>fraction</v>
      </c>
      <c r="U26" s="113" t="s">
        <v>381</v>
      </c>
    </row>
    <row r="27" spans="1:34" ht="20" customHeight="1" x14ac:dyDescent="0.25">
      <c r="D27" s="15" t="s">
        <v>336</v>
      </c>
      <c r="E27" s="15" t="str" cm="1">
        <f t="array" ref="E27">_xlfn.IFS(D21=D27, "Calving season", D21=D26, "Season after calving", D21=D28, "", D21=D29, "")</f>
        <v/>
      </c>
      <c r="F27" s="15" t="str" cm="1">
        <f t="array" ref="F27">_xlfn.IFS(E27="Calving season", $J$14, E27="Season after calving", $J$15, E27="", "")</f>
        <v/>
      </c>
      <c r="G27" s="15">
        <v>1</v>
      </c>
      <c r="H27" s="15">
        <v>1</v>
      </c>
      <c r="I27" s="15">
        <v>1</v>
      </c>
      <c r="J27" s="15" cm="1">
        <f t="array" ref="J27">IFERROR(EntericMethane_PastureBeef_Equations.VEERG_3_2_1_1__4_AdditionalIntakeForMilkProduction(E$21,$F27), 1)</f>
        <v>1</v>
      </c>
      <c r="K27" s="15" cm="1">
        <f t="array" ref="K27">IFERROR(EntericMethane_PastureBeef_Equations.VEERG_3_2_1_1__4_AdditionalIntakeForMilkProduction(F$21,$F27), 1)</f>
        <v>1</v>
      </c>
      <c r="L27" s="15" cm="1">
        <f t="array" ref="L27">IFERROR(EntericMethane_PastureBeef_Equations.VEERG_3_2_1_1__4_AdditionalIntakeForMilkProduction(G$21,$F27), 1)</f>
        <v>1</v>
      </c>
      <c r="M27" s="15">
        <v>1</v>
      </c>
      <c r="N27" s="15">
        <v>1</v>
      </c>
      <c r="O27" s="15">
        <v>1</v>
      </c>
      <c r="P27" s="15">
        <v>1</v>
      </c>
      <c r="Q27" s="16" t="str">
        <f t="shared" ref="Q27:Q29" si="0">$E$11</f>
        <v>fraction</v>
      </c>
      <c r="U27" s="114" t="s">
        <v>75</v>
      </c>
      <c r="V27" s="114" t="s">
        <v>357</v>
      </c>
      <c r="W27" s="114" t="s">
        <v>383</v>
      </c>
      <c r="X27" s="114" t="s">
        <v>326</v>
      </c>
      <c r="Y27" s="114" t="s">
        <v>184</v>
      </c>
      <c r="Z27" s="114" t="s">
        <v>327</v>
      </c>
      <c r="AA27" s="114" t="s">
        <v>328</v>
      </c>
      <c r="AB27" s="114" t="s">
        <v>329</v>
      </c>
      <c r="AC27" s="114" t="s">
        <v>330</v>
      </c>
      <c r="AD27" s="114" t="s">
        <v>331</v>
      </c>
      <c r="AE27" s="114" t="s">
        <v>332</v>
      </c>
      <c r="AF27" s="114" t="s">
        <v>333</v>
      </c>
      <c r="AG27" s="114" t="s">
        <v>334</v>
      </c>
    </row>
    <row r="28" spans="1:34" ht="20" customHeight="1" x14ac:dyDescent="0.25">
      <c r="A28" s="6" t="s">
        <v>2</v>
      </c>
      <c r="D28" s="15" t="s">
        <v>337</v>
      </c>
      <c r="E28" s="15" t="str" cm="1">
        <f t="array" ref="E28">_xlfn.IFS(D21=D28, "Calving season", D21=D27, "Season after calving", D21=D29, "", D21=D26, "")</f>
        <v/>
      </c>
      <c r="F28" s="15" t="str" cm="1">
        <f t="array" ref="F28">_xlfn.IFS(E28="Calving season", $J$14, E28="Season after calving", $J$15, E28="", "")</f>
        <v/>
      </c>
      <c r="G28" s="15">
        <v>1</v>
      </c>
      <c r="H28" s="15">
        <v>1</v>
      </c>
      <c r="I28" s="15">
        <v>1</v>
      </c>
      <c r="J28" s="15" cm="1">
        <f t="array" ref="J28">IFERROR(EntericMethane_PastureBeef_Equations.VEERG_3_2_1_1__4_AdditionalIntakeForMilkProduction(E$21,$F28), 1)</f>
        <v>1</v>
      </c>
      <c r="K28" s="15" cm="1">
        <f t="array" ref="K28">IFERROR(EntericMethane_PastureBeef_Equations.VEERG_3_2_1_1__4_AdditionalIntakeForMilkProduction(F$21,$F28), 1)</f>
        <v>1</v>
      </c>
      <c r="L28" s="15" cm="1">
        <f t="array" ref="L28">IFERROR(EntericMethane_PastureBeef_Equations.VEERG_3_2_1_1__4_AdditionalIntakeForMilkProduction(G$21,$F28), 1)</f>
        <v>1</v>
      </c>
      <c r="M28" s="15">
        <v>1</v>
      </c>
      <c r="N28" s="15">
        <v>1</v>
      </c>
      <c r="O28" s="15">
        <v>1</v>
      </c>
      <c r="P28" s="15">
        <v>1</v>
      </c>
      <c r="Q28" s="16" t="str">
        <f t="shared" si="0"/>
        <v>fraction</v>
      </c>
      <c r="U28" s="15" t="str">
        <f>TEXT(X_Cell_Site_StartDate,"mmmm")</f>
        <v>January</v>
      </c>
      <c r="V28" s="15" t="str" cm="1">
        <f t="array" ref="V28">IFERROR(_xlfn.IFS(SUMPRODUCT(ISNUMBER(SEARCH(TRIM(_xlfn.TEXTSPLIT($U$22,",")),U28))*1)&gt;0,"Calving season",SUMPRODUCT(ISNUMBER(SEARCH(TRIM(_xlfn.TEXTSPLIT($U$23,",")),U28))*1)&gt;0,"Season after calving"), "")</f>
        <v/>
      </c>
      <c r="W28" s="15" t="str" cm="1">
        <f t="array" ref="W28">_xlfn.IFS(V28="Calving season", $J$14, V28="Season after calving", $J$15, V28="", "")</f>
        <v/>
      </c>
      <c r="X28" s="15">
        <v>1</v>
      </c>
      <c r="Y28" s="15">
        <v>1</v>
      </c>
      <c r="Z28" s="15">
        <v>1</v>
      </c>
      <c r="AA28" s="15" cm="1">
        <f t="array" ref="AA28">IFERROR(EntericMethane_PastureBeef_Equations.VEERG_3_2_1_1__4_AdditionalIntakeForMilkProduction(V$22,$W28), 1)</f>
        <v>1</v>
      </c>
      <c r="AB28" s="15" cm="1">
        <f t="array" ref="AB28">IFERROR(EntericMethane_PastureBeef_Equations.VEERG_3_2_1_1__4_AdditionalIntakeForMilkProduction(W$22,$W28), 1)</f>
        <v>1</v>
      </c>
      <c r="AC28" s="15" cm="1">
        <f t="array" ref="AC28">IFERROR(EntericMethane_PastureBeef_Equations.VEERG_3_2_1_1__4_AdditionalIntakeForMilkProduction(X$22,$W28), 1)</f>
        <v>1</v>
      </c>
      <c r="AD28" s="15">
        <v>1</v>
      </c>
      <c r="AE28" s="15">
        <v>1</v>
      </c>
      <c r="AF28" s="15">
        <v>1</v>
      </c>
      <c r="AG28" s="15">
        <v>1</v>
      </c>
      <c r="AH28" s="16" t="str">
        <f>$E$11</f>
        <v>fraction</v>
      </c>
    </row>
    <row r="29" spans="1:34" ht="20" customHeight="1" x14ac:dyDescent="0.25">
      <c r="A29" s="104" t="str">
        <f>HYPERLINK("#'3.2.1.1-2 Enteric Methane'!A1", "3.2.1.1-2 Enteric Methane")</f>
        <v>3.2.1.1-2 Enteric Methane</v>
      </c>
      <c r="D29" s="15" t="s">
        <v>338</v>
      </c>
      <c r="E29" s="15" t="str" cm="1">
        <f t="array" ref="E29">_xlfn.IFS(D21=D29, "Calving season", D21=D28, "Season after calving", D21=D26, "", D21=D27, "")</f>
        <v>Calving season</v>
      </c>
      <c r="F29" s="15" t="e" cm="1">
        <f t="array" ref="F29">_xlfn.IFS(E29="Calving season", $J$14, E29="Season after calving", $J$15, E29="", "")</f>
        <v>#N/A</v>
      </c>
      <c r="G29" s="15">
        <v>1</v>
      </c>
      <c r="H29" s="15">
        <v>1</v>
      </c>
      <c r="I29" s="15">
        <v>1</v>
      </c>
      <c r="J29" s="15" cm="1">
        <f t="array" ref="J29">IFERROR(EntericMethane_PastureBeef_Equations.VEERG_3_2_1_1__4_AdditionalIntakeForMilkProduction(E$21,$F29), 1)</f>
        <v>1</v>
      </c>
      <c r="K29" s="15" cm="1">
        <f t="array" ref="K29">IFERROR(EntericMethane_PastureBeef_Equations.VEERG_3_2_1_1__4_AdditionalIntakeForMilkProduction(F$21,$F29), 1)</f>
        <v>1</v>
      </c>
      <c r="L29" s="15" cm="1">
        <f t="array" ref="L29">IFERROR(EntericMethane_PastureBeef_Equations.VEERG_3_2_1_1__4_AdditionalIntakeForMilkProduction(G$21,$F29), 1)</f>
        <v>1</v>
      </c>
      <c r="M29" s="15">
        <v>1</v>
      </c>
      <c r="N29" s="15">
        <v>1</v>
      </c>
      <c r="O29" s="15">
        <v>1</v>
      </c>
      <c r="P29" s="15">
        <v>1</v>
      </c>
      <c r="Q29" s="16" t="str">
        <f t="shared" si="0"/>
        <v>fraction</v>
      </c>
      <c r="U29" s="15" t="str">
        <f>TEXT(EDATE(X_Cell_Site_StartDate,1), "mmmm")</f>
        <v>January</v>
      </c>
      <c r="V29" s="15" t="str" cm="1">
        <f t="array" ref="V29">IFERROR(_xlfn.IFS(SUMPRODUCT(ISNUMBER(SEARCH(TRIM(_xlfn.TEXTSPLIT($U$22,",")),U29))*1)&gt;0,"Calving season",SUMPRODUCT(ISNUMBER(SEARCH(TRIM(_xlfn.TEXTSPLIT($U$23,",")),U29))*1)&gt;0,"Season after calving"), "")</f>
        <v/>
      </c>
      <c r="W29" s="15" t="str" cm="1">
        <f t="array" ref="W29">_xlfn.IFS(V29="Calving season", $J$14, V29="Season after calving", $J$15, V29="", "")</f>
        <v/>
      </c>
      <c r="X29" s="15">
        <v>1</v>
      </c>
      <c r="Y29" s="15">
        <v>1</v>
      </c>
      <c r="Z29" s="15">
        <v>1</v>
      </c>
      <c r="AA29" s="15" cm="1">
        <f t="array" ref="AA29">IFERROR(EntericMethane_PastureBeef_Equations.VEERG_3_2_1_1__4_AdditionalIntakeForMilkProduction(V$22,$W29), 1)</f>
        <v>1</v>
      </c>
      <c r="AB29" s="15" cm="1">
        <f t="array" ref="AB29">IFERROR(EntericMethane_PastureBeef_Equations.VEERG_3_2_1_1__4_AdditionalIntakeForMilkProduction(W$22,$W29), 1)</f>
        <v>1</v>
      </c>
      <c r="AC29" s="15" cm="1">
        <f t="array" ref="AC29">IFERROR(EntericMethane_PastureBeef_Equations.VEERG_3_2_1_1__4_AdditionalIntakeForMilkProduction(X$22,$W29), 1)</f>
        <v>1</v>
      </c>
      <c r="AD29" s="15">
        <v>1</v>
      </c>
      <c r="AE29" s="15">
        <v>1</v>
      </c>
      <c r="AF29" s="15">
        <v>1</v>
      </c>
      <c r="AG29" s="15">
        <v>1</v>
      </c>
      <c r="AH29" s="16" t="str">
        <f t="shared" ref="AH29:AH39" si="1">$E$11</f>
        <v>fraction</v>
      </c>
    </row>
    <row r="30" spans="1:34" ht="20" customHeight="1" x14ac:dyDescent="0.25">
      <c r="A30" s="5" t="str">
        <f>HYPERLINK("#'4.2.1.1-2 Methane'!A1", "4.2.1.1-2 Manure methane")</f>
        <v>4.2.1.1-2 Manure methane</v>
      </c>
      <c r="U30" s="15" t="str">
        <f>TEXT(EDATE(X_Cell_Site_StartDate,2), "mmmm")</f>
        <v>February</v>
      </c>
      <c r="V30" s="15" t="str" cm="1">
        <f t="array" ref="V30">IFERROR(_xlfn.IFS(SUMPRODUCT(ISNUMBER(SEARCH(TRIM(_xlfn.TEXTSPLIT($U$22,",")),U30))*1)&gt;0,"Calving season",SUMPRODUCT(ISNUMBER(SEARCH(TRIM(_xlfn.TEXTSPLIT($U$23,",")),U30))*1)&gt;0,"Season after calving"), "")</f>
        <v/>
      </c>
      <c r="W30" s="15" t="str" cm="1">
        <f t="array" ref="W30">_xlfn.IFS(V30="Calving season", $J$14, V30="Season after calving", $J$15, V30="", "")</f>
        <v/>
      </c>
      <c r="X30" s="15">
        <v>1</v>
      </c>
      <c r="Y30" s="15">
        <v>1</v>
      </c>
      <c r="Z30" s="15">
        <v>1</v>
      </c>
      <c r="AA30" s="15" cm="1">
        <f t="array" ref="AA30">IFERROR(EntericMethane_PastureBeef_Equations.VEERG_3_2_1_1__4_AdditionalIntakeForMilkProduction(V$22,$W30), 1)</f>
        <v>1</v>
      </c>
      <c r="AB30" s="15" cm="1">
        <f t="array" ref="AB30">IFERROR(EntericMethane_PastureBeef_Equations.VEERG_3_2_1_1__4_AdditionalIntakeForMilkProduction(W$22,$W30), 1)</f>
        <v>1</v>
      </c>
      <c r="AC30" s="15" cm="1">
        <f t="array" ref="AC30">IFERROR(EntericMethane_PastureBeef_Equations.VEERG_3_2_1_1__4_AdditionalIntakeForMilkProduction(X$22,$W30), 1)</f>
        <v>1</v>
      </c>
      <c r="AD30" s="15">
        <v>1</v>
      </c>
      <c r="AE30" s="15">
        <v>1</v>
      </c>
      <c r="AF30" s="15">
        <v>1</v>
      </c>
      <c r="AG30" s="15">
        <v>1</v>
      </c>
      <c r="AH30" s="16" t="str">
        <f t="shared" si="1"/>
        <v>fraction</v>
      </c>
    </row>
    <row r="31" spans="1:34" ht="20" customHeight="1" x14ac:dyDescent="0.25">
      <c r="A31" s="5" t="str">
        <f>HYPERLINK("#'4.2.1.3-4 Soil direct N20'!A1", "4.2.1.3-4 Soil direct N2O")</f>
        <v>4.2.1.3-4 Soil direct N2O</v>
      </c>
      <c r="U31" s="15" t="str">
        <f>TEXT(EDATE(X_Cell_Site_StartDate,3), "mmmm")</f>
        <v>March</v>
      </c>
      <c r="V31" s="15" t="str" cm="1">
        <f t="array" ref="V31">IFERROR(_xlfn.IFS(SUMPRODUCT(ISNUMBER(SEARCH(TRIM(_xlfn.TEXTSPLIT($U$22,",")),U31))*1)&gt;0,"Calving season",SUMPRODUCT(ISNUMBER(SEARCH(TRIM(_xlfn.TEXTSPLIT($U$23,",")),U31))*1)&gt;0,"Season after calving"), "")</f>
        <v/>
      </c>
      <c r="W31" s="15" t="str" cm="1">
        <f t="array" ref="W31">_xlfn.IFS(V31="Calving season", $J$14, V31="Season after calving", $J$15, V31="", "")</f>
        <v/>
      </c>
      <c r="X31" s="15">
        <v>1</v>
      </c>
      <c r="Y31" s="15">
        <v>1</v>
      </c>
      <c r="Z31" s="15">
        <v>1</v>
      </c>
      <c r="AA31" s="15" cm="1">
        <f t="array" ref="AA31">IFERROR(EntericMethane_PastureBeef_Equations.VEERG_3_2_1_1__4_AdditionalIntakeForMilkProduction(V$22,$W31), 1)</f>
        <v>1</v>
      </c>
      <c r="AB31" s="15" cm="1">
        <f t="array" ref="AB31">IFERROR(EntericMethane_PastureBeef_Equations.VEERG_3_2_1_1__4_AdditionalIntakeForMilkProduction(W$22,$W31), 1)</f>
        <v>1</v>
      </c>
      <c r="AC31" s="15" cm="1">
        <f t="array" ref="AC31">IFERROR(EntericMethane_PastureBeef_Equations.VEERG_3_2_1_1__4_AdditionalIntakeForMilkProduction(X$22,$W31), 1)</f>
        <v>1</v>
      </c>
      <c r="AD31" s="15">
        <v>1</v>
      </c>
      <c r="AE31" s="15">
        <v>1</v>
      </c>
      <c r="AF31" s="15">
        <v>1</v>
      </c>
      <c r="AG31" s="15">
        <v>1</v>
      </c>
      <c r="AH31" s="16" t="str">
        <f t="shared" si="1"/>
        <v>fraction</v>
      </c>
    </row>
    <row r="32" spans="1:34" ht="20" customHeight="1" x14ac:dyDescent="0.25">
      <c r="A32" s="5" t="str">
        <f>HYPERLINK("#'4.2.1.5-6 Soil Atmos Dep'!A1", "4.2.1.5-6 Soil atm. deposition")</f>
        <v>4.2.1.5-6 Soil atm. deposition</v>
      </c>
      <c r="C32" s="87"/>
      <c r="D32" s="87"/>
      <c r="E32" s="87"/>
      <c r="F32" s="87"/>
      <c r="G32" s="87"/>
      <c r="H32" s="87"/>
      <c r="I32" s="87"/>
      <c r="J32" s="87"/>
      <c r="K32" s="87"/>
      <c r="L32" s="87"/>
      <c r="M32" s="87"/>
      <c r="N32" s="87"/>
      <c r="O32" s="87"/>
      <c r="P32" s="87"/>
      <c r="Q32" s="87"/>
      <c r="R32" s="87"/>
      <c r="U32" s="15" t="str">
        <f>TEXT(EDATE(X_Cell_Site_StartDate,4), "mmmm")</f>
        <v>April</v>
      </c>
      <c r="V32" s="15" t="str" cm="1">
        <f t="array" ref="V32">IFERROR(_xlfn.IFS(SUMPRODUCT(ISNUMBER(SEARCH(TRIM(_xlfn.TEXTSPLIT($U$22,",")),U32))*1)&gt;0,"Calving season",SUMPRODUCT(ISNUMBER(SEARCH(TRIM(_xlfn.TEXTSPLIT($U$23,",")),U32))*1)&gt;0,"Season after calving"), "")</f>
        <v/>
      </c>
      <c r="W32" s="15" t="str" cm="1">
        <f t="array" ref="W32">_xlfn.IFS(V32="Calving season", $J$14, V32="Season after calving", $J$15, V32="", "")</f>
        <v/>
      </c>
      <c r="X32" s="15">
        <v>1</v>
      </c>
      <c r="Y32" s="15">
        <v>1</v>
      </c>
      <c r="Z32" s="15">
        <v>1</v>
      </c>
      <c r="AA32" s="15" cm="1">
        <f t="array" ref="AA32">IFERROR(EntericMethane_PastureBeef_Equations.VEERG_3_2_1_1__4_AdditionalIntakeForMilkProduction(V$22,$W32), 1)</f>
        <v>1</v>
      </c>
      <c r="AB32" s="15" cm="1">
        <f t="array" ref="AB32">IFERROR(EntericMethane_PastureBeef_Equations.VEERG_3_2_1_1__4_AdditionalIntakeForMilkProduction(W$22,$W32), 1)</f>
        <v>1</v>
      </c>
      <c r="AC32" s="15" cm="1">
        <f t="array" ref="AC32">IFERROR(EntericMethane_PastureBeef_Equations.VEERG_3_2_1_1__4_AdditionalIntakeForMilkProduction(X$22,$W32), 1)</f>
        <v>1</v>
      </c>
      <c r="AD32" s="15">
        <v>1</v>
      </c>
      <c r="AE32" s="15">
        <v>1</v>
      </c>
      <c r="AF32" s="15">
        <v>1</v>
      </c>
      <c r="AG32" s="15">
        <v>1</v>
      </c>
      <c r="AH32" s="16" t="str">
        <f t="shared" si="1"/>
        <v>fraction</v>
      </c>
    </row>
    <row r="33" spans="1:34" ht="20" customHeight="1" x14ac:dyDescent="0.25">
      <c r="A33" s="5" t="str">
        <f>HYPERLINK("#'4.2.1.7-8 Soil leach runoff'!A1", "4.2.1.7-8 Soil leach &amp; runoff")</f>
        <v>4.2.1.7-8 Soil leach &amp; runoff</v>
      </c>
      <c r="D33" s="2" t="str" cm="1">
        <f t="array" ref="D33">EntericMethane_PastureBeef_Equations.VEERG_3_2_1_1__3_FeedIntakeForGrazingBeef_Title()</f>
        <v>Feed intake for grazing beef cattle</v>
      </c>
      <c r="U33" s="15" t="str">
        <f>TEXT(EDATE(X_Cell_Site_StartDate,5), "mmmm")</f>
        <v>May</v>
      </c>
      <c r="V33" s="15" t="str" cm="1">
        <f t="array" ref="V33">IFERROR(_xlfn.IFS(SUMPRODUCT(ISNUMBER(SEARCH(TRIM(_xlfn.TEXTSPLIT($U$22,",")),U33))*1)&gt;0,"Calving season",SUMPRODUCT(ISNUMBER(SEARCH(TRIM(_xlfn.TEXTSPLIT($U$23,",")),U33))*1)&gt;0,"Season after calving"), "")</f>
        <v/>
      </c>
      <c r="W33" s="15" t="str" cm="1">
        <f t="array" ref="W33">_xlfn.IFS(V33="Calving season", $J$14, V33="Season after calving", $J$15, V33="", "")</f>
        <v/>
      </c>
      <c r="X33" s="15">
        <v>1</v>
      </c>
      <c r="Y33" s="15">
        <v>1</v>
      </c>
      <c r="Z33" s="15">
        <v>1</v>
      </c>
      <c r="AA33" s="15" cm="1">
        <f t="array" ref="AA33">IFERROR(EntericMethane_PastureBeef_Equations.VEERG_3_2_1_1__4_AdditionalIntakeForMilkProduction(V$22,$W33), 1)</f>
        <v>1</v>
      </c>
      <c r="AB33" s="15" cm="1">
        <f t="array" ref="AB33">IFERROR(EntericMethane_PastureBeef_Equations.VEERG_3_2_1_1__4_AdditionalIntakeForMilkProduction(W$22,$W33), 1)</f>
        <v>1</v>
      </c>
      <c r="AC33" s="15" cm="1">
        <f t="array" ref="AC33">IFERROR(EntericMethane_PastureBeef_Equations.VEERG_3_2_1_1__4_AdditionalIntakeForMilkProduction(X$22,$W33), 1)</f>
        <v>1</v>
      </c>
      <c r="AD33" s="15">
        <v>1</v>
      </c>
      <c r="AE33" s="15">
        <v>1</v>
      </c>
      <c r="AF33" s="15">
        <v>1</v>
      </c>
      <c r="AG33" s="15">
        <v>1</v>
      </c>
      <c r="AH33" s="16" t="str">
        <f t="shared" si="1"/>
        <v>fraction</v>
      </c>
    </row>
    <row r="34" spans="1:34" ht="20" customHeight="1" x14ac:dyDescent="0.25">
      <c r="A34" s="5" t="str">
        <f>HYPERLINK("#'5.1.1.1-2 Inorganic fert N2O'!A1", "5.1.1.1-2 Inorganic fert N2O")</f>
        <v>5.1.1.1-2 Inorganic fert N2O</v>
      </c>
      <c r="D34" s="17" t="str" cm="1">
        <f t="array" ref="D34">EntericMethane_PastureBeef_Equations.VEERG_3_2_1_1__3_FeedIntakeForGrazingBeef_Source()</f>
        <v>VEERG 2026: 3.2.1.1, Equation (3)</v>
      </c>
      <c r="U34" s="15" t="str">
        <f>TEXT(EDATE(X_Cell_Site_StartDate,6), "mmmm")</f>
        <v>June</v>
      </c>
      <c r="V34" s="15" t="str" cm="1">
        <f t="array" ref="V34">IFERROR(_xlfn.IFS(SUMPRODUCT(ISNUMBER(SEARCH(TRIM(_xlfn.TEXTSPLIT($U$22,",")),U34))*1)&gt;0,"Calving season",SUMPRODUCT(ISNUMBER(SEARCH(TRIM(_xlfn.TEXTSPLIT($U$23,",")),U34))*1)&gt;0,"Season after calving"), "")</f>
        <v/>
      </c>
      <c r="W34" s="15" t="str" cm="1">
        <f t="array" ref="W34">_xlfn.IFS(V34="Calving season", $J$14, V34="Season after calving", $J$15, V34="", "")</f>
        <v/>
      </c>
      <c r="X34" s="15">
        <v>1</v>
      </c>
      <c r="Y34" s="15">
        <v>1</v>
      </c>
      <c r="Z34" s="15">
        <v>1</v>
      </c>
      <c r="AA34" s="15" cm="1">
        <f t="array" ref="AA34">IFERROR(EntericMethane_PastureBeef_Equations.VEERG_3_2_1_1__4_AdditionalIntakeForMilkProduction(V$22,$W34), 1)</f>
        <v>1</v>
      </c>
      <c r="AB34" s="15" cm="1">
        <f t="array" ref="AB34">IFERROR(EntericMethane_PastureBeef_Equations.VEERG_3_2_1_1__4_AdditionalIntakeForMilkProduction(W$22,$W34), 1)</f>
        <v>1</v>
      </c>
      <c r="AC34" s="15" cm="1">
        <f t="array" ref="AC34">IFERROR(EntericMethane_PastureBeef_Equations.VEERG_3_2_1_1__4_AdditionalIntakeForMilkProduction(X$22,$W34), 1)</f>
        <v>1</v>
      </c>
      <c r="AD34" s="15">
        <v>1</v>
      </c>
      <c r="AE34" s="15">
        <v>1</v>
      </c>
      <c r="AF34" s="15">
        <v>1</v>
      </c>
      <c r="AG34" s="15">
        <v>1</v>
      </c>
      <c r="AH34" s="16" t="str">
        <f t="shared" si="1"/>
        <v>fraction</v>
      </c>
    </row>
    <row r="35" spans="1:34" ht="20" customHeight="1" x14ac:dyDescent="0.25">
      <c r="A35" s="5" t="str">
        <f>HYPERLINK("#'5.1.1.3-4 Inorganic fert CO2'!A1", "5.1.1.3-4 Inorganic fert CO2")</f>
        <v>5.1.1.3-4 Inorganic fert CO2</v>
      </c>
      <c r="D35" s="103" t="s">
        <v>372</v>
      </c>
      <c r="E35" s="103" t="str" cm="1">
        <f t="array" aca="1" ref="E35" ca="1">Common_InputFunctions.Utility_DisplayFunctionName($E$64)</f>
        <v>=EntericMethane_PastureBeef_Equations.VEERG_3_2_1_1__3_FeedIntakeForGrazingBeef</v>
      </c>
      <c r="U35" s="15" t="str">
        <f>TEXT(EDATE(X_Cell_Site_StartDate,7), "mmmm")</f>
        <v>July</v>
      </c>
      <c r="V35" s="15" t="str" cm="1">
        <f t="array" ref="V35">IFERROR(_xlfn.IFS(SUMPRODUCT(ISNUMBER(SEARCH(TRIM(_xlfn.TEXTSPLIT($U$22,",")),U35))*1)&gt;0,"Calving season",SUMPRODUCT(ISNUMBER(SEARCH(TRIM(_xlfn.TEXTSPLIT($U$23,",")),U35))*1)&gt;0,"Season after calving"), "")</f>
        <v/>
      </c>
      <c r="W35" s="15" t="str" cm="1">
        <f t="array" ref="W35">_xlfn.IFS(V35="Calving season", $J$14, V35="Season after calving", $J$15, V35="", "")</f>
        <v/>
      </c>
      <c r="X35" s="15">
        <v>1</v>
      </c>
      <c r="Y35" s="15">
        <v>1</v>
      </c>
      <c r="Z35" s="15">
        <v>1</v>
      </c>
      <c r="AA35" s="15" cm="1">
        <f t="array" ref="AA35">IFERROR(EntericMethane_PastureBeef_Equations.VEERG_3_2_1_1__4_AdditionalIntakeForMilkProduction(V$22,$W35), 1)</f>
        <v>1</v>
      </c>
      <c r="AB35" s="15" cm="1">
        <f t="array" ref="AB35">IFERROR(EntericMethane_PastureBeef_Equations.VEERG_3_2_1_1__4_AdditionalIntakeForMilkProduction(W$22,$W35), 1)</f>
        <v>1</v>
      </c>
      <c r="AC35" s="15" cm="1">
        <f t="array" ref="AC35">IFERROR(EntericMethane_PastureBeef_Equations.VEERG_3_2_1_1__4_AdditionalIntakeForMilkProduction(X$22,$W35), 1)</f>
        <v>1</v>
      </c>
      <c r="AD35" s="15">
        <v>1</v>
      </c>
      <c r="AE35" s="15">
        <v>1</v>
      </c>
      <c r="AF35" s="15">
        <v>1</v>
      </c>
      <c r="AG35" s="15">
        <v>1</v>
      </c>
      <c r="AH35" s="16" t="str">
        <f t="shared" si="1"/>
        <v>fraction</v>
      </c>
    </row>
    <row r="36" spans="1:34" ht="20" customHeight="1" x14ac:dyDescent="0.25">
      <c r="A36" s="5" t="str">
        <f>HYPERLINK("#'5.2.1.1-2 Organic Fert N2O'!A1", "5.2.1.1-2 Organic fert N2O")</f>
        <v>5.2.1.1-2 Organic fert N2O</v>
      </c>
      <c r="U36" s="15" t="str">
        <f>TEXT(EDATE(X_Cell_Site_StartDate,8), "mmmm")</f>
        <v>August</v>
      </c>
      <c r="V36" s="15" t="str" cm="1">
        <f t="array" ref="V36">IFERROR(_xlfn.IFS(SUMPRODUCT(ISNUMBER(SEARCH(TRIM(_xlfn.TEXTSPLIT($U$22,",")),U36))*1)&gt;0,"Calving season",SUMPRODUCT(ISNUMBER(SEARCH(TRIM(_xlfn.TEXTSPLIT($U$23,",")),U36))*1)&gt;0,"Season after calving"), "")</f>
        <v>Calving season</v>
      </c>
      <c r="W36" s="15" t="e" cm="1">
        <f t="array" ref="W36">_xlfn.IFS(V36="Calving season", $J$14, V36="Season after calving", $J$15, V36="", "")</f>
        <v>#N/A</v>
      </c>
      <c r="X36" s="15">
        <v>1</v>
      </c>
      <c r="Y36" s="15">
        <v>1</v>
      </c>
      <c r="Z36" s="15">
        <v>1</v>
      </c>
      <c r="AA36" s="15" cm="1">
        <f t="array" ref="AA36">IFERROR(EntericMethane_PastureBeef_Equations.VEERG_3_2_1_1__4_AdditionalIntakeForMilkProduction(V$22,$W36), 1)</f>
        <v>1</v>
      </c>
      <c r="AB36" s="15" cm="1">
        <f t="array" ref="AB36">IFERROR(EntericMethane_PastureBeef_Equations.VEERG_3_2_1_1__4_AdditionalIntakeForMilkProduction(W$22,$W36), 1)</f>
        <v>1</v>
      </c>
      <c r="AC36" s="15" cm="1">
        <f t="array" ref="AC36">IFERROR(EntericMethane_PastureBeef_Equations.VEERG_3_2_1_1__4_AdditionalIntakeForMilkProduction(X$22,$W36), 1)</f>
        <v>1</v>
      </c>
      <c r="AD36" s="15">
        <v>1</v>
      </c>
      <c r="AE36" s="15">
        <v>1</v>
      </c>
      <c r="AF36" s="15">
        <v>1</v>
      </c>
      <c r="AG36" s="15">
        <v>1</v>
      </c>
      <c r="AH36" s="16" t="str">
        <f t="shared" si="1"/>
        <v>fraction</v>
      </c>
    </row>
    <row r="37" spans="1:34" ht="20" customHeight="1" x14ac:dyDescent="0.25">
      <c r="A37" s="5" t="str">
        <f>HYPERLINK("#'5.3.1.1-2 Lime CO2'!A1", "5.3.1.1-2 Lime CO2")</f>
        <v>5.3.1.1-2 Lime CO2</v>
      </c>
      <c r="G37" s="2" t="str" cm="1">
        <f t="array" ref="G37">EntericMethane_PastureBeef_Equations.VEERG_3_2_1_1__3_FeedIntakeForGrazingBeef_LatexEquation()</f>
        <v>I_{jkl}=(1.185+0.00454\times W_{jkl}-0.0000026\times W_{jkl}^{2}+0.315\times LWG_{jkl})^2\times MA_{jk=4,5}</v>
      </c>
      <c r="U37" s="15" t="str">
        <f>TEXT(EDATE(X_Cell_Site_StartDate,9), "mmmm")</f>
        <v>September</v>
      </c>
      <c r="V37" s="15" t="str" cm="1">
        <f t="array" ref="V37">IFERROR(_xlfn.IFS(SUMPRODUCT(ISNUMBER(SEARCH(TRIM(_xlfn.TEXTSPLIT($U$22,",")),U37))*1)&gt;0,"Calving season",SUMPRODUCT(ISNUMBER(SEARCH(TRIM(_xlfn.TEXTSPLIT($U$23,",")),U37))*1)&gt;0,"Season after calving"), "")</f>
        <v>Calving season</v>
      </c>
      <c r="W37" s="15" t="e" cm="1">
        <f t="array" ref="W37">_xlfn.IFS(V37="Calving season", $J$14, V37="Season after calving", $J$15, V37="", "")</f>
        <v>#N/A</v>
      </c>
      <c r="X37" s="15">
        <v>1</v>
      </c>
      <c r="Y37" s="15">
        <v>1</v>
      </c>
      <c r="Z37" s="15">
        <v>1</v>
      </c>
      <c r="AA37" s="15" cm="1">
        <f t="array" ref="AA37">IFERROR(EntericMethane_PastureBeef_Equations.VEERG_3_2_1_1__4_AdditionalIntakeForMilkProduction(V$22,$W37), 1)</f>
        <v>1</v>
      </c>
      <c r="AB37" s="15" cm="1">
        <f t="array" ref="AB37">IFERROR(EntericMethane_PastureBeef_Equations.VEERG_3_2_1_1__4_AdditionalIntakeForMilkProduction(W$22,$W37), 1)</f>
        <v>1</v>
      </c>
      <c r="AC37" s="15" cm="1">
        <f t="array" ref="AC37">IFERROR(EntericMethane_PastureBeef_Equations.VEERG_3_2_1_1__4_AdditionalIntakeForMilkProduction(X$22,$W37), 1)</f>
        <v>1</v>
      </c>
      <c r="AD37" s="15">
        <v>1</v>
      </c>
      <c r="AE37" s="15">
        <v>1</v>
      </c>
      <c r="AF37" s="15">
        <v>1</v>
      </c>
      <c r="AG37" s="15">
        <v>1</v>
      </c>
      <c r="AH37" s="16" t="str">
        <f t="shared" si="1"/>
        <v>fraction</v>
      </c>
    </row>
    <row r="38" spans="1:34" ht="20" customHeight="1" x14ac:dyDescent="0.25">
      <c r="A38" s="5" t="str">
        <f>HYPERLINK("#'5.4.1.1-4 Atmos deposition'!A1", "5.4.1.1-4 Atmos. deposition")</f>
        <v>5.4.1.1-4 Atmos. deposition</v>
      </c>
      <c r="D38" s="77" t="s">
        <v>374</v>
      </c>
      <c r="E38" s="1" t="str" cm="1">
        <f t="array" ref="E38">EntericMethane_PastureBeef_Equations.VEERG_3_2_1_1__3_FeedIntakeForGrazingBeef_Variable()</f>
        <v>I_jkl</v>
      </c>
      <c r="U38" s="15" t="str">
        <f>TEXT(EDATE(X_Cell_Site_StartDate,10), "mmmm")</f>
        <v>October</v>
      </c>
      <c r="V38" s="15" t="str" cm="1">
        <f t="array" ref="V38">IFERROR(_xlfn.IFS(SUMPRODUCT(ISNUMBER(SEARCH(TRIM(_xlfn.TEXTSPLIT($U$22,",")),U38))*1)&gt;0,"Calving season",SUMPRODUCT(ISNUMBER(SEARCH(TRIM(_xlfn.TEXTSPLIT($U$23,",")),U38))*1)&gt;0,"Season after calving"), "")</f>
        <v>Calving season</v>
      </c>
      <c r="W38" s="15" t="e" cm="1">
        <f t="array" ref="W38">_xlfn.IFS(V38="Calving season", $J$14, V38="Season after calving", $J$15, V38="", "")</f>
        <v>#N/A</v>
      </c>
      <c r="X38" s="15">
        <v>1</v>
      </c>
      <c r="Y38" s="15">
        <v>1</v>
      </c>
      <c r="Z38" s="15">
        <v>1</v>
      </c>
      <c r="AA38" s="15" cm="1">
        <f t="array" ref="AA38">IFERROR(EntericMethane_PastureBeef_Equations.VEERG_3_2_1_1__4_AdditionalIntakeForMilkProduction(V$22,$W38), 1)</f>
        <v>1</v>
      </c>
      <c r="AB38" s="15" cm="1">
        <f t="array" ref="AB38">IFERROR(EntericMethane_PastureBeef_Equations.VEERG_3_2_1_1__4_AdditionalIntakeForMilkProduction(W$22,$W38), 1)</f>
        <v>1</v>
      </c>
      <c r="AC38" s="15" cm="1">
        <f t="array" ref="AC38">IFERROR(EntericMethane_PastureBeef_Equations.VEERG_3_2_1_1__4_AdditionalIntakeForMilkProduction(X$22,$W38), 1)</f>
        <v>1</v>
      </c>
      <c r="AD38" s="15">
        <v>1</v>
      </c>
      <c r="AE38" s="15">
        <v>1</v>
      </c>
      <c r="AF38" s="15">
        <v>1</v>
      </c>
      <c r="AG38" s="15">
        <v>1</v>
      </c>
      <c r="AH38" s="16" t="str">
        <f t="shared" si="1"/>
        <v>fraction</v>
      </c>
    </row>
    <row r="39" spans="1:34" ht="20" customHeight="1" x14ac:dyDescent="0.25">
      <c r="A39" s="5" t="str">
        <f>HYPERLINK("#'5.5.1.1-2 Leaching and runoff'!A1", "5.5.1.1-2 Leaching &amp; runoff")</f>
        <v>5.5.1.1-2 Leaching &amp; runoff</v>
      </c>
      <c r="D39" s="77" t="s">
        <v>121</v>
      </c>
      <c r="E39" s="9" t="str" cm="1">
        <f t="array" ref="E39">EntericMethane_PastureBeef_Equations.VEERG_3_2_1_1__3_FeedIntakeForGrazingBeef_Unit()</f>
        <v>kg DM/head/day</v>
      </c>
      <c r="U39" s="15" t="str">
        <f>TEXT(EDATE(X_Cell_Site_StartDate,11), "mmmm")</f>
        <v>November</v>
      </c>
      <c r="V39" s="15" t="str" cm="1">
        <f t="array" ref="V39">IFERROR(_xlfn.IFS(SUMPRODUCT(ISNUMBER(SEARCH(TRIM(_xlfn.TEXTSPLIT($U$22,",")),U39))*1)&gt;0,"Calving season",SUMPRODUCT(ISNUMBER(SEARCH(TRIM(_xlfn.TEXTSPLIT($U$23,",")),U39))*1)&gt;0,"Season after calving"), "")</f>
        <v>Season after calving</v>
      </c>
      <c r="W39" s="15" t="e" cm="1">
        <f t="array" ref="W39">_xlfn.IFS(V39="Calving season", $J$14, V39="Season after calving", $J$15, V39="", "")</f>
        <v>#N/A</v>
      </c>
      <c r="X39" s="15">
        <v>1</v>
      </c>
      <c r="Y39" s="15">
        <v>1</v>
      </c>
      <c r="Z39" s="15">
        <v>1</v>
      </c>
      <c r="AA39" s="15" cm="1">
        <f t="array" ref="AA39">IFERROR(EntericMethane_PastureBeef_Equations.VEERG_3_2_1_1__4_AdditionalIntakeForMilkProduction(V$22,$W39), 1)</f>
        <v>1</v>
      </c>
      <c r="AB39" s="15" cm="1">
        <f t="array" ref="AB39">IFERROR(EntericMethane_PastureBeef_Equations.VEERG_3_2_1_1__4_AdditionalIntakeForMilkProduction(W$22,$W39), 1)</f>
        <v>1</v>
      </c>
      <c r="AC39" s="15" cm="1">
        <f t="array" ref="AC39">IFERROR(EntericMethane_PastureBeef_Equations.VEERG_3_2_1_1__4_AdditionalIntakeForMilkProduction(X$22,$W39), 1)</f>
        <v>1</v>
      </c>
      <c r="AD39" s="15">
        <v>1</v>
      </c>
      <c r="AE39" s="15">
        <v>1</v>
      </c>
      <c r="AF39" s="15">
        <v>1</v>
      </c>
      <c r="AG39" s="15">
        <v>1</v>
      </c>
      <c r="AH39" s="16" t="str">
        <f t="shared" si="1"/>
        <v>fraction</v>
      </c>
    </row>
    <row r="40" spans="1:34" ht="20" customHeight="1" x14ac:dyDescent="0.25">
      <c r="A40" s="5" t="str">
        <f>HYPERLINK("#'6.2.1.1-2 Pasture residue N2O'!A1", "6.2.1.1-2 Pasture residue N2O")</f>
        <v>6.2.1.1-2 Pasture residue N2O</v>
      </c>
    </row>
    <row r="41" spans="1:34" ht="20" customHeight="1" x14ac:dyDescent="0.25">
      <c r="A41" s="5" t="str">
        <f>HYPERLINK("#'6.3.1.1-2 Leach runoff pasture'!A1", "6.3.1.1-2 Leach &amp; runoff (pasture)")</f>
        <v>6.3.1.1-2 Leach &amp; runoff (pasture)</v>
      </c>
      <c r="D41" s="105" t="str" cm="1">
        <f t="array" ref="D41:E43">_xlfn.CHOOSECOLS(EntericMethane_PastureBeef_Equations.VEERG_3_2_1_1__3_FeedIntakeForGrazingBeef_Arguments(), 1, 2)</f>
        <v>W_jkl</v>
      </c>
      <c r="E41" s="106" t="str">
        <v>liveweight (kg)</v>
      </c>
      <c r="F41" s="108"/>
      <c r="G41" s="105" t="str" cm="1">
        <f t="array" ref="G41:H43">_xlfn.CHOOSECOLS(EntericMethane_PastureBeef_Equations.VEERG_3_2_1_1__3_FeedIntakeForGrazingBeef_Arguments(), 3,4)</f>
        <v>kg</v>
      </c>
      <c r="H41" s="109" t="str">
        <v>Input</v>
      </c>
      <c r="I41" s="111" t="str" cm="1">
        <f t="array" aca="1" ref="I41" ca="1">HYPERLINK(Common_InputFunctions.Utility_SourceHyperlink($D$45), $D$45)</f>
        <v>M1_Table_W_j_k_l</v>
      </c>
      <c r="U41" s="112" t="s">
        <v>389</v>
      </c>
    </row>
    <row r="42" spans="1:34" ht="20" customHeight="1" x14ac:dyDescent="0.25">
      <c r="A42" s="5" t="str">
        <f>HYPERLINK("#'8.1.1.1-2 Transport fuel'!A1", "8.1.1.1-2 Transport fuel")</f>
        <v>8.1.1.1-2 Transport fuel</v>
      </c>
      <c r="D42" s="105" t="str">
        <v>LWG_jkl</v>
      </c>
      <c r="E42" s="106" t="str">
        <v>live weight gain (kg/head/day)</v>
      </c>
      <c r="F42" s="108"/>
      <c r="G42" s="105" t="str">
        <v>kg/head/day</v>
      </c>
      <c r="H42" s="109" t="str">
        <v>Input</v>
      </c>
      <c r="I42" s="111" t="str" cm="1">
        <f t="array" aca="1" ref="I42" ca="1">HYPERLINK(Common_InputFunctions.Utility_SourceHyperlink($D$53), $D$53)</f>
        <v>M1_Table_LWG_j_k_l</v>
      </c>
      <c r="U42" s="113" t="s">
        <v>390</v>
      </c>
    </row>
    <row r="43" spans="1:34" ht="20" customHeight="1" x14ac:dyDescent="0.25">
      <c r="A43" s="5" t="str">
        <f>HYPERLINK("#'8.2.1.1-2 Stationary fuel'!A1", "8.2.1.1-2 Stationary fuel")</f>
        <v>8.2.1.1-2 Stationary fuel</v>
      </c>
      <c r="D43" s="105" t="str">
        <v>MA_jk45</v>
      </c>
      <c r="E43" s="106" t="str">
        <v>additional intake for milk production in cows greater than 2 years</v>
      </c>
      <c r="F43" s="108"/>
      <c r="G43" s="105" t="str">
        <v>kg/head/day</v>
      </c>
      <c r="H43" s="110" t="str">
        <v>Calculated from 3.2.1.1, (4)</v>
      </c>
      <c r="I43" s="111" t="str" cm="1">
        <f t="array" aca="1" ref="I43" ca="1">HYPERLINK(Common_InputFunctions.Utility_SourceHyperlink($D$23), $D$23)</f>
        <v>M1_Table_MA_j_k-4-5</v>
      </c>
      <c r="U43" s="114" t="s">
        <v>75</v>
      </c>
      <c r="V43" s="82" t="s">
        <v>326</v>
      </c>
      <c r="W43" s="82" t="s">
        <v>184</v>
      </c>
      <c r="X43" s="82" t="s">
        <v>327</v>
      </c>
      <c r="Y43" s="82" t="s">
        <v>328</v>
      </c>
      <c r="Z43" s="82" t="s">
        <v>329</v>
      </c>
      <c r="AA43" s="82" t="s">
        <v>330</v>
      </c>
      <c r="AB43" s="82" t="s">
        <v>331</v>
      </c>
      <c r="AC43" s="82" t="s">
        <v>332</v>
      </c>
      <c r="AD43" s="82" t="s">
        <v>333</v>
      </c>
      <c r="AE43" s="82" t="s">
        <v>334</v>
      </c>
      <c r="AF43" s="16"/>
    </row>
    <row r="44" spans="1:34" ht="20" customHeight="1" x14ac:dyDescent="0.25">
      <c r="A44" s="5" t="str">
        <f>HYPERLINK("#'10.1.1-2 Solid waste treatment'!A1", "10.1.1.1-2 Solid waste")</f>
        <v>10.1.1.1-2 Solid waste</v>
      </c>
      <c r="U44" s="15" t="str">
        <f>TEXT(X_Cell_Site_StartDate,"mmmm")</f>
        <v>January</v>
      </c>
      <c r="V44" s="15" t="e" cm="1">
        <f t="array" aca="1" ref="V44:AE55" ca="1">OFFSET(X_Table_PastureBeef_Liveweight_Method2,1,1,12,10)</f>
        <v>#N/A</v>
      </c>
      <c r="W44" s="15" t="e">
        <f ca="1"/>
        <v>#N/A</v>
      </c>
      <c r="X44" s="15" t="e">
        <f ca="1"/>
        <v>#N/A</v>
      </c>
      <c r="Y44" s="15" t="e">
        <f ca="1"/>
        <v>#N/A</v>
      </c>
      <c r="Z44" s="15" t="e">
        <f ca="1"/>
        <v>#N/A</v>
      </c>
      <c r="AA44" s="15" t="e">
        <f ca="1"/>
        <v>#N/A</v>
      </c>
      <c r="AB44" s="15" t="e">
        <f ca="1"/>
        <v>#N/A</v>
      </c>
      <c r="AC44" s="15" t="e">
        <f ca="1"/>
        <v>#N/A</v>
      </c>
      <c r="AD44" s="15" t="e">
        <f ca="1"/>
        <v>#N/A</v>
      </c>
      <c r="AE44" s="15" t="e">
        <f ca="1"/>
        <v>#N/A</v>
      </c>
      <c r="AF44" s="16" t="s">
        <v>343</v>
      </c>
    </row>
    <row r="45" spans="1:34" ht="20" customHeight="1" x14ac:dyDescent="0.25">
      <c r="A45" s="5" t="str">
        <f>HYPERLINK("#'14.1.1-2 Purchased electricity'!A1", "14.1.1-2 Purchased electricity")</f>
        <v>14.1.1-2 Purchased electricity</v>
      </c>
      <c r="D45" s="112" t="s">
        <v>391</v>
      </c>
      <c r="U45" s="15" t="str">
        <f>TEXT(EDATE(X_Cell_Site_StartDate,1), "mmmm")</f>
        <v>January</v>
      </c>
      <c r="V45" s="15" t="e">
        <f ca="1"/>
        <v>#N/A</v>
      </c>
      <c r="W45" s="15" t="e">
        <f ca="1"/>
        <v>#N/A</v>
      </c>
      <c r="X45" s="15" t="e">
        <f ca="1"/>
        <v>#N/A</v>
      </c>
      <c r="Y45" s="15" t="e">
        <f ca="1"/>
        <v>#N/A</v>
      </c>
      <c r="Z45" s="15" t="e">
        <f ca="1"/>
        <v>#N/A</v>
      </c>
      <c r="AA45" s="15" t="e">
        <f ca="1"/>
        <v>#N/A</v>
      </c>
      <c r="AB45" s="15" t="e">
        <f ca="1"/>
        <v>#N/A</v>
      </c>
      <c r="AC45" s="15" t="e">
        <f ca="1"/>
        <v>#N/A</v>
      </c>
      <c r="AD45" s="15" t="e">
        <f ca="1"/>
        <v>#N/A</v>
      </c>
      <c r="AE45" s="15" t="e">
        <f ca="1"/>
        <v>#N/A</v>
      </c>
      <c r="AF45" s="16" t="s">
        <v>343</v>
      </c>
    </row>
    <row r="46" spans="1:34" ht="20" customHeight="1" x14ac:dyDescent="0.25">
      <c r="A46" s="5" t="str">
        <f>HYPERLINK("#'15 Scope 3'!A1", "15 Scope 3")</f>
        <v>15 Scope 3</v>
      </c>
      <c r="D46" s="113" t="s">
        <v>392</v>
      </c>
      <c r="U46" s="15" t="str">
        <f>TEXT(EDATE(X_Cell_Site_StartDate,2), "mmmm")</f>
        <v>February</v>
      </c>
      <c r="V46" s="15" t="e">
        <f ca="1"/>
        <v>#N/A</v>
      </c>
      <c r="W46" s="15" t="e">
        <f ca="1"/>
        <v>#N/A</v>
      </c>
      <c r="X46" s="15" t="e">
        <f ca="1"/>
        <v>#N/A</v>
      </c>
      <c r="Y46" s="15" t="e">
        <f ca="1"/>
        <v>#N/A</v>
      </c>
      <c r="Z46" s="15" t="e">
        <f ca="1"/>
        <v>#N/A</v>
      </c>
      <c r="AA46" s="15" t="e">
        <f ca="1"/>
        <v>#N/A</v>
      </c>
      <c r="AB46" s="15" t="e">
        <f ca="1"/>
        <v>#N/A</v>
      </c>
      <c r="AC46" s="15" t="e">
        <f ca="1"/>
        <v>#N/A</v>
      </c>
      <c r="AD46" s="15" t="e">
        <f ca="1"/>
        <v>#N/A</v>
      </c>
      <c r="AE46" s="15" t="e">
        <f ca="1"/>
        <v>#N/A</v>
      </c>
      <c r="AF46" s="16" t="s">
        <v>343</v>
      </c>
    </row>
    <row r="47" spans="1:34" ht="20" customHeight="1" x14ac:dyDescent="0.25">
      <c r="A47" s="5" t="str">
        <f>HYPERLINK("#'Calcs - Manure sent off-site'!A1", "Calcs - Manure sent off-site")</f>
        <v>Calcs - Manure sent off-site</v>
      </c>
      <c r="D47" s="114" t="s">
        <v>76</v>
      </c>
      <c r="E47" s="82" t="s">
        <v>326</v>
      </c>
      <c r="F47" s="82" t="s">
        <v>184</v>
      </c>
      <c r="G47" s="82" t="s">
        <v>327</v>
      </c>
      <c r="H47" s="82" t="s">
        <v>328</v>
      </c>
      <c r="I47" s="82" t="s">
        <v>329</v>
      </c>
      <c r="J47" s="82" t="s">
        <v>330</v>
      </c>
      <c r="K47" s="82" t="s">
        <v>331</v>
      </c>
      <c r="L47" s="82" t="s">
        <v>332</v>
      </c>
      <c r="M47" s="82" t="s">
        <v>333</v>
      </c>
      <c r="N47" s="82" t="s">
        <v>334</v>
      </c>
      <c r="U47" s="15" t="str">
        <f>TEXT(EDATE(X_Cell_Site_StartDate,3), "mmmm")</f>
        <v>March</v>
      </c>
      <c r="V47" s="15" t="e">
        <f ca="1"/>
        <v>#N/A</v>
      </c>
      <c r="W47" s="15" t="e">
        <f ca="1"/>
        <v>#N/A</v>
      </c>
      <c r="X47" s="15" t="e">
        <f ca="1"/>
        <v>#N/A</v>
      </c>
      <c r="Y47" s="15" t="e">
        <f ca="1"/>
        <v>#N/A</v>
      </c>
      <c r="Z47" s="15" t="e">
        <f ca="1"/>
        <v>#N/A</v>
      </c>
      <c r="AA47" s="15" t="e">
        <f ca="1"/>
        <v>#N/A</v>
      </c>
      <c r="AB47" s="15" t="e">
        <f ca="1"/>
        <v>#N/A</v>
      </c>
      <c r="AC47" s="15" t="e">
        <f ca="1"/>
        <v>#N/A</v>
      </c>
      <c r="AD47" s="15" t="e">
        <f ca="1"/>
        <v>#N/A</v>
      </c>
      <c r="AE47" s="15" t="e">
        <f ca="1"/>
        <v>#N/A</v>
      </c>
      <c r="AF47" s="16" t="s">
        <v>343</v>
      </c>
    </row>
    <row r="48" spans="1:34" ht="20" customHeight="1" x14ac:dyDescent="0.25">
      <c r="D48" s="15" t="str">
        <f>INDEX(X_Table_PastureBeef_Liveweight_Method1,2,1)</f>
        <v>Spring</v>
      </c>
      <c r="E48" s="15" t="e" cm="1">
        <f t="array" aca="1" ref="E48:N51" ca="1">OFFSET(X_Table_PastureBeef_Liveweight_Method1, 1,1, 4,10)</f>
        <v>#N/A</v>
      </c>
      <c r="F48" s="15" t="e">
        <f ca="1"/>
        <v>#N/A</v>
      </c>
      <c r="G48" s="15" t="e">
        <f ca="1"/>
        <v>#N/A</v>
      </c>
      <c r="H48" s="15" t="e">
        <f ca="1"/>
        <v>#N/A</v>
      </c>
      <c r="I48" s="15" t="e">
        <f ca="1"/>
        <v>#N/A</v>
      </c>
      <c r="J48" s="15" t="e">
        <f ca="1"/>
        <v>#N/A</v>
      </c>
      <c r="K48" s="15" t="e">
        <f ca="1"/>
        <v>#N/A</v>
      </c>
      <c r="L48" s="15" t="e">
        <f ca="1"/>
        <v>#N/A</v>
      </c>
      <c r="M48" s="15" t="e">
        <f ca="1"/>
        <v>#N/A</v>
      </c>
      <c r="N48" s="15" t="e">
        <f ca="1"/>
        <v>#N/A</v>
      </c>
      <c r="O48" s="16" t="s">
        <v>343</v>
      </c>
      <c r="P48" s="16"/>
      <c r="Q48" s="16"/>
      <c r="U48" s="15" t="str">
        <f>TEXT(EDATE(X_Cell_Site_StartDate,4), "mmmm")</f>
        <v>April</v>
      </c>
      <c r="V48" s="15" t="e">
        <f ca="1"/>
        <v>#N/A</v>
      </c>
      <c r="W48" s="15" t="e">
        <f ca="1"/>
        <v>#N/A</v>
      </c>
      <c r="X48" s="15" t="e">
        <f ca="1"/>
        <v>#N/A</v>
      </c>
      <c r="Y48" s="15" t="e">
        <f ca="1"/>
        <v>#N/A</v>
      </c>
      <c r="Z48" s="15" t="e">
        <f ca="1"/>
        <v>#N/A</v>
      </c>
      <c r="AA48" s="15" t="e">
        <f ca="1"/>
        <v>#N/A</v>
      </c>
      <c r="AB48" s="15" t="e">
        <f ca="1"/>
        <v>#N/A</v>
      </c>
      <c r="AC48" s="15" t="e">
        <f ca="1"/>
        <v>#N/A</v>
      </c>
      <c r="AD48" s="15" t="e">
        <f ca="1"/>
        <v>#N/A</v>
      </c>
      <c r="AE48" s="15" t="e">
        <f ca="1"/>
        <v>#N/A</v>
      </c>
      <c r="AF48" s="16" t="s">
        <v>343</v>
      </c>
    </row>
    <row r="49" spans="1:34" ht="20" customHeight="1" x14ac:dyDescent="0.25">
      <c r="D49" s="15" t="str">
        <f>INDEX(X_Table_PastureBeef_Liveweight_Method1,3,1)</f>
        <v>Summer</v>
      </c>
      <c r="E49" s="15" t="e">
        <f ca="1"/>
        <v>#N/A</v>
      </c>
      <c r="F49" s="15" t="e">
        <f ca="1"/>
        <v>#N/A</v>
      </c>
      <c r="G49" s="15" t="e">
        <f ca="1"/>
        <v>#N/A</v>
      </c>
      <c r="H49" s="15" t="e">
        <f ca="1"/>
        <v>#N/A</v>
      </c>
      <c r="I49" s="15" t="e">
        <f ca="1"/>
        <v>#N/A</v>
      </c>
      <c r="J49" s="15" t="e">
        <f ca="1"/>
        <v>#N/A</v>
      </c>
      <c r="K49" s="15" t="e">
        <f ca="1"/>
        <v>#N/A</v>
      </c>
      <c r="L49" s="15" t="e">
        <f ca="1"/>
        <v>#N/A</v>
      </c>
      <c r="M49" s="15" t="e">
        <f ca="1"/>
        <v>#N/A</v>
      </c>
      <c r="N49" s="15" t="e">
        <f ca="1"/>
        <v>#N/A</v>
      </c>
      <c r="O49" s="16" t="s">
        <v>343</v>
      </c>
      <c r="P49" s="16"/>
      <c r="Q49" s="16"/>
      <c r="U49" s="15" t="str">
        <f>TEXT(EDATE(X_Cell_Site_StartDate,5), "mmmm")</f>
        <v>May</v>
      </c>
      <c r="V49" s="15" t="e">
        <f ca="1"/>
        <v>#N/A</v>
      </c>
      <c r="W49" s="15" t="e">
        <f ca="1"/>
        <v>#N/A</v>
      </c>
      <c r="X49" s="15" t="e">
        <f ca="1"/>
        <v>#N/A</v>
      </c>
      <c r="Y49" s="15" t="e">
        <f ca="1"/>
        <v>#N/A</v>
      </c>
      <c r="Z49" s="15" t="e">
        <f ca="1"/>
        <v>#N/A</v>
      </c>
      <c r="AA49" s="15" t="e">
        <f ca="1"/>
        <v>#N/A</v>
      </c>
      <c r="AB49" s="15" t="e">
        <f ca="1"/>
        <v>#N/A</v>
      </c>
      <c r="AC49" s="15" t="e">
        <f ca="1"/>
        <v>#N/A</v>
      </c>
      <c r="AD49" s="15" t="e">
        <f ca="1"/>
        <v>#N/A</v>
      </c>
      <c r="AE49" s="15" t="e">
        <f ca="1"/>
        <v>#N/A</v>
      </c>
      <c r="AF49" s="16" t="s">
        <v>343</v>
      </c>
    </row>
    <row r="50" spans="1:34" ht="20" customHeight="1" x14ac:dyDescent="0.25">
      <c r="A50" s="85" t="s">
        <v>1</v>
      </c>
      <c r="D50" s="15" t="str">
        <f>INDEX(X_Table_PastureBeef_Liveweight_Method1,4,1)</f>
        <v>Autumn</v>
      </c>
      <c r="E50" s="15" t="e">
        <f ca="1"/>
        <v>#N/A</v>
      </c>
      <c r="F50" s="15" t="e">
        <f ca="1"/>
        <v>#N/A</v>
      </c>
      <c r="G50" s="15" t="e">
        <f ca="1"/>
        <v>#N/A</v>
      </c>
      <c r="H50" s="15" t="e">
        <f ca="1"/>
        <v>#N/A</v>
      </c>
      <c r="I50" s="15" t="e">
        <f ca="1"/>
        <v>#N/A</v>
      </c>
      <c r="J50" s="15" t="e">
        <f ca="1"/>
        <v>#N/A</v>
      </c>
      <c r="K50" s="15" t="e">
        <f ca="1"/>
        <v>#N/A</v>
      </c>
      <c r="L50" s="15" t="e">
        <f ca="1"/>
        <v>#N/A</v>
      </c>
      <c r="M50" s="15" t="e">
        <f ca="1"/>
        <v>#N/A</v>
      </c>
      <c r="N50" s="15" t="e">
        <f ca="1"/>
        <v>#N/A</v>
      </c>
      <c r="O50" s="16" t="s">
        <v>343</v>
      </c>
      <c r="P50" s="16"/>
      <c r="Q50" s="16"/>
      <c r="U50" s="15" t="str">
        <f>TEXT(EDATE(X_Cell_Site_StartDate,6), "mmmm")</f>
        <v>June</v>
      </c>
      <c r="V50" s="15" t="e">
        <f ca="1"/>
        <v>#N/A</v>
      </c>
      <c r="W50" s="15" t="e">
        <f ca="1"/>
        <v>#N/A</v>
      </c>
      <c r="X50" s="15" t="e">
        <f ca="1"/>
        <v>#N/A</v>
      </c>
      <c r="Y50" s="15" t="e">
        <f ca="1"/>
        <v>#N/A</v>
      </c>
      <c r="Z50" s="15" t="e">
        <f ca="1"/>
        <v>#N/A</v>
      </c>
      <c r="AA50" s="15" t="e">
        <f ca="1"/>
        <v>#N/A</v>
      </c>
      <c r="AB50" s="15" t="e">
        <f ca="1"/>
        <v>#N/A</v>
      </c>
      <c r="AC50" s="15" t="e">
        <f ca="1"/>
        <v>#N/A</v>
      </c>
      <c r="AD50" s="15" t="e">
        <f ca="1"/>
        <v>#N/A</v>
      </c>
      <c r="AE50" s="15" t="e">
        <f ca="1"/>
        <v>#N/A</v>
      </c>
      <c r="AF50" s="16" t="s">
        <v>343</v>
      </c>
    </row>
    <row r="51" spans="1:34" ht="20" customHeight="1" x14ac:dyDescent="0.25">
      <c r="A51" s="5" t="str">
        <f>HYPERLINK("#'Constants - Pasture Beef'!A1", "Constants - Pasture Beef")</f>
        <v>Constants - Pasture Beef</v>
      </c>
      <c r="D51" s="15" t="str">
        <f>INDEX(X_Table_PastureBeef_Liveweight_Method1,5,1)</f>
        <v>Winter</v>
      </c>
      <c r="E51" s="15" t="e">
        <f ca="1"/>
        <v>#N/A</v>
      </c>
      <c r="F51" s="15" t="e">
        <f ca="1"/>
        <v>#N/A</v>
      </c>
      <c r="G51" s="15" t="e">
        <f ca="1"/>
        <v>#N/A</v>
      </c>
      <c r="H51" s="15" t="e">
        <f ca="1"/>
        <v>#N/A</v>
      </c>
      <c r="I51" s="15" t="e">
        <f ca="1"/>
        <v>#N/A</v>
      </c>
      <c r="J51" s="15" t="e">
        <f ca="1"/>
        <v>#N/A</v>
      </c>
      <c r="K51" s="15" t="e">
        <f ca="1"/>
        <v>#N/A</v>
      </c>
      <c r="L51" s="15" t="e">
        <f ca="1"/>
        <v>#N/A</v>
      </c>
      <c r="M51" s="15" t="e">
        <f ca="1"/>
        <v>#N/A</v>
      </c>
      <c r="N51" s="15" t="e">
        <f ca="1"/>
        <v>#N/A</v>
      </c>
      <c r="O51" s="16" t="s">
        <v>343</v>
      </c>
      <c r="P51" s="16"/>
      <c r="Q51" s="16"/>
      <c r="U51" s="15" t="str">
        <f>TEXT(EDATE(X_Cell_Site_StartDate,7), "mmmm")</f>
        <v>July</v>
      </c>
      <c r="V51" s="15" t="e">
        <f ca="1"/>
        <v>#N/A</v>
      </c>
      <c r="W51" s="15" t="e">
        <f ca="1"/>
        <v>#N/A</v>
      </c>
      <c r="X51" s="15" t="e">
        <f ca="1"/>
        <v>#N/A</v>
      </c>
      <c r="Y51" s="15" t="e">
        <f ca="1"/>
        <v>#N/A</v>
      </c>
      <c r="Z51" s="15" t="e">
        <f ca="1"/>
        <v>#N/A</v>
      </c>
      <c r="AA51" s="15" t="e">
        <f ca="1"/>
        <v>#N/A</v>
      </c>
      <c r="AB51" s="15" t="e">
        <f ca="1"/>
        <v>#N/A</v>
      </c>
      <c r="AC51" s="15" t="e">
        <f ca="1"/>
        <v>#N/A</v>
      </c>
      <c r="AD51" s="15" t="e">
        <f ca="1"/>
        <v>#N/A</v>
      </c>
      <c r="AE51" s="15" t="e">
        <f ca="1"/>
        <v>#N/A</v>
      </c>
      <c r="AF51" s="16" t="s">
        <v>343</v>
      </c>
      <c r="AG51" s="16"/>
      <c r="AH51" s="16"/>
    </row>
    <row r="52" spans="1:34" ht="20" customHeight="1" x14ac:dyDescent="0.25">
      <c r="A52" s="5" t="str">
        <f>HYPERLINK("#'Constants - Ag Residue'!A1", "Constants - Ag residue")</f>
        <v>Constants - Ag residue</v>
      </c>
      <c r="U52" s="15" t="str">
        <f>TEXT(EDATE(X_Cell_Site_StartDate,8), "mmmm")</f>
        <v>August</v>
      </c>
      <c r="V52" s="15" t="e">
        <f ca="1"/>
        <v>#N/A</v>
      </c>
      <c r="W52" s="15" t="e">
        <f ca="1"/>
        <v>#N/A</v>
      </c>
      <c r="X52" s="15" t="e">
        <f ca="1"/>
        <v>#N/A</v>
      </c>
      <c r="Y52" s="15" t="e">
        <f ca="1"/>
        <v>#N/A</v>
      </c>
      <c r="Z52" s="15" t="e">
        <f ca="1"/>
        <v>#N/A</v>
      </c>
      <c r="AA52" s="15" t="e">
        <f ca="1"/>
        <v>#N/A</v>
      </c>
      <c r="AB52" s="15" t="e">
        <f ca="1"/>
        <v>#N/A</v>
      </c>
      <c r="AC52" s="15" t="e">
        <f ca="1"/>
        <v>#N/A</v>
      </c>
      <c r="AD52" s="15" t="e">
        <f ca="1"/>
        <v>#N/A</v>
      </c>
      <c r="AE52" s="15" t="e">
        <f ca="1"/>
        <v>#N/A</v>
      </c>
      <c r="AF52" s="16" t="s">
        <v>343</v>
      </c>
      <c r="AG52" s="16"/>
      <c r="AH52" s="16"/>
    </row>
    <row r="53" spans="1:34" ht="20" customHeight="1" x14ac:dyDescent="0.25">
      <c r="A53" s="5" t="str">
        <f>HYPERLINK("#'Constants - Common Livestock'!A1", "Constants - Common Livestock")</f>
        <v>Constants - Common Livestock</v>
      </c>
      <c r="D53" s="112" t="s">
        <v>395</v>
      </c>
      <c r="U53" s="15" t="str">
        <f>TEXT(EDATE(X_Cell_Site_StartDate,9), "mmmm")</f>
        <v>September</v>
      </c>
      <c r="V53" s="15" t="e">
        <f ca="1"/>
        <v>#N/A</v>
      </c>
      <c r="W53" s="15" t="e">
        <f ca="1"/>
        <v>#N/A</v>
      </c>
      <c r="X53" s="15" t="e">
        <f ca="1"/>
        <v>#N/A</v>
      </c>
      <c r="Y53" s="15" t="e">
        <f ca="1"/>
        <v>#N/A</v>
      </c>
      <c r="Z53" s="15" t="e">
        <f ca="1"/>
        <v>#N/A</v>
      </c>
      <c r="AA53" s="15" t="e">
        <f ca="1"/>
        <v>#N/A</v>
      </c>
      <c r="AB53" s="15" t="e">
        <f ca="1"/>
        <v>#N/A</v>
      </c>
      <c r="AC53" s="15" t="e">
        <f ca="1"/>
        <v>#N/A</v>
      </c>
      <c r="AD53" s="15" t="e">
        <f ca="1"/>
        <v>#N/A</v>
      </c>
      <c r="AE53" s="15" t="e">
        <f ca="1"/>
        <v>#N/A</v>
      </c>
      <c r="AF53" s="16" t="s">
        <v>343</v>
      </c>
      <c r="AG53" s="16"/>
      <c r="AH53" s="16"/>
    </row>
    <row r="54" spans="1:34" ht="20" customHeight="1" x14ac:dyDescent="0.25">
      <c r="A54" s="5" t="str">
        <f>HYPERLINK("#'Constants - Electricity'!A1", "Constants - Electricity")</f>
        <v>Constants - Electricity</v>
      </c>
      <c r="D54" s="113" t="s">
        <v>396</v>
      </c>
      <c r="U54" s="15" t="str">
        <f>TEXT(EDATE(X_Cell_Site_StartDate,10), "mmmm")</f>
        <v>October</v>
      </c>
      <c r="V54" s="15" t="e">
        <f ca="1"/>
        <v>#N/A</v>
      </c>
      <c r="W54" s="15" t="e">
        <f ca="1"/>
        <v>#N/A</v>
      </c>
      <c r="X54" s="15" t="e">
        <f ca="1"/>
        <v>#N/A</v>
      </c>
      <c r="Y54" s="15" t="e">
        <f ca="1"/>
        <v>#N/A</v>
      </c>
      <c r="Z54" s="15" t="e">
        <f ca="1"/>
        <v>#N/A</v>
      </c>
      <c r="AA54" s="15" t="e">
        <f ca="1"/>
        <v>#N/A</v>
      </c>
      <c r="AB54" s="15" t="e">
        <f ca="1"/>
        <v>#N/A</v>
      </c>
      <c r="AC54" s="15" t="e">
        <f ca="1"/>
        <v>#N/A</v>
      </c>
      <c r="AD54" s="15" t="e">
        <f ca="1"/>
        <v>#N/A</v>
      </c>
      <c r="AE54" s="15" t="e">
        <f ca="1"/>
        <v>#N/A</v>
      </c>
      <c r="AF54" s="16" t="s">
        <v>343</v>
      </c>
      <c r="AG54" s="16"/>
      <c r="AH54" s="16"/>
    </row>
    <row r="55" spans="1:34" ht="20" customHeight="1" x14ac:dyDescent="0.25">
      <c r="A55" s="5" t="str">
        <f>HYPERLINK("#'Constants - Fertiliser'!A1", "Constants - Fertiliser")</f>
        <v>Constants - Fertiliser</v>
      </c>
      <c r="D55" s="114" t="s">
        <v>76</v>
      </c>
      <c r="E55" s="82" t="s">
        <v>326</v>
      </c>
      <c r="F55" s="82" t="s">
        <v>184</v>
      </c>
      <c r="G55" s="82" t="s">
        <v>327</v>
      </c>
      <c r="H55" s="82" t="s">
        <v>328</v>
      </c>
      <c r="I55" s="82" t="s">
        <v>329</v>
      </c>
      <c r="J55" s="82" t="s">
        <v>330</v>
      </c>
      <c r="K55" s="82" t="s">
        <v>331</v>
      </c>
      <c r="L55" s="82" t="s">
        <v>332</v>
      </c>
      <c r="M55" s="82" t="s">
        <v>333</v>
      </c>
      <c r="N55" s="82" t="s">
        <v>334</v>
      </c>
      <c r="U55" s="15" t="str">
        <f>TEXT(EDATE(X_Cell_Site_StartDate,11), "mmmm")</f>
        <v>November</v>
      </c>
      <c r="V55" s="15" t="e">
        <f ca="1"/>
        <v>#N/A</v>
      </c>
      <c r="W55" s="15" t="e">
        <f ca="1"/>
        <v>#N/A</v>
      </c>
      <c r="X55" s="15" t="e">
        <f ca="1"/>
        <v>#N/A</v>
      </c>
      <c r="Y55" s="15" t="e">
        <f ca="1"/>
        <v>#N/A</v>
      </c>
      <c r="Z55" s="15" t="e">
        <f ca="1"/>
        <v>#N/A</v>
      </c>
      <c r="AA55" s="15" t="e">
        <f ca="1"/>
        <v>#N/A</v>
      </c>
      <c r="AB55" s="15" t="e">
        <f ca="1"/>
        <v>#N/A</v>
      </c>
      <c r="AC55" s="15" t="e">
        <f ca="1"/>
        <v>#N/A</v>
      </c>
      <c r="AD55" s="15" t="e">
        <f ca="1"/>
        <v>#N/A</v>
      </c>
      <c r="AE55" s="15" t="e">
        <f ca="1"/>
        <v>#N/A</v>
      </c>
      <c r="AF55" s="16" t="s">
        <v>343</v>
      </c>
      <c r="AG55" s="16"/>
      <c r="AH55" s="16"/>
    </row>
    <row r="56" spans="1:34" ht="20" customHeight="1" x14ac:dyDescent="0.25">
      <c r="A56" s="5" t="str">
        <f>HYPERLINK("#'Constants - Fuel'!A1", "Constants - Fuel")</f>
        <v>Constants - Fuel</v>
      </c>
      <c r="D56" s="15" t="str">
        <f>INDEX(X_Table_PastureBeef_LiveweightGain_Method1,2,1)</f>
        <v>Spring</v>
      </c>
      <c r="E56" s="15" t="e" cm="1">
        <f t="array" aca="1" ref="E56:N59" ca="1">OFFSET(X_Table_PastureBeef_LiveweightGain_Method1, 1,1, 4,10)</f>
        <v>#N/A</v>
      </c>
      <c r="F56" s="15" t="e">
        <f ca="1"/>
        <v>#N/A</v>
      </c>
      <c r="G56" s="15" t="e">
        <f ca="1"/>
        <v>#N/A</v>
      </c>
      <c r="H56" s="15" t="e">
        <f ca="1"/>
        <v>#N/A</v>
      </c>
      <c r="I56" s="15" t="e">
        <f ca="1"/>
        <v>#N/A</v>
      </c>
      <c r="J56" s="15" t="e">
        <f ca="1"/>
        <v>#N/A</v>
      </c>
      <c r="K56" s="15" t="e">
        <f ca="1"/>
        <v>#N/A</v>
      </c>
      <c r="L56" s="15" t="e">
        <f ca="1"/>
        <v>#N/A</v>
      </c>
      <c r="M56" s="15" t="e">
        <f ca="1"/>
        <v>#N/A</v>
      </c>
      <c r="N56" s="15" t="e">
        <f ca="1"/>
        <v>#N/A</v>
      </c>
      <c r="O56" s="16" t="s">
        <v>343</v>
      </c>
      <c r="P56" s="16"/>
      <c r="Q56" s="16"/>
      <c r="AG56" s="16"/>
      <c r="AH56" s="16"/>
    </row>
    <row r="57" spans="1:34" ht="20" customHeight="1" x14ac:dyDescent="0.25">
      <c r="A57" s="5" t="str">
        <f>HYPERLINK("#'Constants - Scope 3'!A1", "Constants - Scope 3")</f>
        <v>Constants - Scope 3</v>
      </c>
      <c r="D57" s="15" t="str">
        <f>INDEX(X_Table_PastureBeef_LiveweightGain_Method1,3,1)</f>
        <v>Summer</v>
      </c>
      <c r="E57" s="15" t="e">
        <f ca="1"/>
        <v>#N/A</v>
      </c>
      <c r="F57" s="15" t="e">
        <f ca="1"/>
        <v>#N/A</v>
      </c>
      <c r="G57" s="15" t="e">
        <f ca="1"/>
        <v>#N/A</v>
      </c>
      <c r="H57" s="15" t="e">
        <f ca="1"/>
        <v>#N/A</v>
      </c>
      <c r="I57" s="15" t="e">
        <f ca="1"/>
        <v>#N/A</v>
      </c>
      <c r="J57" s="15" t="e">
        <f ca="1"/>
        <v>#N/A</v>
      </c>
      <c r="K57" s="15" t="e">
        <f ca="1"/>
        <v>#N/A</v>
      </c>
      <c r="L57" s="15" t="e">
        <f ca="1"/>
        <v>#N/A</v>
      </c>
      <c r="M57" s="15" t="e">
        <f ca="1"/>
        <v>#N/A</v>
      </c>
      <c r="N57" s="15" t="e">
        <f ca="1"/>
        <v>#N/A</v>
      </c>
      <c r="O57" s="16" t="s">
        <v>343</v>
      </c>
      <c r="P57" s="16"/>
      <c r="Q57" s="16"/>
      <c r="U57" s="112" t="s">
        <v>393</v>
      </c>
      <c r="AG57" s="16"/>
      <c r="AH57" s="16"/>
    </row>
    <row r="58" spans="1:34" ht="20" customHeight="1" x14ac:dyDescent="0.25">
      <c r="A58" s="5" t="str">
        <f>HYPERLINK("#'Constants - Solid Waste'!A1", "Constants - Solid Waste")</f>
        <v>Constants - Solid Waste</v>
      </c>
      <c r="D58" s="15" t="str">
        <f>INDEX(X_Table_PastureBeef_LiveweightGain_Method1,4,1)</f>
        <v>Autumn</v>
      </c>
      <c r="E58" s="15" t="e">
        <f ca="1"/>
        <v>#N/A</v>
      </c>
      <c r="F58" s="15" t="e">
        <f ca="1"/>
        <v>#N/A</v>
      </c>
      <c r="G58" s="15" t="e">
        <f ca="1"/>
        <v>#N/A</v>
      </c>
      <c r="H58" s="15" t="e">
        <f ca="1"/>
        <v>#N/A</v>
      </c>
      <c r="I58" s="15" t="e">
        <f ca="1"/>
        <v>#N/A</v>
      </c>
      <c r="J58" s="15" t="e">
        <f ca="1"/>
        <v>#N/A</v>
      </c>
      <c r="K58" s="15" t="e">
        <f ca="1"/>
        <v>#N/A</v>
      </c>
      <c r="L58" s="15" t="e">
        <f ca="1"/>
        <v>#N/A</v>
      </c>
      <c r="M58" s="15" t="e">
        <f ca="1"/>
        <v>#N/A</v>
      </c>
      <c r="N58" s="15" t="e">
        <f ca="1"/>
        <v>#N/A</v>
      </c>
      <c r="O58" s="16" t="s">
        <v>343</v>
      </c>
      <c r="P58" s="16"/>
      <c r="Q58" s="16"/>
      <c r="U58" s="113" t="s">
        <v>394</v>
      </c>
      <c r="AG58" s="16"/>
      <c r="AH58" s="16"/>
    </row>
    <row r="59" spans="1:34" ht="20" customHeight="1" x14ac:dyDescent="0.25">
      <c r="A59" s="5" t="str">
        <f>HYPERLINK("#'Constants - Common'!A1", "Constants - Common")</f>
        <v>Constants - Common</v>
      </c>
      <c r="D59" s="15" t="str">
        <f>INDEX(X_Table_PastureBeef_LiveweightGain_Method1,5,1)</f>
        <v>Winter</v>
      </c>
      <c r="E59" s="15" t="e">
        <f ca="1"/>
        <v>#N/A</v>
      </c>
      <c r="F59" s="15" t="e">
        <f ca="1"/>
        <v>#N/A</v>
      </c>
      <c r="G59" s="15" t="e">
        <f ca="1"/>
        <v>#N/A</v>
      </c>
      <c r="H59" s="15" t="e">
        <f ca="1"/>
        <v>#N/A</v>
      </c>
      <c r="I59" s="15" t="e">
        <f ca="1"/>
        <v>#N/A</v>
      </c>
      <c r="J59" s="15" t="e">
        <f ca="1"/>
        <v>#N/A</v>
      </c>
      <c r="K59" s="15" t="e">
        <f ca="1"/>
        <v>#N/A</v>
      </c>
      <c r="L59" s="15" t="e">
        <f ca="1"/>
        <v>#N/A</v>
      </c>
      <c r="M59" s="15" t="e">
        <f ca="1"/>
        <v>#N/A</v>
      </c>
      <c r="N59" s="15" t="e">
        <f ca="1"/>
        <v>#N/A</v>
      </c>
      <c r="O59" s="16" t="s">
        <v>343</v>
      </c>
      <c r="P59" s="16"/>
      <c r="Q59" s="16"/>
      <c r="U59" s="114" t="s">
        <v>75</v>
      </c>
      <c r="V59" s="82" t="s">
        <v>326</v>
      </c>
      <c r="W59" s="82" t="s">
        <v>184</v>
      </c>
      <c r="X59" s="82" t="s">
        <v>327</v>
      </c>
      <c r="Y59" s="82" t="s">
        <v>328</v>
      </c>
      <c r="Z59" s="82" t="s">
        <v>329</v>
      </c>
      <c r="AA59" s="82" t="s">
        <v>330</v>
      </c>
      <c r="AB59" s="82" t="s">
        <v>331</v>
      </c>
      <c r="AC59" s="82" t="s">
        <v>332</v>
      </c>
      <c r="AD59" s="82" t="s">
        <v>333</v>
      </c>
      <c r="AE59" s="82" t="s">
        <v>334</v>
      </c>
      <c r="AG59" s="16"/>
      <c r="AH59" s="16"/>
    </row>
    <row r="60" spans="1:34" ht="20" customHeight="1" x14ac:dyDescent="0.25">
      <c r="A60" s="5" t="str">
        <f>HYPERLINK("#'Acknowledgements'!A1", "Acknowledgements")</f>
        <v>Acknowledgements</v>
      </c>
      <c r="U60" s="15" t="str">
        <f>TEXT(X_Cell_Site_StartDate,"mmmm")</f>
        <v>January</v>
      </c>
      <c r="V60" s="15" t="e" cm="1">
        <f t="array" aca="1" ref="V60:AE71" ca="1">OFFSET(X_Table_PastureBeef_LiveweightGain_Method2,1,1,12,10)</f>
        <v>#N/A</v>
      </c>
      <c r="W60" s="15" t="e">
        <f ca="1"/>
        <v>#N/A</v>
      </c>
      <c r="X60" s="15" t="e">
        <f ca="1"/>
        <v>#N/A</v>
      </c>
      <c r="Y60" s="15" t="e">
        <f ca="1"/>
        <v>#N/A</v>
      </c>
      <c r="Z60" s="15" t="e">
        <f ca="1"/>
        <v>#N/A</v>
      </c>
      <c r="AA60" s="15" t="e">
        <f ca="1"/>
        <v>#N/A</v>
      </c>
      <c r="AB60" s="15" t="e">
        <f ca="1"/>
        <v>#N/A</v>
      </c>
      <c r="AC60" s="15" t="e">
        <f ca="1"/>
        <v>#N/A</v>
      </c>
      <c r="AD60" s="15" t="e">
        <f ca="1"/>
        <v>#N/A</v>
      </c>
      <c r="AE60" s="15" t="e">
        <f ca="1"/>
        <v>#N/A</v>
      </c>
      <c r="AF60" s="16" t="s">
        <v>344</v>
      </c>
      <c r="AG60" s="16"/>
      <c r="AH60" s="16"/>
    </row>
    <row r="61" spans="1:34" ht="20" customHeight="1" x14ac:dyDescent="0.25">
      <c r="D61" s="112" t="s">
        <v>399</v>
      </c>
      <c r="U61" s="15" t="str">
        <f>TEXT(EDATE(X_Cell_Site_StartDate,1), "mmmm")</f>
        <v>January</v>
      </c>
      <c r="V61" s="15" t="e">
        <f ca="1"/>
        <v>#N/A</v>
      </c>
      <c r="W61" s="15" t="e">
        <f ca="1"/>
        <v>#N/A</v>
      </c>
      <c r="X61" s="15" t="e">
        <f ca="1"/>
        <v>#N/A</v>
      </c>
      <c r="Y61" s="15" t="e">
        <f ca="1"/>
        <v>#N/A</v>
      </c>
      <c r="Z61" s="15" t="e">
        <f ca="1"/>
        <v>#N/A</v>
      </c>
      <c r="AA61" s="15" t="e">
        <f ca="1"/>
        <v>#N/A</v>
      </c>
      <c r="AB61" s="15" t="e">
        <f ca="1"/>
        <v>#N/A</v>
      </c>
      <c r="AC61" s="15" t="e">
        <f ca="1"/>
        <v>#N/A</v>
      </c>
      <c r="AD61" s="15" t="e">
        <f ca="1"/>
        <v>#N/A</v>
      </c>
      <c r="AE61" s="15" t="e">
        <f ca="1"/>
        <v>#N/A</v>
      </c>
      <c r="AF61" s="16" t="s">
        <v>344</v>
      </c>
      <c r="AG61" s="16"/>
      <c r="AH61" s="16"/>
    </row>
    <row r="62" spans="1:34" ht="20" customHeight="1" x14ac:dyDescent="0.25">
      <c r="D62" s="113" t="s">
        <v>400</v>
      </c>
      <c r="U62" s="15" t="str">
        <f>TEXT(EDATE(X_Cell_Site_StartDate,2), "mmmm")</f>
        <v>February</v>
      </c>
      <c r="V62" s="15" t="e">
        <f ca="1"/>
        <v>#N/A</v>
      </c>
      <c r="W62" s="15" t="e">
        <f ca="1"/>
        <v>#N/A</v>
      </c>
      <c r="X62" s="15" t="e">
        <f ca="1"/>
        <v>#N/A</v>
      </c>
      <c r="Y62" s="15" t="e">
        <f ca="1"/>
        <v>#N/A</v>
      </c>
      <c r="Z62" s="15" t="e">
        <f ca="1"/>
        <v>#N/A</v>
      </c>
      <c r="AA62" s="15" t="e">
        <f ca="1"/>
        <v>#N/A</v>
      </c>
      <c r="AB62" s="15" t="e">
        <f ca="1"/>
        <v>#N/A</v>
      </c>
      <c r="AC62" s="15" t="e">
        <f ca="1"/>
        <v>#N/A</v>
      </c>
      <c r="AD62" s="15" t="e">
        <f ca="1"/>
        <v>#N/A</v>
      </c>
      <c r="AE62" s="15" t="e">
        <f ca="1"/>
        <v>#N/A</v>
      </c>
      <c r="AF62" s="16" t="s">
        <v>344</v>
      </c>
      <c r="AG62" s="16"/>
      <c r="AH62" s="16"/>
    </row>
    <row r="63" spans="1:34" ht="20" customHeight="1" x14ac:dyDescent="0.25">
      <c r="D63" s="114" t="s">
        <v>76</v>
      </c>
      <c r="E63" s="114" t="s">
        <v>326</v>
      </c>
      <c r="F63" s="114" t="s">
        <v>184</v>
      </c>
      <c r="G63" s="114" t="s">
        <v>327</v>
      </c>
      <c r="H63" s="114" t="s">
        <v>328</v>
      </c>
      <c r="I63" s="114" t="s">
        <v>329</v>
      </c>
      <c r="J63" s="114" t="s">
        <v>330</v>
      </c>
      <c r="K63" s="114" t="s">
        <v>331</v>
      </c>
      <c r="L63" s="114" t="s">
        <v>332</v>
      </c>
      <c r="M63" s="114" t="s">
        <v>333</v>
      </c>
      <c r="N63" s="114" t="s">
        <v>334</v>
      </c>
      <c r="U63" s="15" t="str">
        <f>TEXT(EDATE(X_Cell_Site_StartDate,3), "mmmm")</f>
        <v>March</v>
      </c>
      <c r="V63" s="15" t="e">
        <f ca="1"/>
        <v>#N/A</v>
      </c>
      <c r="W63" s="15" t="e">
        <f ca="1"/>
        <v>#N/A</v>
      </c>
      <c r="X63" s="15" t="e">
        <f ca="1"/>
        <v>#N/A</v>
      </c>
      <c r="Y63" s="15" t="e">
        <f ca="1"/>
        <v>#N/A</v>
      </c>
      <c r="Z63" s="15" t="e">
        <f ca="1"/>
        <v>#N/A</v>
      </c>
      <c r="AA63" s="15" t="e">
        <f ca="1"/>
        <v>#N/A</v>
      </c>
      <c r="AB63" s="15" t="e">
        <f ca="1"/>
        <v>#N/A</v>
      </c>
      <c r="AC63" s="15" t="e">
        <f ca="1"/>
        <v>#N/A</v>
      </c>
      <c r="AD63" s="15" t="e">
        <f ca="1"/>
        <v>#N/A</v>
      </c>
      <c r="AE63" s="15" t="e">
        <f ca="1"/>
        <v>#N/A</v>
      </c>
      <c r="AF63" s="16" t="s">
        <v>344</v>
      </c>
      <c r="AG63" s="16"/>
      <c r="AH63" s="16"/>
    </row>
    <row r="64" spans="1:34" ht="20" customHeight="1" x14ac:dyDescent="0.25">
      <c r="D64" s="15" t="s">
        <v>335</v>
      </c>
      <c r="E64" s="15" t="e" cm="1">
        <f t="array" aca="1" ref="E64" ca="1">EntericMethane_PastureBeef_Equations.VEERG_3_2_1_1__3_FeedIntakeForGrazingBeef(E48,E56,G26)</f>
        <v>#N/A</v>
      </c>
      <c r="F64" s="15" t="e" cm="1">
        <f t="array" aca="1" ref="F64" ca="1">EntericMethane_PastureBeef_Equations.VEERG_3_2_1_1__3_FeedIntakeForGrazingBeef(F48,F56,H26)</f>
        <v>#N/A</v>
      </c>
      <c r="G64" s="15" t="e" cm="1">
        <f t="array" aca="1" ref="G64" ca="1">EntericMethane_PastureBeef_Equations.VEERG_3_2_1_1__3_FeedIntakeForGrazingBeef(G48,G56,I26)</f>
        <v>#N/A</v>
      </c>
      <c r="H64" s="15" t="e" cm="1">
        <f t="array" aca="1" ref="H64" ca="1">EntericMethane_PastureBeef_Equations.VEERG_3_2_1_1__3_FeedIntakeForGrazingBeef(H48,H56,J26)</f>
        <v>#N/A</v>
      </c>
      <c r="I64" s="15" t="e" cm="1">
        <f t="array" aca="1" ref="I64" ca="1">EntericMethane_PastureBeef_Equations.VEERG_3_2_1_1__3_FeedIntakeForGrazingBeef(I48,I56,K26)</f>
        <v>#N/A</v>
      </c>
      <c r="J64" s="15" t="e" cm="1">
        <f t="array" aca="1" ref="J64" ca="1">EntericMethane_PastureBeef_Equations.VEERG_3_2_1_1__3_FeedIntakeForGrazingBeef(J48,J56,L26)</f>
        <v>#N/A</v>
      </c>
      <c r="K64" s="15" t="e" cm="1">
        <f t="array" aca="1" ref="K64" ca="1">EntericMethane_PastureBeef_Equations.VEERG_3_2_1_1__3_FeedIntakeForGrazingBeef(K48,K56,M26)</f>
        <v>#N/A</v>
      </c>
      <c r="L64" s="15" t="e" cm="1">
        <f t="array" aca="1" ref="L64" ca="1">EntericMethane_PastureBeef_Equations.VEERG_3_2_1_1__3_FeedIntakeForGrazingBeef(L48,L56,N26)</f>
        <v>#N/A</v>
      </c>
      <c r="M64" s="15" t="e" cm="1">
        <f t="array" aca="1" ref="M64" ca="1">EntericMethane_PastureBeef_Equations.VEERG_3_2_1_1__3_FeedIntakeForGrazingBeef(M48,M56,O26)</f>
        <v>#N/A</v>
      </c>
      <c r="N64" s="15" t="e" cm="1">
        <f t="array" aca="1" ref="N64" ca="1">EntericMethane_PastureBeef_Equations.VEERG_3_2_1_1__3_FeedIntakeForGrazingBeef(N48,N56,P26)</f>
        <v>#N/A</v>
      </c>
      <c r="O64" s="16" t="str">
        <f>$E$39</f>
        <v>kg DM/head/day</v>
      </c>
      <c r="P64" s="16"/>
      <c r="Q64" s="16"/>
      <c r="U64" s="15" t="str">
        <f>TEXT(EDATE(X_Cell_Site_StartDate,4), "mmmm")</f>
        <v>April</v>
      </c>
      <c r="V64" s="15" t="e">
        <f ca="1"/>
        <v>#N/A</v>
      </c>
      <c r="W64" s="15" t="e">
        <f ca="1"/>
        <v>#N/A</v>
      </c>
      <c r="X64" s="15" t="e">
        <f ca="1"/>
        <v>#N/A</v>
      </c>
      <c r="Y64" s="15" t="e">
        <f ca="1"/>
        <v>#N/A</v>
      </c>
      <c r="Z64" s="15" t="e">
        <f ca="1"/>
        <v>#N/A</v>
      </c>
      <c r="AA64" s="15" t="e">
        <f ca="1"/>
        <v>#N/A</v>
      </c>
      <c r="AB64" s="15" t="e">
        <f ca="1"/>
        <v>#N/A</v>
      </c>
      <c r="AC64" s="15" t="e">
        <f ca="1"/>
        <v>#N/A</v>
      </c>
      <c r="AD64" s="15" t="e">
        <f ca="1"/>
        <v>#N/A</v>
      </c>
      <c r="AE64" s="15" t="e">
        <f ca="1"/>
        <v>#N/A</v>
      </c>
      <c r="AF64" s="16" t="s">
        <v>344</v>
      </c>
    </row>
    <row r="65" spans="3:34" ht="20" customHeight="1" x14ac:dyDescent="0.25">
      <c r="D65" s="15" t="s">
        <v>336</v>
      </c>
      <c r="E65" s="15" t="e" cm="1">
        <f t="array" aca="1" ref="E65" ca="1">EntericMethane_PastureBeef_Equations.VEERG_3_2_1_1__3_FeedIntakeForGrazingBeef(E49,E57,G27)</f>
        <v>#N/A</v>
      </c>
      <c r="F65" s="15" t="e" cm="1">
        <f t="array" aca="1" ref="F65" ca="1">EntericMethane_PastureBeef_Equations.VEERG_3_2_1_1__3_FeedIntakeForGrazingBeef(F49,F57,H27)</f>
        <v>#N/A</v>
      </c>
      <c r="G65" s="15" t="e" cm="1">
        <f t="array" aca="1" ref="G65" ca="1">EntericMethane_PastureBeef_Equations.VEERG_3_2_1_1__3_FeedIntakeForGrazingBeef(G49,G57,I27)</f>
        <v>#N/A</v>
      </c>
      <c r="H65" s="15" t="e" cm="1">
        <f t="array" aca="1" ref="H65" ca="1">EntericMethane_PastureBeef_Equations.VEERG_3_2_1_1__3_FeedIntakeForGrazingBeef(H49,H57,J27)</f>
        <v>#N/A</v>
      </c>
      <c r="I65" s="15" t="e" cm="1">
        <f t="array" aca="1" ref="I65" ca="1">EntericMethane_PastureBeef_Equations.VEERG_3_2_1_1__3_FeedIntakeForGrazingBeef(I49,I57,K27)</f>
        <v>#N/A</v>
      </c>
      <c r="J65" s="15" t="e" cm="1">
        <f t="array" aca="1" ref="J65" ca="1">EntericMethane_PastureBeef_Equations.VEERG_3_2_1_1__3_FeedIntakeForGrazingBeef(J49,J57,L27)</f>
        <v>#N/A</v>
      </c>
      <c r="K65" s="15" t="e" cm="1">
        <f t="array" aca="1" ref="K65" ca="1">EntericMethane_PastureBeef_Equations.VEERG_3_2_1_1__3_FeedIntakeForGrazingBeef(K49,K57,M27)</f>
        <v>#N/A</v>
      </c>
      <c r="L65" s="15" t="e" cm="1">
        <f t="array" aca="1" ref="L65" ca="1">EntericMethane_PastureBeef_Equations.VEERG_3_2_1_1__3_FeedIntakeForGrazingBeef(L49,L57,N27)</f>
        <v>#N/A</v>
      </c>
      <c r="M65" s="15" t="e" cm="1">
        <f t="array" aca="1" ref="M65" ca="1">EntericMethane_PastureBeef_Equations.VEERG_3_2_1_1__3_FeedIntakeForGrazingBeef(M49,M57,O27)</f>
        <v>#N/A</v>
      </c>
      <c r="N65" s="15" t="e" cm="1">
        <f t="array" aca="1" ref="N65" ca="1">EntericMethane_PastureBeef_Equations.VEERG_3_2_1_1__3_FeedIntakeForGrazingBeef(N49,N57,P27)</f>
        <v>#N/A</v>
      </c>
      <c r="O65" s="16" t="str">
        <f>$E$39</f>
        <v>kg DM/head/day</v>
      </c>
      <c r="P65" s="16"/>
      <c r="Q65" s="16"/>
      <c r="U65" s="15" t="str">
        <f>TEXT(EDATE(X_Cell_Site_StartDate,5), "mmmm")</f>
        <v>May</v>
      </c>
      <c r="V65" s="15" t="e">
        <f ca="1"/>
        <v>#N/A</v>
      </c>
      <c r="W65" s="15" t="e">
        <f ca="1"/>
        <v>#N/A</v>
      </c>
      <c r="X65" s="15" t="e">
        <f ca="1"/>
        <v>#N/A</v>
      </c>
      <c r="Y65" s="15" t="e">
        <f ca="1"/>
        <v>#N/A</v>
      </c>
      <c r="Z65" s="15" t="e">
        <f ca="1"/>
        <v>#N/A</v>
      </c>
      <c r="AA65" s="15" t="e">
        <f ca="1"/>
        <v>#N/A</v>
      </c>
      <c r="AB65" s="15" t="e">
        <f ca="1"/>
        <v>#N/A</v>
      </c>
      <c r="AC65" s="15" t="e">
        <f ca="1"/>
        <v>#N/A</v>
      </c>
      <c r="AD65" s="15" t="e">
        <f ca="1"/>
        <v>#N/A</v>
      </c>
      <c r="AE65" s="15" t="e">
        <f ca="1"/>
        <v>#N/A</v>
      </c>
      <c r="AF65" s="16" t="s">
        <v>344</v>
      </c>
    </row>
    <row r="66" spans="3:34" ht="20" customHeight="1" x14ac:dyDescent="0.25">
      <c r="D66" s="15" t="s">
        <v>337</v>
      </c>
      <c r="E66" s="15" t="e" cm="1">
        <f t="array" aca="1" ref="E66" ca="1">EntericMethane_PastureBeef_Equations.VEERG_3_2_1_1__3_FeedIntakeForGrazingBeef(E50,E58,G28)</f>
        <v>#N/A</v>
      </c>
      <c r="F66" s="15" t="e" cm="1">
        <f t="array" aca="1" ref="F66" ca="1">EntericMethane_PastureBeef_Equations.VEERG_3_2_1_1__3_FeedIntakeForGrazingBeef(F50,F58,H28)</f>
        <v>#N/A</v>
      </c>
      <c r="G66" s="15" t="e" cm="1">
        <f t="array" aca="1" ref="G66" ca="1">EntericMethane_PastureBeef_Equations.VEERG_3_2_1_1__3_FeedIntakeForGrazingBeef(G50,G58,I28)</f>
        <v>#N/A</v>
      </c>
      <c r="H66" s="15" t="e" cm="1">
        <f t="array" aca="1" ref="H66" ca="1">EntericMethane_PastureBeef_Equations.VEERG_3_2_1_1__3_FeedIntakeForGrazingBeef(H50,H58,J28)</f>
        <v>#N/A</v>
      </c>
      <c r="I66" s="15" t="e" cm="1">
        <f t="array" aca="1" ref="I66" ca="1">EntericMethane_PastureBeef_Equations.VEERG_3_2_1_1__3_FeedIntakeForGrazingBeef(I50,I58,K28)</f>
        <v>#N/A</v>
      </c>
      <c r="J66" s="15" t="e" cm="1">
        <f t="array" aca="1" ref="J66" ca="1">EntericMethane_PastureBeef_Equations.VEERG_3_2_1_1__3_FeedIntakeForGrazingBeef(J50,J58,L28)</f>
        <v>#N/A</v>
      </c>
      <c r="K66" s="15" t="e" cm="1">
        <f t="array" aca="1" ref="K66" ca="1">EntericMethane_PastureBeef_Equations.VEERG_3_2_1_1__3_FeedIntakeForGrazingBeef(K50,K58,M28)</f>
        <v>#N/A</v>
      </c>
      <c r="L66" s="15" t="e" cm="1">
        <f t="array" aca="1" ref="L66" ca="1">EntericMethane_PastureBeef_Equations.VEERG_3_2_1_1__3_FeedIntakeForGrazingBeef(L50,L58,N28)</f>
        <v>#N/A</v>
      </c>
      <c r="M66" s="15" t="e" cm="1">
        <f t="array" aca="1" ref="M66" ca="1">EntericMethane_PastureBeef_Equations.VEERG_3_2_1_1__3_FeedIntakeForGrazingBeef(M50,M58,O28)</f>
        <v>#N/A</v>
      </c>
      <c r="N66" s="15" t="e" cm="1">
        <f t="array" aca="1" ref="N66" ca="1">EntericMethane_PastureBeef_Equations.VEERG_3_2_1_1__3_FeedIntakeForGrazingBeef(N50,N58,P28)</f>
        <v>#N/A</v>
      </c>
      <c r="O66" s="16" t="str">
        <f>$E$39</f>
        <v>kg DM/head/day</v>
      </c>
      <c r="P66" s="16"/>
      <c r="Q66" s="16"/>
      <c r="U66" s="15" t="str">
        <f>TEXT(EDATE(X_Cell_Site_StartDate,6), "mmmm")</f>
        <v>June</v>
      </c>
      <c r="V66" s="15" t="e">
        <f ca="1"/>
        <v>#N/A</v>
      </c>
      <c r="W66" s="15" t="e">
        <f ca="1"/>
        <v>#N/A</v>
      </c>
      <c r="X66" s="15" t="e">
        <f ca="1"/>
        <v>#N/A</v>
      </c>
      <c r="Y66" s="15" t="e">
        <f ca="1"/>
        <v>#N/A</v>
      </c>
      <c r="Z66" s="15" t="e">
        <f ca="1"/>
        <v>#N/A</v>
      </c>
      <c r="AA66" s="15" t="e">
        <f ca="1"/>
        <v>#N/A</v>
      </c>
      <c r="AB66" s="15" t="e">
        <f ca="1"/>
        <v>#N/A</v>
      </c>
      <c r="AC66" s="15" t="e">
        <f ca="1"/>
        <v>#N/A</v>
      </c>
      <c r="AD66" s="15" t="e">
        <f ca="1"/>
        <v>#N/A</v>
      </c>
      <c r="AE66" s="15" t="e">
        <f ca="1"/>
        <v>#N/A</v>
      </c>
      <c r="AF66" s="16" t="s">
        <v>344</v>
      </c>
    </row>
    <row r="67" spans="3:34" ht="20" customHeight="1" x14ac:dyDescent="0.25">
      <c r="D67" s="15" t="s">
        <v>338</v>
      </c>
      <c r="E67" s="15" t="e" cm="1">
        <f t="array" aca="1" ref="E67" ca="1">EntericMethane_PastureBeef_Equations.VEERG_3_2_1_1__3_FeedIntakeForGrazingBeef(E51,E59,G29)</f>
        <v>#N/A</v>
      </c>
      <c r="F67" s="15" t="e" cm="1">
        <f t="array" aca="1" ref="F67" ca="1">EntericMethane_PastureBeef_Equations.VEERG_3_2_1_1__3_FeedIntakeForGrazingBeef(F51,F59,H29)</f>
        <v>#N/A</v>
      </c>
      <c r="G67" s="15" t="e" cm="1">
        <f t="array" aca="1" ref="G67" ca="1">EntericMethane_PastureBeef_Equations.VEERG_3_2_1_1__3_FeedIntakeForGrazingBeef(G51,G59,I29)</f>
        <v>#N/A</v>
      </c>
      <c r="H67" s="15" t="e" cm="1">
        <f t="array" aca="1" ref="H67" ca="1">EntericMethane_PastureBeef_Equations.VEERG_3_2_1_1__3_FeedIntakeForGrazingBeef(H51,H59,J29)</f>
        <v>#N/A</v>
      </c>
      <c r="I67" s="15" t="e" cm="1">
        <f t="array" aca="1" ref="I67" ca="1">EntericMethane_PastureBeef_Equations.VEERG_3_2_1_1__3_FeedIntakeForGrazingBeef(I51,I59,K29)</f>
        <v>#N/A</v>
      </c>
      <c r="J67" s="15" t="e" cm="1">
        <f t="array" aca="1" ref="J67" ca="1">EntericMethane_PastureBeef_Equations.VEERG_3_2_1_1__3_FeedIntakeForGrazingBeef(J51,J59,L29)</f>
        <v>#N/A</v>
      </c>
      <c r="K67" s="15" t="e" cm="1">
        <f t="array" aca="1" ref="K67" ca="1">EntericMethane_PastureBeef_Equations.VEERG_3_2_1_1__3_FeedIntakeForGrazingBeef(K51,K59,M29)</f>
        <v>#N/A</v>
      </c>
      <c r="L67" s="15" t="e" cm="1">
        <f t="array" aca="1" ref="L67" ca="1">EntericMethane_PastureBeef_Equations.VEERG_3_2_1_1__3_FeedIntakeForGrazingBeef(L51,L59,N29)</f>
        <v>#N/A</v>
      </c>
      <c r="M67" s="15" t="e" cm="1">
        <f t="array" aca="1" ref="M67" ca="1">EntericMethane_PastureBeef_Equations.VEERG_3_2_1_1__3_FeedIntakeForGrazingBeef(M51,M59,O29)</f>
        <v>#N/A</v>
      </c>
      <c r="N67" s="15" t="e" cm="1">
        <f t="array" aca="1" ref="N67" ca="1">EntericMethane_PastureBeef_Equations.VEERG_3_2_1_1__3_FeedIntakeForGrazingBeef(N51,N59,P29)</f>
        <v>#N/A</v>
      </c>
      <c r="O67" s="16" t="str">
        <f>$E$39</f>
        <v>kg DM/head/day</v>
      </c>
      <c r="P67" s="16"/>
      <c r="Q67" s="16"/>
      <c r="U67" s="15" t="str">
        <f>TEXT(EDATE(X_Cell_Site_StartDate,7), "mmmm")</f>
        <v>July</v>
      </c>
      <c r="V67" s="15" t="e">
        <f ca="1"/>
        <v>#N/A</v>
      </c>
      <c r="W67" s="15" t="e">
        <f ca="1"/>
        <v>#N/A</v>
      </c>
      <c r="X67" s="15" t="e">
        <f ca="1"/>
        <v>#N/A</v>
      </c>
      <c r="Y67" s="15" t="e">
        <f ca="1"/>
        <v>#N/A</v>
      </c>
      <c r="Z67" s="15" t="e">
        <f ca="1"/>
        <v>#N/A</v>
      </c>
      <c r="AA67" s="15" t="e">
        <f ca="1"/>
        <v>#N/A</v>
      </c>
      <c r="AB67" s="15" t="e">
        <f ca="1"/>
        <v>#N/A</v>
      </c>
      <c r="AC67" s="15" t="e">
        <f ca="1"/>
        <v>#N/A</v>
      </c>
      <c r="AD67" s="15" t="e">
        <f ca="1"/>
        <v>#N/A</v>
      </c>
      <c r="AE67" s="15" t="e">
        <f ca="1"/>
        <v>#N/A</v>
      </c>
      <c r="AF67" s="16" t="s">
        <v>344</v>
      </c>
    </row>
    <row r="68" spans="3:34" ht="20" customHeight="1" x14ac:dyDescent="0.25">
      <c r="U68" s="15" t="str">
        <f>TEXT(EDATE(X_Cell_Site_StartDate,8), "mmmm")</f>
        <v>August</v>
      </c>
      <c r="V68" s="15" t="e">
        <f ca="1"/>
        <v>#N/A</v>
      </c>
      <c r="W68" s="15" t="e">
        <f ca="1"/>
        <v>#N/A</v>
      </c>
      <c r="X68" s="15" t="e">
        <f ca="1"/>
        <v>#N/A</v>
      </c>
      <c r="Y68" s="15" t="e">
        <f ca="1"/>
        <v>#N/A</v>
      </c>
      <c r="Z68" s="15" t="e">
        <f ca="1"/>
        <v>#N/A</v>
      </c>
      <c r="AA68" s="15" t="e">
        <f ca="1"/>
        <v>#N/A</v>
      </c>
      <c r="AB68" s="15" t="e">
        <f ca="1"/>
        <v>#N/A</v>
      </c>
      <c r="AC68" s="15" t="e">
        <f ca="1"/>
        <v>#N/A</v>
      </c>
      <c r="AD68" s="15" t="e">
        <f ca="1"/>
        <v>#N/A</v>
      </c>
      <c r="AE68" s="15" t="e">
        <f ca="1"/>
        <v>#N/A</v>
      </c>
      <c r="AF68" s="16" t="s">
        <v>344</v>
      </c>
      <c r="AG68" s="16"/>
      <c r="AH68" s="16"/>
    </row>
    <row r="69" spans="3:34" ht="20" customHeight="1" x14ac:dyDescent="0.25">
      <c r="U69" s="15" t="str">
        <f>TEXT(EDATE(X_Cell_Site_StartDate,9), "mmmm")</f>
        <v>September</v>
      </c>
      <c r="V69" s="15" t="e">
        <f ca="1"/>
        <v>#N/A</v>
      </c>
      <c r="W69" s="15" t="e">
        <f ca="1"/>
        <v>#N/A</v>
      </c>
      <c r="X69" s="15" t="e">
        <f ca="1"/>
        <v>#N/A</v>
      </c>
      <c r="Y69" s="15" t="e">
        <f ca="1"/>
        <v>#N/A</v>
      </c>
      <c r="Z69" s="15" t="e">
        <f ca="1"/>
        <v>#N/A</v>
      </c>
      <c r="AA69" s="15" t="e">
        <f ca="1"/>
        <v>#N/A</v>
      </c>
      <c r="AB69" s="15" t="e">
        <f ca="1"/>
        <v>#N/A</v>
      </c>
      <c r="AC69" s="15" t="e">
        <f ca="1"/>
        <v>#N/A</v>
      </c>
      <c r="AD69" s="15" t="e">
        <f ca="1"/>
        <v>#N/A</v>
      </c>
      <c r="AE69" s="15" t="e">
        <f ca="1"/>
        <v>#N/A</v>
      </c>
      <c r="AF69" s="16" t="s">
        <v>344</v>
      </c>
      <c r="AG69" s="16"/>
      <c r="AH69" s="16"/>
    </row>
    <row r="70" spans="3:34" ht="20" customHeight="1" x14ac:dyDescent="0.25">
      <c r="C70" s="87"/>
      <c r="D70" s="87"/>
      <c r="E70" s="87"/>
      <c r="F70" s="87"/>
      <c r="G70" s="87"/>
      <c r="H70" s="87"/>
      <c r="I70" s="87"/>
      <c r="J70" s="87"/>
      <c r="K70" s="87"/>
      <c r="L70" s="87"/>
      <c r="M70" s="87"/>
      <c r="N70" s="87"/>
      <c r="O70" s="87"/>
      <c r="P70" s="87"/>
      <c r="Q70" s="87"/>
      <c r="R70" s="87"/>
      <c r="U70" s="15" t="str">
        <f>TEXT(EDATE(X_Cell_Site_StartDate,10), "mmmm")</f>
        <v>October</v>
      </c>
      <c r="V70" s="15" t="e">
        <f ca="1"/>
        <v>#N/A</v>
      </c>
      <c r="W70" s="15" t="e">
        <f ca="1"/>
        <v>#N/A</v>
      </c>
      <c r="X70" s="15" t="e">
        <f ca="1"/>
        <v>#N/A</v>
      </c>
      <c r="Y70" s="15" t="e">
        <f ca="1"/>
        <v>#N/A</v>
      </c>
      <c r="Z70" s="15" t="e">
        <f ca="1"/>
        <v>#N/A</v>
      </c>
      <c r="AA70" s="15" t="e">
        <f ca="1"/>
        <v>#N/A</v>
      </c>
      <c r="AB70" s="15" t="e">
        <f ca="1"/>
        <v>#N/A</v>
      </c>
      <c r="AC70" s="15" t="e">
        <f ca="1"/>
        <v>#N/A</v>
      </c>
      <c r="AD70" s="15" t="e">
        <f ca="1"/>
        <v>#N/A</v>
      </c>
      <c r="AE70" s="15" t="e">
        <f ca="1"/>
        <v>#N/A</v>
      </c>
      <c r="AF70" s="16" t="s">
        <v>344</v>
      </c>
      <c r="AG70" s="16"/>
      <c r="AH70" s="16"/>
    </row>
    <row r="71" spans="3:34" ht="20" customHeight="1" x14ac:dyDescent="0.25">
      <c r="D71" s="2" t="str" cm="1">
        <f t="array" ref="D71">EntericMethane_PastureBeef_Equations.VEERG_3_2_1_1__2_DailyEntericMethaneProduction_Title()</f>
        <v>Daily production of enteric methane</v>
      </c>
      <c r="U71" s="15" t="str">
        <f>TEXT(EDATE(X_Cell_Site_StartDate,11), "mmmm")</f>
        <v>November</v>
      </c>
      <c r="V71" s="15" t="e">
        <f ca="1"/>
        <v>#N/A</v>
      </c>
      <c r="W71" s="15" t="e">
        <f ca="1"/>
        <v>#N/A</v>
      </c>
      <c r="X71" s="15" t="e">
        <f ca="1"/>
        <v>#N/A</v>
      </c>
      <c r="Y71" s="15" t="e">
        <f ca="1"/>
        <v>#N/A</v>
      </c>
      <c r="Z71" s="15" t="e">
        <f ca="1"/>
        <v>#N/A</v>
      </c>
      <c r="AA71" s="15" t="e">
        <f ca="1"/>
        <v>#N/A</v>
      </c>
      <c r="AB71" s="15" t="e">
        <f ca="1"/>
        <v>#N/A</v>
      </c>
      <c r="AC71" s="15" t="e">
        <f ca="1"/>
        <v>#N/A</v>
      </c>
      <c r="AD71" s="15" t="e">
        <f ca="1"/>
        <v>#N/A</v>
      </c>
      <c r="AE71" s="15" t="e">
        <f ca="1"/>
        <v>#N/A</v>
      </c>
      <c r="AF71" s="16" t="s">
        <v>344</v>
      </c>
      <c r="AG71" s="16"/>
      <c r="AH71" s="16"/>
    </row>
    <row r="72" spans="3:34" ht="20" customHeight="1" x14ac:dyDescent="0.25">
      <c r="D72" s="17" t="str" cm="1">
        <f t="array" ref="D72">EntericMethane_PastureBeef_Equations.VEERG_3_2_1_1__2_DailyEntericMethaneProduction_Source()</f>
        <v>VEERG 2026: 3.2.1.1, Equation (2)</v>
      </c>
      <c r="AG72" s="16"/>
      <c r="AH72" s="16"/>
    </row>
    <row r="73" spans="3:34" ht="20" customHeight="1" x14ac:dyDescent="0.25">
      <c r="D73" s="103" t="s">
        <v>372</v>
      </c>
      <c r="E73" s="103" t="str" cm="1">
        <f t="array" aca="1" ref="E73" ca="1">Common_InputFunctions.Utility_DisplayFunctionName(E85)</f>
        <v>=EntericMethane_PastureBeef_Equations.VEERG_3_2_1_1__2_DailyEntericMethaneProduction</v>
      </c>
      <c r="U73" s="112" t="s">
        <v>397</v>
      </c>
      <c r="AG73" s="16"/>
      <c r="AH73" s="16"/>
    </row>
    <row r="74" spans="3:34" ht="20" customHeight="1" x14ac:dyDescent="0.25">
      <c r="U74" s="113" t="s">
        <v>398</v>
      </c>
      <c r="AG74" s="16"/>
      <c r="AH74" s="16"/>
    </row>
    <row r="75" spans="3:34" ht="20" customHeight="1" x14ac:dyDescent="0.25">
      <c r="U75" s="114" t="s">
        <v>75</v>
      </c>
      <c r="V75" s="114" t="s">
        <v>326</v>
      </c>
      <c r="W75" s="114" t="s">
        <v>184</v>
      </c>
      <c r="X75" s="114" t="s">
        <v>327</v>
      </c>
      <c r="Y75" s="114" t="s">
        <v>328</v>
      </c>
      <c r="Z75" s="114" t="s">
        <v>329</v>
      </c>
      <c r="AA75" s="114" t="s">
        <v>330</v>
      </c>
      <c r="AB75" s="114" t="s">
        <v>331</v>
      </c>
      <c r="AC75" s="114" t="s">
        <v>332</v>
      </c>
      <c r="AD75" s="114" t="s">
        <v>333</v>
      </c>
      <c r="AE75" s="114" t="s">
        <v>334</v>
      </c>
      <c r="AG75" s="16"/>
      <c r="AH75" s="16"/>
    </row>
    <row r="76" spans="3:34" ht="20" customHeight="1" x14ac:dyDescent="0.25">
      <c r="U76" s="15" t="str">
        <f>TEXT(X_Cell_Site_StartDate,"mmmm")</f>
        <v>January</v>
      </c>
      <c r="V76" s="15" t="e" cm="1">
        <f t="array" aca="1" ref="V76" ca="1">EntericMethane_PastureBeef_Equations.VEERG_3_2_1_1__3_FeedIntakeForGrazingBeef(V44,V60,X28)</f>
        <v>#N/A</v>
      </c>
      <c r="W76" s="15" t="e" cm="1">
        <f t="array" aca="1" ref="W76" ca="1">EntericMethane_PastureBeef_Equations.VEERG_3_2_1_1__3_FeedIntakeForGrazingBeef(W44,W60,Y28)</f>
        <v>#N/A</v>
      </c>
      <c r="X76" s="15" t="e" cm="1">
        <f t="array" aca="1" ref="X76" ca="1">EntericMethane_PastureBeef_Equations.VEERG_3_2_1_1__3_FeedIntakeForGrazingBeef(X44,X60,Z28)</f>
        <v>#N/A</v>
      </c>
      <c r="Y76" s="15" t="e" cm="1">
        <f t="array" aca="1" ref="Y76" ca="1">EntericMethane_PastureBeef_Equations.VEERG_3_2_1_1__3_FeedIntakeForGrazingBeef(Y44,Y60,AA28)</f>
        <v>#N/A</v>
      </c>
      <c r="Z76" s="15" t="e" cm="1">
        <f t="array" aca="1" ref="Z76" ca="1">EntericMethane_PastureBeef_Equations.VEERG_3_2_1_1__3_FeedIntakeForGrazingBeef(Z44,Z60,AB28)</f>
        <v>#N/A</v>
      </c>
      <c r="AA76" s="15" t="e" cm="1">
        <f t="array" aca="1" ref="AA76" ca="1">EntericMethane_PastureBeef_Equations.VEERG_3_2_1_1__3_FeedIntakeForGrazingBeef(AA44,AA60,AC28)</f>
        <v>#N/A</v>
      </c>
      <c r="AB76" s="15" t="e" cm="1">
        <f t="array" aca="1" ref="AB76" ca="1">EntericMethane_PastureBeef_Equations.VEERG_3_2_1_1__3_FeedIntakeForGrazingBeef(AB44,AB60,AD28)</f>
        <v>#N/A</v>
      </c>
      <c r="AC76" s="15" t="e" cm="1">
        <f t="array" aca="1" ref="AC76" ca="1">EntericMethane_PastureBeef_Equations.VEERG_3_2_1_1__3_FeedIntakeForGrazingBeef(AC44,AC60,AE28)</f>
        <v>#N/A</v>
      </c>
      <c r="AD76" s="15" t="e" cm="1">
        <f t="array" aca="1" ref="AD76" ca="1">EntericMethane_PastureBeef_Equations.VEERG_3_2_1_1__3_FeedIntakeForGrazingBeef(AD44,AD60,AF28)</f>
        <v>#N/A</v>
      </c>
      <c r="AE76" s="15" t="e" cm="1">
        <f t="array" aca="1" ref="AE76" ca="1">EntericMethane_PastureBeef_Equations.VEERG_3_2_1_1__3_FeedIntakeForGrazingBeef(AE44,AE60,AG28)</f>
        <v>#N/A</v>
      </c>
      <c r="AF76" s="16" t="str">
        <f t="shared" ref="AF76:AF87" si="2">$E$39</f>
        <v>kg DM/head/day</v>
      </c>
      <c r="AG76" s="16"/>
      <c r="AH76" s="16"/>
    </row>
    <row r="77" spans="3:34" ht="20" customHeight="1" x14ac:dyDescent="0.25">
      <c r="D77" s="77" t="s">
        <v>374</v>
      </c>
      <c r="E77" s="1" t="str" cm="1">
        <f t="array" ref="E77">EntericMethane_PastureBeef_Equations.VEERG_3_2_1_1__2_DailyEntericMethaneProduction_Variable()</f>
        <v>M_jkl</v>
      </c>
      <c r="U77" s="15" t="str">
        <f>TEXT(EDATE(X_Cell_Site_StartDate,1), "mmmm")</f>
        <v>January</v>
      </c>
      <c r="V77" s="15" t="e" cm="1">
        <f t="array" aca="1" ref="V77" ca="1">EntericMethane_PastureBeef_Equations.VEERG_3_2_1_1__3_FeedIntakeForGrazingBeef(V45,V61,X29)</f>
        <v>#N/A</v>
      </c>
      <c r="W77" s="15" t="e" cm="1">
        <f t="array" aca="1" ref="W77" ca="1">EntericMethane_PastureBeef_Equations.VEERG_3_2_1_1__3_FeedIntakeForGrazingBeef(W45,W61,Y29)</f>
        <v>#N/A</v>
      </c>
      <c r="X77" s="15" t="e" cm="1">
        <f t="array" aca="1" ref="X77" ca="1">EntericMethane_PastureBeef_Equations.VEERG_3_2_1_1__3_FeedIntakeForGrazingBeef(X45,X61,Z29)</f>
        <v>#N/A</v>
      </c>
      <c r="Y77" s="15" t="e" cm="1">
        <f t="array" aca="1" ref="Y77" ca="1">EntericMethane_PastureBeef_Equations.VEERG_3_2_1_1__3_FeedIntakeForGrazingBeef(Y45,Y61,AA29)</f>
        <v>#N/A</v>
      </c>
      <c r="Z77" s="15" t="e" cm="1">
        <f t="array" aca="1" ref="Z77" ca="1">EntericMethane_PastureBeef_Equations.VEERG_3_2_1_1__3_FeedIntakeForGrazingBeef(Z45,Z61,AB29)</f>
        <v>#N/A</v>
      </c>
      <c r="AA77" s="15" t="e" cm="1">
        <f t="array" aca="1" ref="AA77" ca="1">EntericMethane_PastureBeef_Equations.VEERG_3_2_1_1__3_FeedIntakeForGrazingBeef(AA45,AA61,AC29)</f>
        <v>#N/A</v>
      </c>
      <c r="AB77" s="15" t="e" cm="1">
        <f t="array" aca="1" ref="AB77" ca="1">EntericMethane_PastureBeef_Equations.VEERG_3_2_1_1__3_FeedIntakeForGrazingBeef(AB45,AB61,AD29)</f>
        <v>#N/A</v>
      </c>
      <c r="AC77" s="15" t="e" cm="1">
        <f t="array" aca="1" ref="AC77" ca="1">EntericMethane_PastureBeef_Equations.VEERG_3_2_1_1__3_FeedIntakeForGrazingBeef(AC45,AC61,AE29)</f>
        <v>#N/A</v>
      </c>
      <c r="AD77" s="15" t="e" cm="1">
        <f t="array" aca="1" ref="AD77" ca="1">EntericMethane_PastureBeef_Equations.VEERG_3_2_1_1__3_FeedIntakeForGrazingBeef(AD45,AD61,AF29)</f>
        <v>#N/A</v>
      </c>
      <c r="AE77" s="15" t="e" cm="1">
        <f t="array" aca="1" ref="AE77" ca="1">EntericMethane_PastureBeef_Equations.VEERG_3_2_1_1__3_FeedIntakeForGrazingBeef(AE45,AE61,AG29)</f>
        <v>#N/A</v>
      </c>
      <c r="AF77" s="16" t="str">
        <f t="shared" si="2"/>
        <v>kg DM/head/day</v>
      </c>
      <c r="AG77" s="16"/>
      <c r="AH77" s="16"/>
    </row>
    <row r="78" spans="3:34" ht="20" customHeight="1" x14ac:dyDescent="0.25">
      <c r="D78" s="77" t="s">
        <v>121</v>
      </c>
      <c r="E78" s="9" t="str" cm="1">
        <f t="array" ref="E78">EntericMethane_PastureBeef_Equations.VEERG_3_2_1_1__2_DailyEntericMethaneProduction_Unit()</f>
        <v>kg CH4/head/day</v>
      </c>
      <c r="U78" s="15" t="str">
        <f>TEXT(EDATE(X_Cell_Site_StartDate,2), "mmmm")</f>
        <v>February</v>
      </c>
      <c r="V78" s="15" t="e" cm="1">
        <f t="array" aca="1" ref="V78" ca="1">EntericMethane_PastureBeef_Equations.VEERG_3_2_1_1__3_FeedIntakeForGrazingBeef(V46,V62,X30)</f>
        <v>#N/A</v>
      </c>
      <c r="W78" s="15" t="e" cm="1">
        <f t="array" aca="1" ref="W78" ca="1">EntericMethane_PastureBeef_Equations.VEERG_3_2_1_1__3_FeedIntakeForGrazingBeef(W46,W62,Y30)</f>
        <v>#N/A</v>
      </c>
      <c r="X78" s="15" t="e" cm="1">
        <f t="array" aca="1" ref="X78" ca="1">EntericMethane_PastureBeef_Equations.VEERG_3_2_1_1__3_FeedIntakeForGrazingBeef(X46,X62,Z30)</f>
        <v>#N/A</v>
      </c>
      <c r="Y78" s="15" t="e" cm="1">
        <f t="array" aca="1" ref="Y78" ca="1">EntericMethane_PastureBeef_Equations.VEERG_3_2_1_1__3_FeedIntakeForGrazingBeef(Y46,Y62,AA30)</f>
        <v>#N/A</v>
      </c>
      <c r="Z78" s="15" t="e" cm="1">
        <f t="array" aca="1" ref="Z78" ca="1">EntericMethane_PastureBeef_Equations.VEERG_3_2_1_1__3_FeedIntakeForGrazingBeef(Z46,Z62,AB30)</f>
        <v>#N/A</v>
      </c>
      <c r="AA78" s="15" t="e" cm="1">
        <f t="array" aca="1" ref="AA78" ca="1">EntericMethane_PastureBeef_Equations.VEERG_3_2_1_1__3_FeedIntakeForGrazingBeef(AA46,AA62,AC30)</f>
        <v>#N/A</v>
      </c>
      <c r="AB78" s="15" t="e" cm="1">
        <f t="array" aca="1" ref="AB78" ca="1">EntericMethane_PastureBeef_Equations.VEERG_3_2_1_1__3_FeedIntakeForGrazingBeef(AB46,AB62,AD30)</f>
        <v>#N/A</v>
      </c>
      <c r="AC78" s="15" t="e" cm="1">
        <f t="array" aca="1" ref="AC78" ca="1">EntericMethane_PastureBeef_Equations.VEERG_3_2_1_1__3_FeedIntakeForGrazingBeef(AC46,AC62,AE30)</f>
        <v>#N/A</v>
      </c>
      <c r="AD78" s="15" t="e" cm="1">
        <f t="array" aca="1" ref="AD78" ca="1">EntericMethane_PastureBeef_Equations.VEERG_3_2_1_1__3_FeedIntakeForGrazingBeef(AD46,AD62,AF30)</f>
        <v>#N/A</v>
      </c>
      <c r="AE78" s="15" t="e" cm="1">
        <f t="array" aca="1" ref="AE78" ca="1">EntericMethane_PastureBeef_Equations.VEERG_3_2_1_1__3_FeedIntakeForGrazingBeef(AE46,AE62,AG30)</f>
        <v>#N/A</v>
      </c>
      <c r="AF78" s="16" t="str">
        <f t="shared" si="2"/>
        <v>kg DM/head/day</v>
      </c>
      <c r="AG78" s="16"/>
      <c r="AH78" s="16"/>
    </row>
    <row r="79" spans="3:34" ht="20" customHeight="1" x14ac:dyDescent="0.25">
      <c r="U79" s="15" t="str">
        <f>TEXT(EDATE(X_Cell_Site_StartDate,3), "mmmm")</f>
        <v>March</v>
      </c>
      <c r="V79" s="15" t="e" cm="1">
        <f t="array" aca="1" ref="V79" ca="1">EntericMethane_PastureBeef_Equations.VEERG_3_2_1_1__3_FeedIntakeForGrazingBeef(V47,V63,X31)</f>
        <v>#N/A</v>
      </c>
      <c r="W79" s="15" t="e" cm="1">
        <f t="array" aca="1" ref="W79" ca="1">EntericMethane_PastureBeef_Equations.VEERG_3_2_1_1__3_FeedIntakeForGrazingBeef(W47,W63,Y31)</f>
        <v>#N/A</v>
      </c>
      <c r="X79" s="15" t="e" cm="1">
        <f t="array" aca="1" ref="X79" ca="1">EntericMethane_PastureBeef_Equations.VEERG_3_2_1_1__3_FeedIntakeForGrazingBeef(X47,X63,Z31)</f>
        <v>#N/A</v>
      </c>
      <c r="Y79" s="15" t="e" cm="1">
        <f t="array" aca="1" ref="Y79" ca="1">EntericMethane_PastureBeef_Equations.VEERG_3_2_1_1__3_FeedIntakeForGrazingBeef(Y47,Y63,AA31)</f>
        <v>#N/A</v>
      </c>
      <c r="Z79" s="15" t="e" cm="1">
        <f t="array" aca="1" ref="Z79" ca="1">EntericMethane_PastureBeef_Equations.VEERG_3_2_1_1__3_FeedIntakeForGrazingBeef(Z47,Z63,AB31)</f>
        <v>#N/A</v>
      </c>
      <c r="AA79" s="15" t="e" cm="1">
        <f t="array" aca="1" ref="AA79" ca="1">EntericMethane_PastureBeef_Equations.VEERG_3_2_1_1__3_FeedIntakeForGrazingBeef(AA47,AA63,AC31)</f>
        <v>#N/A</v>
      </c>
      <c r="AB79" s="15" t="e" cm="1">
        <f t="array" aca="1" ref="AB79" ca="1">EntericMethane_PastureBeef_Equations.VEERG_3_2_1_1__3_FeedIntakeForGrazingBeef(AB47,AB63,AD31)</f>
        <v>#N/A</v>
      </c>
      <c r="AC79" s="15" t="e" cm="1">
        <f t="array" aca="1" ref="AC79" ca="1">EntericMethane_PastureBeef_Equations.VEERG_3_2_1_1__3_FeedIntakeForGrazingBeef(AC47,AC63,AE31)</f>
        <v>#N/A</v>
      </c>
      <c r="AD79" s="15" t="e" cm="1">
        <f t="array" aca="1" ref="AD79" ca="1">EntericMethane_PastureBeef_Equations.VEERG_3_2_1_1__3_FeedIntakeForGrazingBeef(AD47,AD63,AF31)</f>
        <v>#N/A</v>
      </c>
      <c r="AE79" s="15" t="e" cm="1">
        <f t="array" aca="1" ref="AE79" ca="1">EntericMethane_PastureBeef_Equations.VEERG_3_2_1_1__3_FeedIntakeForGrazingBeef(AE47,AE63,AG31)</f>
        <v>#N/A</v>
      </c>
      <c r="AF79" s="16" t="str">
        <f t="shared" si="2"/>
        <v>kg DM/head/day</v>
      </c>
      <c r="AG79" s="16"/>
      <c r="AH79" s="16"/>
    </row>
    <row r="80" spans="3:34" ht="20" customHeight="1" x14ac:dyDescent="0.25">
      <c r="D80" s="105" t="str" cm="1">
        <f t="array" ref="D80:E80">_xlfn.CHOOSECOLS(EntericMethane_PastureBeef_Equations.VEERG_3_2_1_1__2_DailyEntericMethaneProduction_Arguments(), 1, 2)</f>
        <v>I_jkl</v>
      </c>
      <c r="E80" s="106" t="str">
        <v>dry matter intake</v>
      </c>
      <c r="F80" s="108"/>
      <c r="G80" s="105" t="str" cm="1">
        <f t="array" ref="G80:H80">_xlfn.CHOOSECOLS(EntericMethane_PastureBeef_Equations.VEERG_3_2_1_1__2_DailyEntericMethaneProduction_Arguments(), 3,4)</f>
        <v>kg DM/head/day</v>
      </c>
      <c r="H80" s="110" t="str">
        <v>Calculated from 3.2.1.1, (3)</v>
      </c>
      <c r="I80" s="111" t="str" cm="1">
        <f t="array" aca="1" ref="I80" ca="1">HYPERLINK(Common_InputFunctions.Utility_SourceHyperlink($D$61), $D$61)</f>
        <v>M1_Table_I_j_k_l</v>
      </c>
      <c r="U80" s="15" t="str">
        <f>TEXT(EDATE(X_Cell_Site_StartDate,4), "mmmm")</f>
        <v>April</v>
      </c>
      <c r="V80" s="15" t="e" cm="1">
        <f t="array" aca="1" ref="V80" ca="1">EntericMethane_PastureBeef_Equations.VEERG_3_2_1_1__3_FeedIntakeForGrazingBeef(V48,V64,X32)</f>
        <v>#N/A</v>
      </c>
      <c r="W80" s="15" t="e" cm="1">
        <f t="array" aca="1" ref="W80" ca="1">EntericMethane_PastureBeef_Equations.VEERG_3_2_1_1__3_FeedIntakeForGrazingBeef(W48,W64,Y32)</f>
        <v>#N/A</v>
      </c>
      <c r="X80" s="15" t="e" cm="1">
        <f t="array" aca="1" ref="X80" ca="1">EntericMethane_PastureBeef_Equations.VEERG_3_2_1_1__3_FeedIntakeForGrazingBeef(X48,X64,Z32)</f>
        <v>#N/A</v>
      </c>
      <c r="Y80" s="15" t="e" cm="1">
        <f t="array" aca="1" ref="Y80" ca="1">EntericMethane_PastureBeef_Equations.VEERG_3_2_1_1__3_FeedIntakeForGrazingBeef(Y48,Y64,AA32)</f>
        <v>#N/A</v>
      </c>
      <c r="Z80" s="15" t="e" cm="1">
        <f t="array" aca="1" ref="Z80" ca="1">EntericMethane_PastureBeef_Equations.VEERG_3_2_1_1__3_FeedIntakeForGrazingBeef(Z48,Z64,AB32)</f>
        <v>#N/A</v>
      </c>
      <c r="AA80" s="15" t="e" cm="1">
        <f t="array" aca="1" ref="AA80" ca="1">EntericMethane_PastureBeef_Equations.VEERG_3_2_1_1__3_FeedIntakeForGrazingBeef(AA48,AA64,AC32)</f>
        <v>#N/A</v>
      </c>
      <c r="AB80" s="15" t="e" cm="1">
        <f t="array" aca="1" ref="AB80" ca="1">EntericMethane_PastureBeef_Equations.VEERG_3_2_1_1__3_FeedIntakeForGrazingBeef(AB48,AB64,AD32)</f>
        <v>#N/A</v>
      </c>
      <c r="AC80" s="15" t="e" cm="1">
        <f t="array" aca="1" ref="AC80" ca="1">EntericMethane_PastureBeef_Equations.VEERG_3_2_1_1__3_FeedIntakeForGrazingBeef(AC48,AC64,AE32)</f>
        <v>#N/A</v>
      </c>
      <c r="AD80" s="15" t="e" cm="1">
        <f t="array" aca="1" ref="AD80" ca="1">EntericMethane_PastureBeef_Equations.VEERG_3_2_1_1__3_FeedIntakeForGrazingBeef(AD48,AD64,AF32)</f>
        <v>#N/A</v>
      </c>
      <c r="AE80" s="15" t="e" cm="1">
        <f t="array" aca="1" ref="AE80" ca="1">EntericMethane_PastureBeef_Equations.VEERG_3_2_1_1__3_FeedIntakeForGrazingBeef(AE48,AE64,AG32)</f>
        <v>#N/A</v>
      </c>
      <c r="AF80" s="16" t="str">
        <f t="shared" si="2"/>
        <v>kg DM/head/day</v>
      </c>
    </row>
    <row r="81" spans="3:35" ht="20" customHeight="1" x14ac:dyDescent="0.25">
      <c r="U81" s="15" t="str">
        <f>TEXT(EDATE(X_Cell_Site_StartDate,5), "mmmm")</f>
        <v>May</v>
      </c>
      <c r="V81" s="15" t="e" cm="1">
        <f t="array" aca="1" ref="V81" ca="1">EntericMethane_PastureBeef_Equations.VEERG_3_2_1_1__3_FeedIntakeForGrazingBeef(V49,V65,X33)</f>
        <v>#N/A</v>
      </c>
      <c r="W81" s="15" t="e" cm="1">
        <f t="array" aca="1" ref="W81" ca="1">EntericMethane_PastureBeef_Equations.VEERG_3_2_1_1__3_FeedIntakeForGrazingBeef(W49,W65,Y33)</f>
        <v>#N/A</v>
      </c>
      <c r="X81" s="15" t="e" cm="1">
        <f t="array" aca="1" ref="X81" ca="1">EntericMethane_PastureBeef_Equations.VEERG_3_2_1_1__3_FeedIntakeForGrazingBeef(X49,X65,Z33)</f>
        <v>#N/A</v>
      </c>
      <c r="Y81" s="15" t="e" cm="1">
        <f t="array" aca="1" ref="Y81" ca="1">EntericMethane_PastureBeef_Equations.VEERG_3_2_1_1__3_FeedIntakeForGrazingBeef(Y49,Y65,AA33)</f>
        <v>#N/A</v>
      </c>
      <c r="Z81" s="15" t="e" cm="1">
        <f t="array" aca="1" ref="Z81" ca="1">EntericMethane_PastureBeef_Equations.VEERG_3_2_1_1__3_FeedIntakeForGrazingBeef(Z49,Z65,AB33)</f>
        <v>#N/A</v>
      </c>
      <c r="AA81" s="15" t="e" cm="1">
        <f t="array" aca="1" ref="AA81" ca="1">EntericMethane_PastureBeef_Equations.VEERG_3_2_1_1__3_FeedIntakeForGrazingBeef(AA49,AA65,AC33)</f>
        <v>#N/A</v>
      </c>
      <c r="AB81" s="15" t="e" cm="1">
        <f t="array" aca="1" ref="AB81" ca="1">EntericMethane_PastureBeef_Equations.VEERG_3_2_1_1__3_FeedIntakeForGrazingBeef(AB49,AB65,AD33)</f>
        <v>#N/A</v>
      </c>
      <c r="AC81" s="15" t="e" cm="1">
        <f t="array" aca="1" ref="AC81" ca="1">EntericMethane_PastureBeef_Equations.VEERG_3_2_1_1__3_FeedIntakeForGrazingBeef(AC49,AC65,AE33)</f>
        <v>#N/A</v>
      </c>
      <c r="AD81" s="15" t="e" cm="1">
        <f t="array" aca="1" ref="AD81" ca="1">EntericMethane_PastureBeef_Equations.VEERG_3_2_1_1__3_FeedIntakeForGrazingBeef(AD49,AD65,AF33)</f>
        <v>#N/A</v>
      </c>
      <c r="AE81" s="15" t="e" cm="1">
        <f t="array" aca="1" ref="AE81" ca="1">EntericMethane_PastureBeef_Equations.VEERG_3_2_1_1__3_FeedIntakeForGrazingBeef(AE49,AE65,AG33)</f>
        <v>#N/A</v>
      </c>
      <c r="AF81" s="16" t="str">
        <f t="shared" si="2"/>
        <v>kg DM/head/day</v>
      </c>
    </row>
    <row r="82" spans="3:35" ht="20" customHeight="1" x14ac:dyDescent="0.25">
      <c r="D82" s="112" t="s">
        <v>571</v>
      </c>
      <c r="U82" s="15" t="str">
        <f>TEXT(EDATE(X_Cell_Site_StartDate,6), "mmmm")</f>
        <v>June</v>
      </c>
      <c r="V82" s="15" t="e" cm="1">
        <f t="array" aca="1" ref="V82" ca="1">EntericMethane_PastureBeef_Equations.VEERG_3_2_1_1__3_FeedIntakeForGrazingBeef(V50,V66,X34)</f>
        <v>#N/A</v>
      </c>
      <c r="W82" s="15" t="e" cm="1">
        <f t="array" aca="1" ref="W82" ca="1">EntericMethane_PastureBeef_Equations.VEERG_3_2_1_1__3_FeedIntakeForGrazingBeef(W50,W66,Y34)</f>
        <v>#N/A</v>
      </c>
      <c r="X82" s="15" t="e" cm="1">
        <f t="array" aca="1" ref="X82" ca="1">EntericMethane_PastureBeef_Equations.VEERG_3_2_1_1__3_FeedIntakeForGrazingBeef(X50,X66,Z34)</f>
        <v>#N/A</v>
      </c>
      <c r="Y82" s="15" t="e" cm="1">
        <f t="array" aca="1" ref="Y82" ca="1">EntericMethane_PastureBeef_Equations.VEERG_3_2_1_1__3_FeedIntakeForGrazingBeef(Y50,Y66,AA34)</f>
        <v>#N/A</v>
      </c>
      <c r="Z82" s="15" t="e" cm="1">
        <f t="array" aca="1" ref="Z82" ca="1">EntericMethane_PastureBeef_Equations.VEERG_3_2_1_1__3_FeedIntakeForGrazingBeef(Z50,Z66,AB34)</f>
        <v>#N/A</v>
      </c>
      <c r="AA82" s="15" t="e" cm="1">
        <f t="array" aca="1" ref="AA82" ca="1">EntericMethane_PastureBeef_Equations.VEERG_3_2_1_1__3_FeedIntakeForGrazingBeef(AA50,AA66,AC34)</f>
        <v>#N/A</v>
      </c>
      <c r="AB82" s="15" t="e" cm="1">
        <f t="array" aca="1" ref="AB82" ca="1">EntericMethane_PastureBeef_Equations.VEERG_3_2_1_1__3_FeedIntakeForGrazingBeef(AB50,AB66,AD34)</f>
        <v>#N/A</v>
      </c>
      <c r="AC82" s="15" t="e" cm="1">
        <f t="array" aca="1" ref="AC82" ca="1">EntericMethane_PastureBeef_Equations.VEERG_3_2_1_1__3_FeedIntakeForGrazingBeef(AC50,AC66,AE34)</f>
        <v>#N/A</v>
      </c>
      <c r="AD82" s="15" t="e" cm="1">
        <f t="array" aca="1" ref="AD82" ca="1">EntericMethane_PastureBeef_Equations.VEERG_3_2_1_1__3_FeedIntakeForGrazingBeef(AD50,AD66,AF34)</f>
        <v>#N/A</v>
      </c>
      <c r="AE82" s="15" t="e" cm="1">
        <f t="array" aca="1" ref="AE82" ca="1">EntericMethane_PastureBeef_Equations.VEERG_3_2_1_1__3_FeedIntakeForGrazingBeef(AE50,AE66,AG34)</f>
        <v>#N/A</v>
      </c>
      <c r="AF82" s="16" t="str">
        <f t="shared" si="2"/>
        <v>kg DM/head/day</v>
      </c>
    </row>
    <row r="83" spans="3:35" ht="20" customHeight="1" x14ac:dyDescent="0.25">
      <c r="D83" s="113" t="s">
        <v>572</v>
      </c>
      <c r="U83" s="15" t="str">
        <f>TEXT(EDATE(X_Cell_Site_StartDate,7), "mmmm")</f>
        <v>July</v>
      </c>
      <c r="V83" s="15" t="e" cm="1">
        <f t="array" aca="1" ref="V83" ca="1">EntericMethane_PastureBeef_Equations.VEERG_3_2_1_1__3_FeedIntakeForGrazingBeef(V51,V67,X35)</f>
        <v>#N/A</v>
      </c>
      <c r="W83" s="15" t="e" cm="1">
        <f t="array" aca="1" ref="W83" ca="1">EntericMethane_PastureBeef_Equations.VEERG_3_2_1_1__3_FeedIntakeForGrazingBeef(W51,W67,Y35)</f>
        <v>#N/A</v>
      </c>
      <c r="X83" s="15" t="e" cm="1">
        <f t="array" aca="1" ref="X83" ca="1">EntericMethane_PastureBeef_Equations.VEERG_3_2_1_1__3_FeedIntakeForGrazingBeef(X51,X67,Z35)</f>
        <v>#N/A</v>
      </c>
      <c r="Y83" s="15" t="e" cm="1">
        <f t="array" aca="1" ref="Y83" ca="1">EntericMethane_PastureBeef_Equations.VEERG_3_2_1_1__3_FeedIntakeForGrazingBeef(Y51,Y67,AA35)</f>
        <v>#N/A</v>
      </c>
      <c r="Z83" s="15" t="e" cm="1">
        <f t="array" aca="1" ref="Z83" ca="1">EntericMethane_PastureBeef_Equations.VEERG_3_2_1_1__3_FeedIntakeForGrazingBeef(Z51,Z67,AB35)</f>
        <v>#N/A</v>
      </c>
      <c r="AA83" s="15" t="e" cm="1">
        <f t="array" aca="1" ref="AA83" ca="1">EntericMethane_PastureBeef_Equations.VEERG_3_2_1_1__3_FeedIntakeForGrazingBeef(AA51,AA67,AC35)</f>
        <v>#N/A</v>
      </c>
      <c r="AB83" s="15" t="e" cm="1">
        <f t="array" aca="1" ref="AB83" ca="1">EntericMethane_PastureBeef_Equations.VEERG_3_2_1_1__3_FeedIntakeForGrazingBeef(AB51,AB67,AD35)</f>
        <v>#N/A</v>
      </c>
      <c r="AC83" s="15" t="e" cm="1">
        <f t="array" aca="1" ref="AC83" ca="1">EntericMethane_PastureBeef_Equations.VEERG_3_2_1_1__3_FeedIntakeForGrazingBeef(AC51,AC67,AE35)</f>
        <v>#N/A</v>
      </c>
      <c r="AD83" s="15" t="e" cm="1">
        <f t="array" aca="1" ref="AD83" ca="1">EntericMethane_PastureBeef_Equations.VEERG_3_2_1_1__3_FeedIntakeForGrazingBeef(AD51,AD67,AF35)</f>
        <v>#N/A</v>
      </c>
      <c r="AE83" s="15" t="e" cm="1">
        <f t="array" aca="1" ref="AE83" ca="1">EntericMethane_PastureBeef_Equations.VEERG_3_2_1_1__3_FeedIntakeForGrazingBeef(AE51,AE67,AG35)</f>
        <v>#N/A</v>
      </c>
      <c r="AF83" s="16" t="str">
        <f t="shared" si="2"/>
        <v>kg DM/head/day</v>
      </c>
    </row>
    <row r="84" spans="3:35" ht="20" customHeight="1" x14ac:dyDescent="0.25">
      <c r="D84" s="114" t="s">
        <v>76</v>
      </c>
      <c r="E84" s="114" t="s">
        <v>326</v>
      </c>
      <c r="F84" s="114" t="s">
        <v>184</v>
      </c>
      <c r="G84" s="114" t="s">
        <v>327</v>
      </c>
      <c r="H84" s="114" t="s">
        <v>328</v>
      </c>
      <c r="I84" s="114" t="s">
        <v>329</v>
      </c>
      <c r="J84" s="114" t="s">
        <v>330</v>
      </c>
      <c r="K84" s="114" t="s">
        <v>331</v>
      </c>
      <c r="L84" s="114" t="s">
        <v>332</v>
      </c>
      <c r="M84" s="114" t="s">
        <v>333</v>
      </c>
      <c r="N84" s="114" t="s">
        <v>334</v>
      </c>
      <c r="U84" s="15" t="str">
        <f>TEXT(EDATE(X_Cell_Site_StartDate,8), "mmmm")</f>
        <v>August</v>
      </c>
      <c r="V84" s="15" t="e" cm="1">
        <f t="array" aca="1" ref="V84" ca="1">EntericMethane_PastureBeef_Equations.VEERG_3_2_1_1__3_FeedIntakeForGrazingBeef(V52,V68,X36)</f>
        <v>#N/A</v>
      </c>
      <c r="W84" s="15" t="e" cm="1">
        <f t="array" aca="1" ref="W84" ca="1">EntericMethane_PastureBeef_Equations.VEERG_3_2_1_1__3_FeedIntakeForGrazingBeef(W52,W68,Y36)</f>
        <v>#N/A</v>
      </c>
      <c r="X84" s="15" t="e" cm="1">
        <f t="array" aca="1" ref="X84" ca="1">EntericMethane_PastureBeef_Equations.VEERG_3_2_1_1__3_FeedIntakeForGrazingBeef(X52,X68,Z36)</f>
        <v>#N/A</v>
      </c>
      <c r="Y84" s="15" t="e" cm="1">
        <f t="array" aca="1" ref="Y84" ca="1">EntericMethane_PastureBeef_Equations.VEERG_3_2_1_1__3_FeedIntakeForGrazingBeef(Y52,Y68,AA36)</f>
        <v>#N/A</v>
      </c>
      <c r="Z84" s="15" t="e" cm="1">
        <f t="array" aca="1" ref="Z84" ca="1">EntericMethane_PastureBeef_Equations.VEERG_3_2_1_1__3_FeedIntakeForGrazingBeef(Z52,Z68,AB36)</f>
        <v>#N/A</v>
      </c>
      <c r="AA84" s="15" t="e" cm="1">
        <f t="array" aca="1" ref="AA84" ca="1">EntericMethane_PastureBeef_Equations.VEERG_3_2_1_1__3_FeedIntakeForGrazingBeef(AA52,AA68,AC36)</f>
        <v>#N/A</v>
      </c>
      <c r="AB84" s="15" t="e" cm="1">
        <f t="array" aca="1" ref="AB84" ca="1">EntericMethane_PastureBeef_Equations.VEERG_3_2_1_1__3_FeedIntakeForGrazingBeef(AB52,AB68,AD36)</f>
        <v>#N/A</v>
      </c>
      <c r="AC84" s="15" t="e" cm="1">
        <f t="array" aca="1" ref="AC84" ca="1">EntericMethane_PastureBeef_Equations.VEERG_3_2_1_1__3_FeedIntakeForGrazingBeef(AC52,AC68,AE36)</f>
        <v>#N/A</v>
      </c>
      <c r="AD84" s="15" t="e" cm="1">
        <f t="array" aca="1" ref="AD84" ca="1">EntericMethane_PastureBeef_Equations.VEERG_3_2_1_1__3_FeedIntakeForGrazingBeef(AD52,AD68,AF36)</f>
        <v>#N/A</v>
      </c>
      <c r="AE84" s="15" t="e" cm="1">
        <f t="array" aca="1" ref="AE84" ca="1">EntericMethane_PastureBeef_Equations.VEERG_3_2_1_1__3_FeedIntakeForGrazingBeef(AE52,AE68,AG36)</f>
        <v>#N/A</v>
      </c>
      <c r="AF84" s="16" t="str">
        <f t="shared" si="2"/>
        <v>kg DM/head/day</v>
      </c>
      <c r="AG84" s="16"/>
      <c r="AH84" s="16"/>
    </row>
    <row r="85" spans="3:35" ht="20" customHeight="1" x14ac:dyDescent="0.25">
      <c r="D85" s="15" t="s">
        <v>335</v>
      </c>
      <c r="E85" s="15" t="e" cm="1">
        <f t="array" aca="1" ref="E85" ca="1">EntericMethane_PastureBeef_Equations.VEERG_3_2_1_1__2_DailyEntericMethaneProduction(E64)</f>
        <v>#N/A</v>
      </c>
      <c r="F85" s="15" t="e" cm="1">
        <f t="array" aca="1" ref="F85" ca="1">EntericMethane_PastureBeef_Equations.VEERG_3_2_1_1__2_DailyEntericMethaneProduction(F64)</f>
        <v>#N/A</v>
      </c>
      <c r="G85" s="15" t="e" cm="1">
        <f t="array" aca="1" ref="G85" ca="1">EntericMethane_PastureBeef_Equations.VEERG_3_2_1_1__2_DailyEntericMethaneProduction(G64)</f>
        <v>#N/A</v>
      </c>
      <c r="H85" s="15" t="e" cm="1">
        <f t="array" aca="1" ref="H85" ca="1">EntericMethane_PastureBeef_Equations.VEERG_3_2_1_1__2_DailyEntericMethaneProduction(H64)</f>
        <v>#N/A</v>
      </c>
      <c r="I85" s="15" t="e" cm="1">
        <f t="array" aca="1" ref="I85" ca="1">EntericMethane_PastureBeef_Equations.VEERG_3_2_1_1__2_DailyEntericMethaneProduction(I64)</f>
        <v>#N/A</v>
      </c>
      <c r="J85" s="15" t="e" cm="1">
        <f t="array" aca="1" ref="J85" ca="1">EntericMethane_PastureBeef_Equations.VEERG_3_2_1_1__2_DailyEntericMethaneProduction(J64)</f>
        <v>#N/A</v>
      </c>
      <c r="K85" s="15" t="e" cm="1">
        <f t="array" aca="1" ref="K85" ca="1">EntericMethane_PastureBeef_Equations.VEERG_3_2_1_1__2_DailyEntericMethaneProduction(K64)</f>
        <v>#N/A</v>
      </c>
      <c r="L85" s="15" t="e" cm="1">
        <f t="array" aca="1" ref="L85" ca="1">EntericMethane_PastureBeef_Equations.VEERG_3_2_1_1__2_DailyEntericMethaneProduction(L64)</f>
        <v>#N/A</v>
      </c>
      <c r="M85" s="15" t="e" cm="1">
        <f t="array" aca="1" ref="M85" ca="1">EntericMethane_PastureBeef_Equations.VEERG_3_2_1_1__2_DailyEntericMethaneProduction(M64)</f>
        <v>#N/A</v>
      </c>
      <c r="N85" s="15" t="e" cm="1">
        <f t="array" aca="1" ref="N85" ca="1">EntericMethane_PastureBeef_Equations.VEERG_3_2_1_1__2_DailyEntericMethaneProduction(N64)</f>
        <v>#N/A</v>
      </c>
      <c r="O85" s="16" t="str">
        <f>G80</f>
        <v>kg DM/head/day</v>
      </c>
      <c r="P85" s="16"/>
      <c r="Q85" s="16"/>
      <c r="U85" s="15" t="str">
        <f>TEXT(EDATE(X_Cell_Site_StartDate,9), "mmmm")</f>
        <v>September</v>
      </c>
      <c r="V85" s="15" t="e" cm="1">
        <f t="array" aca="1" ref="V85" ca="1">EntericMethane_PastureBeef_Equations.VEERG_3_2_1_1__3_FeedIntakeForGrazingBeef(V53,V69,X37)</f>
        <v>#N/A</v>
      </c>
      <c r="W85" s="15" t="e" cm="1">
        <f t="array" aca="1" ref="W85" ca="1">EntericMethane_PastureBeef_Equations.VEERG_3_2_1_1__3_FeedIntakeForGrazingBeef(W53,W69,Y37)</f>
        <v>#N/A</v>
      </c>
      <c r="X85" s="15" t="e" cm="1">
        <f t="array" aca="1" ref="X85" ca="1">EntericMethane_PastureBeef_Equations.VEERG_3_2_1_1__3_FeedIntakeForGrazingBeef(X53,X69,Z37)</f>
        <v>#N/A</v>
      </c>
      <c r="Y85" s="15" t="e" cm="1">
        <f t="array" aca="1" ref="Y85" ca="1">EntericMethane_PastureBeef_Equations.VEERG_3_2_1_1__3_FeedIntakeForGrazingBeef(Y53,Y69,AA37)</f>
        <v>#N/A</v>
      </c>
      <c r="Z85" s="15" t="e" cm="1">
        <f t="array" aca="1" ref="Z85" ca="1">EntericMethane_PastureBeef_Equations.VEERG_3_2_1_1__3_FeedIntakeForGrazingBeef(Z53,Z69,AB37)</f>
        <v>#N/A</v>
      </c>
      <c r="AA85" s="15" t="e" cm="1">
        <f t="array" aca="1" ref="AA85" ca="1">EntericMethane_PastureBeef_Equations.VEERG_3_2_1_1__3_FeedIntakeForGrazingBeef(AA53,AA69,AC37)</f>
        <v>#N/A</v>
      </c>
      <c r="AB85" s="15" t="e" cm="1">
        <f t="array" aca="1" ref="AB85" ca="1">EntericMethane_PastureBeef_Equations.VEERG_3_2_1_1__3_FeedIntakeForGrazingBeef(AB53,AB69,AD37)</f>
        <v>#N/A</v>
      </c>
      <c r="AC85" s="15" t="e" cm="1">
        <f t="array" aca="1" ref="AC85" ca="1">EntericMethane_PastureBeef_Equations.VEERG_3_2_1_1__3_FeedIntakeForGrazingBeef(AC53,AC69,AE37)</f>
        <v>#N/A</v>
      </c>
      <c r="AD85" s="15" t="e" cm="1">
        <f t="array" aca="1" ref="AD85" ca="1">EntericMethane_PastureBeef_Equations.VEERG_3_2_1_1__3_FeedIntakeForGrazingBeef(AD53,AD69,AF37)</f>
        <v>#N/A</v>
      </c>
      <c r="AE85" s="15" t="e" cm="1">
        <f t="array" aca="1" ref="AE85" ca="1">EntericMethane_PastureBeef_Equations.VEERG_3_2_1_1__3_FeedIntakeForGrazingBeef(AE53,AE69,AG37)</f>
        <v>#N/A</v>
      </c>
      <c r="AF85" s="16" t="str">
        <f t="shared" si="2"/>
        <v>kg DM/head/day</v>
      </c>
      <c r="AG85" s="16"/>
      <c r="AH85" s="16"/>
    </row>
    <row r="86" spans="3:35" ht="20" customHeight="1" x14ac:dyDescent="0.25">
      <c r="D86" s="15" t="s">
        <v>336</v>
      </c>
      <c r="E86" s="15" t="e" cm="1">
        <f t="array" aca="1" ref="E86" ca="1">EntericMethane_PastureBeef_Equations.VEERG_3_2_1_1__2_DailyEntericMethaneProduction(E65)</f>
        <v>#N/A</v>
      </c>
      <c r="F86" s="15" t="e" cm="1">
        <f t="array" aca="1" ref="F86" ca="1">EntericMethane_PastureBeef_Equations.VEERG_3_2_1_1__2_DailyEntericMethaneProduction(F65)</f>
        <v>#N/A</v>
      </c>
      <c r="G86" s="15" t="e" cm="1">
        <f t="array" aca="1" ref="G86" ca="1">EntericMethane_PastureBeef_Equations.VEERG_3_2_1_1__2_DailyEntericMethaneProduction(G65)</f>
        <v>#N/A</v>
      </c>
      <c r="H86" s="15" t="e" cm="1">
        <f t="array" aca="1" ref="H86" ca="1">EntericMethane_PastureBeef_Equations.VEERG_3_2_1_1__2_DailyEntericMethaneProduction(H65)</f>
        <v>#N/A</v>
      </c>
      <c r="I86" s="15" t="e" cm="1">
        <f t="array" aca="1" ref="I86" ca="1">EntericMethane_PastureBeef_Equations.VEERG_3_2_1_1__2_DailyEntericMethaneProduction(I65)</f>
        <v>#N/A</v>
      </c>
      <c r="J86" s="15" t="e" cm="1">
        <f t="array" aca="1" ref="J86" ca="1">EntericMethane_PastureBeef_Equations.VEERG_3_2_1_1__2_DailyEntericMethaneProduction(J65)</f>
        <v>#N/A</v>
      </c>
      <c r="K86" s="15" t="e" cm="1">
        <f t="array" aca="1" ref="K86" ca="1">EntericMethane_PastureBeef_Equations.VEERG_3_2_1_1__2_DailyEntericMethaneProduction(K65)</f>
        <v>#N/A</v>
      </c>
      <c r="L86" s="15" t="e" cm="1">
        <f t="array" aca="1" ref="L86" ca="1">EntericMethane_PastureBeef_Equations.VEERG_3_2_1_1__2_DailyEntericMethaneProduction(L65)</f>
        <v>#N/A</v>
      </c>
      <c r="M86" s="15" t="e" cm="1">
        <f t="array" aca="1" ref="M86" ca="1">EntericMethane_PastureBeef_Equations.VEERG_3_2_1_1__2_DailyEntericMethaneProduction(M65)</f>
        <v>#N/A</v>
      </c>
      <c r="N86" s="15" t="e" cm="1">
        <f t="array" aca="1" ref="N86" ca="1">EntericMethane_PastureBeef_Equations.VEERG_3_2_1_1__2_DailyEntericMethaneProduction(N65)</f>
        <v>#N/A</v>
      </c>
      <c r="O86" s="16"/>
      <c r="P86" s="16"/>
      <c r="Q86" s="16"/>
      <c r="U86" s="15" t="str">
        <f>TEXT(EDATE(X_Cell_Site_StartDate,10), "mmmm")</f>
        <v>October</v>
      </c>
      <c r="V86" s="15" t="e" cm="1">
        <f t="array" aca="1" ref="V86" ca="1">EntericMethane_PastureBeef_Equations.VEERG_3_2_1_1__3_FeedIntakeForGrazingBeef(V54,V70,X38)</f>
        <v>#N/A</v>
      </c>
      <c r="W86" s="15" t="e" cm="1">
        <f t="array" aca="1" ref="W86" ca="1">EntericMethane_PastureBeef_Equations.VEERG_3_2_1_1__3_FeedIntakeForGrazingBeef(W54,W70,Y38)</f>
        <v>#N/A</v>
      </c>
      <c r="X86" s="15" t="e" cm="1">
        <f t="array" aca="1" ref="X86" ca="1">EntericMethane_PastureBeef_Equations.VEERG_3_2_1_1__3_FeedIntakeForGrazingBeef(X54,X70,Z38)</f>
        <v>#N/A</v>
      </c>
      <c r="Y86" s="15" t="e" cm="1">
        <f t="array" aca="1" ref="Y86" ca="1">EntericMethane_PastureBeef_Equations.VEERG_3_2_1_1__3_FeedIntakeForGrazingBeef(Y54,Y70,AA38)</f>
        <v>#N/A</v>
      </c>
      <c r="Z86" s="15" t="e" cm="1">
        <f t="array" aca="1" ref="Z86" ca="1">EntericMethane_PastureBeef_Equations.VEERG_3_2_1_1__3_FeedIntakeForGrazingBeef(Z54,Z70,AB38)</f>
        <v>#N/A</v>
      </c>
      <c r="AA86" s="15" t="e" cm="1">
        <f t="array" aca="1" ref="AA86" ca="1">EntericMethane_PastureBeef_Equations.VEERG_3_2_1_1__3_FeedIntakeForGrazingBeef(AA54,AA70,AC38)</f>
        <v>#N/A</v>
      </c>
      <c r="AB86" s="15" t="e" cm="1">
        <f t="array" aca="1" ref="AB86" ca="1">EntericMethane_PastureBeef_Equations.VEERG_3_2_1_1__3_FeedIntakeForGrazingBeef(AB54,AB70,AD38)</f>
        <v>#N/A</v>
      </c>
      <c r="AC86" s="15" t="e" cm="1">
        <f t="array" aca="1" ref="AC86" ca="1">EntericMethane_PastureBeef_Equations.VEERG_3_2_1_1__3_FeedIntakeForGrazingBeef(AC54,AC70,AE38)</f>
        <v>#N/A</v>
      </c>
      <c r="AD86" s="15" t="e" cm="1">
        <f t="array" aca="1" ref="AD86" ca="1">EntericMethane_PastureBeef_Equations.VEERG_3_2_1_1__3_FeedIntakeForGrazingBeef(AD54,AD70,AF38)</f>
        <v>#N/A</v>
      </c>
      <c r="AE86" s="15" t="e" cm="1">
        <f t="array" aca="1" ref="AE86" ca="1">EntericMethane_PastureBeef_Equations.VEERG_3_2_1_1__3_FeedIntakeForGrazingBeef(AE54,AE70,AG38)</f>
        <v>#N/A</v>
      </c>
      <c r="AF86" s="16" t="str">
        <f t="shared" si="2"/>
        <v>kg DM/head/day</v>
      </c>
      <c r="AG86" s="16"/>
      <c r="AH86" s="16"/>
    </row>
    <row r="87" spans="3:35" ht="20" customHeight="1" x14ac:dyDescent="0.25">
      <c r="D87" s="15" t="s">
        <v>337</v>
      </c>
      <c r="E87" s="15" t="e" cm="1">
        <f t="array" aca="1" ref="E87" ca="1">EntericMethane_PastureBeef_Equations.VEERG_3_2_1_1__2_DailyEntericMethaneProduction(E66)</f>
        <v>#N/A</v>
      </c>
      <c r="F87" s="15" t="e" cm="1">
        <f t="array" aca="1" ref="F87" ca="1">EntericMethane_PastureBeef_Equations.VEERG_3_2_1_1__2_DailyEntericMethaneProduction(F66)</f>
        <v>#N/A</v>
      </c>
      <c r="G87" s="15" t="e" cm="1">
        <f t="array" aca="1" ref="G87" ca="1">EntericMethane_PastureBeef_Equations.VEERG_3_2_1_1__2_DailyEntericMethaneProduction(G66)</f>
        <v>#N/A</v>
      </c>
      <c r="H87" s="15" t="e" cm="1">
        <f t="array" aca="1" ref="H87" ca="1">EntericMethane_PastureBeef_Equations.VEERG_3_2_1_1__2_DailyEntericMethaneProduction(H66)</f>
        <v>#N/A</v>
      </c>
      <c r="I87" s="15" t="e" cm="1">
        <f t="array" aca="1" ref="I87" ca="1">EntericMethane_PastureBeef_Equations.VEERG_3_2_1_1__2_DailyEntericMethaneProduction(I66)</f>
        <v>#N/A</v>
      </c>
      <c r="J87" s="15" t="e" cm="1">
        <f t="array" aca="1" ref="J87" ca="1">EntericMethane_PastureBeef_Equations.VEERG_3_2_1_1__2_DailyEntericMethaneProduction(J66)</f>
        <v>#N/A</v>
      </c>
      <c r="K87" s="15" t="e" cm="1">
        <f t="array" aca="1" ref="K87" ca="1">EntericMethane_PastureBeef_Equations.VEERG_3_2_1_1__2_DailyEntericMethaneProduction(K66)</f>
        <v>#N/A</v>
      </c>
      <c r="L87" s="15" t="e" cm="1">
        <f t="array" aca="1" ref="L87" ca="1">EntericMethane_PastureBeef_Equations.VEERG_3_2_1_1__2_DailyEntericMethaneProduction(L66)</f>
        <v>#N/A</v>
      </c>
      <c r="M87" s="15" t="e" cm="1">
        <f t="array" aca="1" ref="M87" ca="1">EntericMethane_PastureBeef_Equations.VEERG_3_2_1_1__2_DailyEntericMethaneProduction(M66)</f>
        <v>#N/A</v>
      </c>
      <c r="N87" s="15" t="e" cm="1">
        <f t="array" aca="1" ref="N87" ca="1">EntericMethane_PastureBeef_Equations.VEERG_3_2_1_1__2_DailyEntericMethaneProduction(N66)</f>
        <v>#N/A</v>
      </c>
      <c r="O87" s="16"/>
      <c r="P87" s="16"/>
      <c r="Q87" s="16"/>
      <c r="U87" s="15" t="str">
        <f>TEXT(EDATE(X_Cell_Site_StartDate,11), "mmmm")</f>
        <v>November</v>
      </c>
      <c r="V87" s="15" t="e" cm="1">
        <f t="array" aca="1" ref="V87" ca="1">EntericMethane_PastureBeef_Equations.VEERG_3_2_1_1__3_FeedIntakeForGrazingBeef(V55,V71,X39)</f>
        <v>#N/A</v>
      </c>
      <c r="W87" s="15" t="e" cm="1">
        <f t="array" aca="1" ref="W87" ca="1">EntericMethane_PastureBeef_Equations.VEERG_3_2_1_1__3_FeedIntakeForGrazingBeef(W55,W71,Y39)</f>
        <v>#N/A</v>
      </c>
      <c r="X87" s="15" t="e" cm="1">
        <f t="array" aca="1" ref="X87" ca="1">EntericMethane_PastureBeef_Equations.VEERG_3_2_1_1__3_FeedIntakeForGrazingBeef(X55,X71,Z39)</f>
        <v>#N/A</v>
      </c>
      <c r="Y87" s="15" t="e" cm="1">
        <f t="array" aca="1" ref="Y87" ca="1">EntericMethane_PastureBeef_Equations.VEERG_3_2_1_1__3_FeedIntakeForGrazingBeef(Y55,Y71,AA39)</f>
        <v>#N/A</v>
      </c>
      <c r="Z87" s="15" t="e" cm="1">
        <f t="array" aca="1" ref="Z87" ca="1">EntericMethane_PastureBeef_Equations.VEERG_3_2_1_1__3_FeedIntakeForGrazingBeef(Z55,Z71,AB39)</f>
        <v>#N/A</v>
      </c>
      <c r="AA87" s="15" t="e" cm="1">
        <f t="array" aca="1" ref="AA87" ca="1">EntericMethane_PastureBeef_Equations.VEERG_3_2_1_1__3_FeedIntakeForGrazingBeef(AA55,AA71,AC39)</f>
        <v>#N/A</v>
      </c>
      <c r="AB87" s="15" t="e" cm="1">
        <f t="array" aca="1" ref="AB87" ca="1">EntericMethane_PastureBeef_Equations.VEERG_3_2_1_1__3_FeedIntakeForGrazingBeef(AB55,AB71,AD39)</f>
        <v>#N/A</v>
      </c>
      <c r="AC87" s="15" t="e" cm="1">
        <f t="array" aca="1" ref="AC87" ca="1">EntericMethane_PastureBeef_Equations.VEERG_3_2_1_1__3_FeedIntakeForGrazingBeef(AC55,AC71,AE39)</f>
        <v>#N/A</v>
      </c>
      <c r="AD87" s="15" t="e" cm="1">
        <f t="array" aca="1" ref="AD87" ca="1">EntericMethane_PastureBeef_Equations.VEERG_3_2_1_1__3_FeedIntakeForGrazingBeef(AD55,AD71,AF39)</f>
        <v>#N/A</v>
      </c>
      <c r="AE87" s="15" t="e" cm="1">
        <f t="array" aca="1" ref="AE87" ca="1">EntericMethane_PastureBeef_Equations.VEERG_3_2_1_1__3_FeedIntakeForGrazingBeef(AE55,AE71,AG39)</f>
        <v>#N/A</v>
      </c>
      <c r="AF87" s="16" t="str">
        <f t="shared" si="2"/>
        <v>kg DM/head/day</v>
      </c>
      <c r="AG87" s="16"/>
      <c r="AH87" s="16"/>
    </row>
    <row r="88" spans="3:35" ht="20" customHeight="1" x14ac:dyDescent="0.25">
      <c r="D88" s="15" t="s">
        <v>338</v>
      </c>
      <c r="E88" s="15" t="e" cm="1">
        <f t="array" aca="1" ref="E88" ca="1">EntericMethane_PastureBeef_Equations.VEERG_3_2_1_1__2_DailyEntericMethaneProduction(E67)</f>
        <v>#N/A</v>
      </c>
      <c r="F88" s="15" t="e" cm="1">
        <f t="array" aca="1" ref="F88" ca="1">EntericMethane_PastureBeef_Equations.VEERG_3_2_1_1__2_DailyEntericMethaneProduction(F67)</f>
        <v>#N/A</v>
      </c>
      <c r="G88" s="15" t="e" cm="1">
        <f t="array" aca="1" ref="G88" ca="1">EntericMethane_PastureBeef_Equations.VEERG_3_2_1_1__2_DailyEntericMethaneProduction(G67)</f>
        <v>#N/A</v>
      </c>
      <c r="H88" s="15" t="e" cm="1">
        <f t="array" aca="1" ref="H88" ca="1">EntericMethane_PastureBeef_Equations.VEERG_3_2_1_1__2_DailyEntericMethaneProduction(H67)</f>
        <v>#N/A</v>
      </c>
      <c r="I88" s="15" t="e" cm="1">
        <f t="array" aca="1" ref="I88" ca="1">EntericMethane_PastureBeef_Equations.VEERG_3_2_1_1__2_DailyEntericMethaneProduction(I67)</f>
        <v>#N/A</v>
      </c>
      <c r="J88" s="15" t="e" cm="1">
        <f t="array" aca="1" ref="J88" ca="1">EntericMethane_PastureBeef_Equations.VEERG_3_2_1_1__2_DailyEntericMethaneProduction(J67)</f>
        <v>#N/A</v>
      </c>
      <c r="K88" s="15" t="e" cm="1">
        <f t="array" aca="1" ref="K88" ca="1">EntericMethane_PastureBeef_Equations.VEERG_3_2_1_1__2_DailyEntericMethaneProduction(K67)</f>
        <v>#N/A</v>
      </c>
      <c r="L88" s="15" t="e" cm="1">
        <f t="array" aca="1" ref="L88" ca="1">EntericMethane_PastureBeef_Equations.VEERG_3_2_1_1__2_DailyEntericMethaneProduction(L67)</f>
        <v>#N/A</v>
      </c>
      <c r="M88" s="15" t="e" cm="1">
        <f t="array" aca="1" ref="M88" ca="1">EntericMethane_PastureBeef_Equations.VEERG_3_2_1_1__2_DailyEntericMethaneProduction(M67)</f>
        <v>#N/A</v>
      </c>
      <c r="N88" s="15" t="e" cm="1">
        <f t="array" aca="1" ref="N88" ca="1">EntericMethane_PastureBeef_Equations.VEERG_3_2_1_1__2_DailyEntericMethaneProduction(N67)</f>
        <v>#N/A</v>
      </c>
      <c r="O88" s="16"/>
      <c r="P88" s="16"/>
      <c r="Q88" s="16"/>
      <c r="AG88" s="16"/>
      <c r="AH88" s="16"/>
    </row>
    <row r="89" spans="3:35" ht="20" customHeight="1" x14ac:dyDescent="0.25">
      <c r="AG89" s="16"/>
      <c r="AH89" s="16"/>
    </row>
    <row r="90" spans="3:35" ht="20" customHeight="1" x14ac:dyDescent="0.25">
      <c r="AG90" s="16"/>
      <c r="AH90" s="16"/>
    </row>
    <row r="91" spans="3:35" ht="20" customHeight="1" x14ac:dyDescent="0.25">
      <c r="C91" s="87"/>
      <c r="D91" s="87"/>
      <c r="E91" s="87"/>
      <c r="F91" s="87"/>
      <c r="G91" s="87"/>
      <c r="H91" s="87"/>
      <c r="I91" s="87"/>
      <c r="J91" s="87"/>
      <c r="K91" s="87"/>
      <c r="L91" s="87"/>
      <c r="M91" s="87"/>
      <c r="N91" s="87"/>
      <c r="O91" s="87"/>
      <c r="P91" s="87"/>
      <c r="Q91" s="87"/>
      <c r="R91" s="87"/>
      <c r="T91" s="87"/>
      <c r="U91" s="87"/>
      <c r="V91" s="87"/>
      <c r="W91" s="87"/>
      <c r="X91" s="87"/>
      <c r="Y91" s="87"/>
      <c r="Z91" s="87"/>
      <c r="AA91" s="87"/>
      <c r="AB91" s="87"/>
      <c r="AC91" s="87"/>
      <c r="AD91" s="87"/>
      <c r="AE91" s="87"/>
      <c r="AF91" s="87"/>
      <c r="AG91" s="87"/>
      <c r="AH91" s="87"/>
      <c r="AI91" s="87"/>
    </row>
    <row r="92" spans="3:35" ht="20" customHeight="1" x14ac:dyDescent="0.25">
      <c r="D92" s="2" t="str" cm="1">
        <f t="array" ref="D92">EntericMethane_PastureBeef_Equations.VEERG_3_2_1_1__1_TotalAnnualMethaneFromEntericFermentation_Title()</f>
        <v>Total annual methane production from enteric fermentation in grazing beef cattle</v>
      </c>
      <c r="U92" s="2" t="str" cm="1">
        <f t="array" ref="U92">EntericMethane_PastureBeef_Equations.VEERG_3_2_1_1__2_DailyEntericMethaneProduction_Title()</f>
        <v>Daily production of enteric methane</v>
      </c>
    </row>
    <row r="93" spans="3:35" ht="20" customHeight="1" x14ac:dyDescent="0.25">
      <c r="D93" s="17" t="str" cm="1">
        <f t="array" ref="D93">EntericMethane_PastureBeef_Equations.VEERG_3_2_1_1__1_TotalAnnualMethaneFromEntericFermentation_Source()</f>
        <v>VEERG 2026: 3.2.1.1, Equation (1)</v>
      </c>
    </row>
    <row r="94" spans="3:35" ht="20" customHeight="1" x14ac:dyDescent="0.25">
      <c r="D94" s="103" t="s">
        <v>372</v>
      </c>
      <c r="E94" s="103" t="str" cm="1">
        <f t="array" aca="1" ref="E94" ca="1">Common_InputFunctions.Utility_DisplayFunctionName(E123)</f>
        <v>=EntericMethane_PastureBeef_Equations.VEERG_3_2_1_1__1_TotalAnnualMethaneFromEntericFermentation</v>
      </c>
      <c r="U94" s="112" t="s">
        <v>573</v>
      </c>
    </row>
    <row r="95" spans="3:35" ht="20" customHeight="1" x14ac:dyDescent="0.25">
      <c r="U95" s="113" t="s">
        <v>574</v>
      </c>
    </row>
    <row r="96" spans="3:35" ht="20" customHeight="1" x14ac:dyDescent="0.25">
      <c r="U96" s="114" t="s">
        <v>75</v>
      </c>
      <c r="V96" s="114" t="s">
        <v>326</v>
      </c>
      <c r="W96" s="114" t="s">
        <v>184</v>
      </c>
      <c r="X96" s="114" t="s">
        <v>327</v>
      </c>
      <c r="Y96" s="114" t="s">
        <v>328</v>
      </c>
      <c r="Z96" s="114" t="s">
        <v>329</v>
      </c>
      <c r="AA96" s="114" t="s">
        <v>330</v>
      </c>
      <c r="AB96" s="114" t="s">
        <v>331</v>
      </c>
      <c r="AC96" s="114" t="s">
        <v>332</v>
      </c>
      <c r="AD96" s="114" t="s">
        <v>333</v>
      </c>
      <c r="AE96" s="114" t="s">
        <v>334</v>
      </c>
    </row>
    <row r="97" spans="4:35" ht="20" customHeight="1" x14ac:dyDescent="0.25">
      <c r="D97" s="77" t="s">
        <v>374</v>
      </c>
      <c r="E97" s="1" t="str" cm="1">
        <f t="array" ref="E97">EntericMethane_PastureBeef_Equations.VEERG_3_2_1_1__1_TotalAnnualMethaneFromEntericFermentation_Variable()</f>
        <v>E_enteric</v>
      </c>
      <c r="U97" s="15" t="str">
        <f>TEXT(X_Cell_Site_StartDate,"mmmm")</f>
        <v>January</v>
      </c>
      <c r="V97" s="15" t="e" cm="1">
        <f t="array" aca="1" ref="V97" ca="1">EntericMethane_PastureBeef_Equations.VEERG_3_2_1_1__2_DailyEntericMethaneProduction(V76)</f>
        <v>#N/A</v>
      </c>
      <c r="W97" s="15" t="e" cm="1">
        <f t="array" aca="1" ref="W97" ca="1">EntericMethane_PastureBeef_Equations.VEERG_3_2_1_1__2_DailyEntericMethaneProduction(W76)</f>
        <v>#N/A</v>
      </c>
      <c r="X97" s="15" t="e" cm="1">
        <f t="array" aca="1" ref="X97" ca="1">EntericMethane_PastureBeef_Equations.VEERG_3_2_1_1__2_DailyEntericMethaneProduction(X76)</f>
        <v>#N/A</v>
      </c>
      <c r="Y97" s="15" t="e" cm="1">
        <f t="array" aca="1" ref="Y97" ca="1">EntericMethane_PastureBeef_Equations.VEERG_3_2_1_1__2_DailyEntericMethaneProduction(Y76)</f>
        <v>#N/A</v>
      </c>
      <c r="Z97" s="15" t="e" cm="1">
        <f t="array" aca="1" ref="Z97" ca="1">EntericMethane_PastureBeef_Equations.VEERG_3_2_1_1__2_DailyEntericMethaneProduction(Z76)</f>
        <v>#N/A</v>
      </c>
      <c r="AA97" s="15" t="e" cm="1">
        <f t="array" aca="1" ref="AA97" ca="1">EntericMethane_PastureBeef_Equations.VEERG_3_2_1_1__2_DailyEntericMethaneProduction(AA76)</f>
        <v>#N/A</v>
      </c>
      <c r="AB97" s="15" t="e" cm="1">
        <f t="array" aca="1" ref="AB97" ca="1">EntericMethane_PastureBeef_Equations.VEERG_3_2_1_1__2_DailyEntericMethaneProduction(AB76)</f>
        <v>#N/A</v>
      </c>
      <c r="AC97" s="15" t="e" cm="1">
        <f t="array" aca="1" ref="AC97" ca="1">EntericMethane_PastureBeef_Equations.VEERG_3_2_1_1__2_DailyEntericMethaneProduction(AC76)</f>
        <v>#N/A</v>
      </c>
      <c r="AD97" s="15" t="e" cm="1">
        <f t="array" aca="1" ref="AD97" ca="1">EntericMethane_PastureBeef_Equations.VEERG_3_2_1_1__2_DailyEntericMethaneProduction(AD76)</f>
        <v>#N/A</v>
      </c>
      <c r="AE97" s="15" t="e" cm="1">
        <f t="array" aca="1" ref="AE97" ca="1">EntericMethane_PastureBeef_Equations.VEERG_3_2_1_1__2_DailyEntericMethaneProduction(AE76)</f>
        <v>#N/A</v>
      </c>
      <c r="AF97" s="16" t="str">
        <f>$G$80</f>
        <v>kg DM/head/day</v>
      </c>
    </row>
    <row r="98" spans="4:35" ht="20" customHeight="1" x14ac:dyDescent="0.25">
      <c r="D98" s="77" t="s">
        <v>121</v>
      </c>
      <c r="E98" s="9" t="str" cm="1">
        <f t="array" ref="E98">EntericMethane_PastureBeef_Equations.VEERG_3_2_1_1__1_TotalAnnualMethaneFromEntericFermentation_Unit()</f>
        <v>t CH4</v>
      </c>
      <c r="U98" s="15" t="str">
        <f>TEXT(EDATE(X_Cell_Site_StartDate,1), "mmmm")</f>
        <v>January</v>
      </c>
      <c r="V98" s="15" t="e" cm="1">
        <f t="array" aca="1" ref="V98" ca="1">EntericMethane_PastureBeef_Equations.VEERG_3_2_1_1__2_DailyEntericMethaneProduction(V77)</f>
        <v>#N/A</v>
      </c>
      <c r="W98" s="15" t="e" cm="1">
        <f t="array" aca="1" ref="W98" ca="1">EntericMethane_PastureBeef_Equations.VEERG_3_2_1_1__2_DailyEntericMethaneProduction(W77)</f>
        <v>#N/A</v>
      </c>
      <c r="X98" s="15" t="e" cm="1">
        <f t="array" aca="1" ref="X98" ca="1">EntericMethane_PastureBeef_Equations.VEERG_3_2_1_1__2_DailyEntericMethaneProduction(X77)</f>
        <v>#N/A</v>
      </c>
      <c r="Y98" s="15" t="e" cm="1">
        <f t="array" aca="1" ref="Y98" ca="1">EntericMethane_PastureBeef_Equations.VEERG_3_2_1_1__2_DailyEntericMethaneProduction(Y77)</f>
        <v>#N/A</v>
      </c>
      <c r="Z98" s="15" t="e" cm="1">
        <f t="array" aca="1" ref="Z98" ca="1">EntericMethane_PastureBeef_Equations.VEERG_3_2_1_1__2_DailyEntericMethaneProduction(Z77)</f>
        <v>#N/A</v>
      </c>
      <c r="AA98" s="15" t="e" cm="1">
        <f t="array" aca="1" ref="AA98" ca="1">EntericMethane_PastureBeef_Equations.VEERG_3_2_1_1__2_DailyEntericMethaneProduction(AA77)</f>
        <v>#N/A</v>
      </c>
      <c r="AB98" s="15" t="e" cm="1">
        <f t="array" aca="1" ref="AB98" ca="1">EntericMethane_PastureBeef_Equations.VEERG_3_2_1_1__2_DailyEntericMethaneProduction(AB77)</f>
        <v>#N/A</v>
      </c>
      <c r="AC98" s="15" t="e" cm="1">
        <f t="array" aca="1" ref="AC98" ca="1">EntericMethane_PastureBeef_Equations.VEERG_3_2_1_1__2_DailyEntericMethaneProduction(AC77)</f>
        <v>#N/A</v>
      </c>
      <c r="AD98" s="15" t="e" cm="1">
        <f t="array" aca="1" ref="AD98" ca="1">EntericMethane_PastureBeef_Equations.VEERG_3_2_1_1__2_DailyEntericMethaneProduction(AD77)</f>
        <v>#N/A</v>
      </c>
      <c r="AE98" s="15" t="e" cm="1">
        <f t="array" aca="1" ref="AE98" ca="1">EntericMethane_PastureBeef_Equations.VEERG_3_2_1_1__2_DailyEntericMethaneProduction(AE77)</f>
        <v>#N/A</v>
      </c>
      <c r="AF98" s="16"/>
    </row>
    <row r="99" spans="4:35" ht="20" customHeight="1" x14ac:dyDescent="0.25">
      <c r="U99" s="15" t="str">
        <f>TEXT(EDATE(X_Cell_Site_StartDate,2), "mmmm")</f>
        <v>February</v>
      </c>
      <c r="V99" s="15" t="e" cm="1">
        <f t="array" aca="1" ref="V99" ca="1">EntericMethane_PastureBeef_Equations.VEERG_3_2_1_1__2_DailyEntericMethaneProduction(V78)</f>
        <v>#N/A</v>
      </c>
      <c r="W99" s="15" t="e" cm="1">
        <f t="array" aca="1" ref="W99" ca="1">EntericMethane_PastureBeef_Equations.VEERG_3_2_1_1__2_DailyEntericMethaneProduction(W78)</f>
        <v>#N/A</v>
      </c>
      <c r="X99" s="15" t="e" cm="1">
        <f t="array" aca="1" ref="X99" ca="1">EntericMethane_PastureBeef_Equations.VEERG_3_2_1_1__2_DailyEntericMethaneProduction(X78)</f>
        <v>#N/A</v>
      </c>
      <c r="Y99" s="15" t="e" cm="1">
        <f t="array" aca="1" ref="Y99" ca="1">EntericMethane_PastureBeef_Equations.VEERG_3_2_1_1__2_DailyEntericMethaneProduction(Y78)</f>
        <v>#N/A</v>
      </c>
      <c r="Z99" s="15" t="e" cm="1">
        <f t="array" aca="1" ref="Z99" ca="1">EntericMethane_PastureBeef_Equations.VEERG_3_2_1_1__2_DailyEntericMethaneProduction(Z78)</f>
        <v>#N/A</v>
      </c>
      <c r="AA99" s="15" t="e" cm="1">
        <f t="array" aca="1" ref="AA99" ca="1">EntericMethane_PastureBeef_Equations.VEERG_3_2_1_1__2_DailyEntericMethaneProduction(AA78)</f>
        <v>#N/A</v>
      </c>
      <c r="AB99" s="15" t="e" cm="1">
        <f t="array" aca="1" ref="AB99" ca="1">EntericMethane_PastureBeef_Equations.VEERG_3_2_1_1__2_DailyEntericMethaneProduction(AB78)</f>
        <v>#N/A</v>
      </c>
      <c r="AC99" s="15" t="e" cm="1">
        <f t="array" aca="1" ref="AC99" ca="1">EntericMethane_PastureBeef_Equations.VEERG_3_2_1_1__2_DailyEntericMethaneProduction(AC78)</f>
        <v>#N/A</v>
      </c>
      <c r="AD99" s="15" t="e" cm="1">
        <f t="array" aca="1" ref="AD99" ca="1">EntericMethane_PastureBeef_Equations.VEERG_3_2_1_1__2_DailyEntericMethaneProduction(AD78)</f>
        <v>#N/A</v>
      </c>
      <c r="AE99" s="15" t="e" cm="1">
        <f t="array" aca="1" ref="AE99" ca="1">EntericMethane_PastureBeef_Equations.VEERG_3_2_1_1__2_DailyEntericMethaneProduction(AE78)</f>
        <v>#N/A</v>
      </c>
      <c r="AF99" s="16"/>
    </row>
    <row r="100" spans="4:35" ht="20" customHeight="1" x14ac:dyDescent="0.25">
      <c r="D100" s="105" t="str" cm="1">
        <f t="array" ref="D100:E102">_xlfn.CHOOSECOLS(EntericMethane_PastureBeef_Equations.VEERG_3_2_1_1__1_TotalAnnualMethaneFromEntericFermentation_Arguments(), 1, 2)</f>
        <v>D_j</v>
      </c>
      <c r="E100" s="106" t="str">
        <v>number of days the animal is on the farm in each time-period</v>
      </c>
      <c r="F100" s="108"/>
      <c r="G100" s="105" t="str" cm="1">
        <f t="array" ref="G100:H102">_xlfn.CHOOSECOLS(EntericMethane_PastureBeef_Equations.VEERG_3_2_1_1__1_TotalAnnualMethaneFromEntericFermentation_Arguments(), 3,4)</f>
        <v>days</v>
      </c>
      <c r="H100" s="109" t="str">
        <v>Input</v>
      </c>
      <c r="I100" s="111" t="str" cm="1">
        <f t="array" aca="1" ref="I100" ca="1">HYPERLINK(Common_InputFunctions.Utility_SourceHyperlink($D$112), $D$112)</f>
        <v>M1_Table_D_j</v>
      </c>
      <c r="U100" s="15" t="str">
        <f>TEXT(EDATE(X_Cell_Site_StartDate,3), "mmmm")</f>
        <v>March</v>
      </c>
      <c r="V100" s="15" t="e" cm="1">
        <f t="array" aca="1" ref="V100" ca="1">EntericMethane_PastureBeef_Equations.VEERG_3_2_1_1__2_DailyEntericMethaneProduction(V79)</f>
        <v>#N/A</v>
      </c>
      <c r="W100" s="15" t="e" cm="1">
        <f t="array" aca="1" ref="W100" ca="1">EntericMethane_PastureBeef_Equations.VEERG_3_2_1_1__2_DailyEntericMethaneProduction(W79)</f>
        <v>#N/A</v>
      </c>
      <c r="X100" s="15" t="e" cm="1">
        <f t="array" aca="1" ref="X100" ca="1">EntericMethane_PastureBeef_Equations.VEERG_3_2_1_1__2_DailyEntericMethaneProduction(X79)</f>
        <v>#N/A</v>
      </c>
      <c r="Y100" s="15" t="e" cm="1">
        <f t="array" aca="1" ref="Y100" ca="1">EntericMethane_PastureBeef_Equations.VEERG_3_2_1_1__2_DailyEntericMethaneProduction(Y79)</f>
        <v>#N/A</v>
      </c>
      <c r="Z100" s="15" t="e" cm="1">
        <f t="array" aca="1" ref="Z100" ca="1">EntericMethane_PastureBeef_Equations.VEERG_3_2_1_1__2_DailyEntericMethaneProduction(Z79)</f>
        <v>#N/A</v>
      </c>
      <c r="AA100" s="15" t="e" cm="1">
        <f t="array" aca="1" ref="AA100" ca="1">EntericMethane_PastureBeef_Equations.VEERG_3_2_1_1__2_DailyEntericMethaneProduction(AA79)</f>
        <v>#N/A</v>
      </c>
      <c r="AB100" s="15" t="e" cm="1">
        <f t="array" aca="1" ref="AB100" ca="1">EntericMethane_PastureBeef_Equations.VEERG_3_2_1_1__2_DailyEntericMethaneProduction(AB79)</f>
        <v>#N/A</v>
      </c>
      <c r="AC100" s="15" t="e" cm="1">
        <f t="array" aca="1" ref="AC100" ca="1">EntericMethane_PastureBeef_Equations.VEERG_3_2_1_1__2_DailyEntericMethaneProduction(AC79)</f>
        <v>#N/A</v>
      </c>
      <c r="AD100" s="15" t="e" cm="1">
        <f t="array" aca="1" ref="AD100" ca="1">EntericMethane_PastureBeef_Equations.VEERG_3_2_1_1__2_DailyEntericMethaneProduction(AD79)</f>
        <v>#N/A</v>
      </c>
      <c r="AE100" s="15" t="e" cm="1">
        <f t="array" aca="1" ref="AE100" ca="1">EntericMethane_PastureBeef_Equations.VEERG_3_2_1_1__2_DailyEntericMethaneProduction(AE79)</f>
        <v>#N/A</v>
      </c>
      <c r="AF100" s="16"/>
    </row>
    <row r="101" spans="4:35" ht="20" customHeight="1" x14ac:dyDescent="0.25">
      <c r="D101" s="105" t="str">
        <v>M_jkl</v>
      </c>
      <c r="E101" s="106" t="str">
        <v>daily production of enteric methane in each time-period, class and subclass</v>
      </c>
      <c r="F101" s="108"/>
      <c r="G101" s="105" t="str">
        <v>kg CH4/head/day</v>
      </c>
      <c r="H101" s="110" t="str">
        <v>Calculated from 3.2.1.1, (2)</v>
      </c>
      <c r="I101" s="111" t="str" cm="1">
        <f t="array" aca="1" ref="I101" ca="1">HYPERLINK(Common_InputFunctions.Utility_SourceHyperlink($D$82), $D$82)</f>
        <v>M1_Table_M_j_k_l</v>
      </c>
      <c r="U101" s="15" t="str">
        <f>TEXT(EDATE(X_Cell_Site_StartDate,4), "mmmm")</f>
        <v>April</v>
      </c>
      <c r="V101" s="15" t="e" cm="1">
        <f t="array" aca="1" ref="V101" ca="1">EntericMethane_PastureBeef_Equations.VEERG_3_2_1_1__2_DailyEntericMethaneProduction(V80)</f>
        <v>#N/A</v>
      </c>
      <c r="W101" s="15" t="e" cm="1">
        <f t="array" aca="1" ref="W101" ca="1">EntericMethane_PastureBeef_Equations.VEERG_3_2_1_1__2_DailyEntericMethaneProduction(W80)</f>
        <v>#N/A</v>
      </c>
      <c r="X101" s="15" t="e" cm="1">
        <f t="array" aca="1" ref="X101" ca="1">EntericMethane_PastureBeef_Equations.VEERG_3_2_1_1__2_DailyEntericMethaneProduction(X80)</f>
        <v>#N/A</v>
      </c>
      <c r="Y101" s="15" t="e" cm="1">
        <f t="array" aca="1" ref="Y101" ca="1">EntericMethane_PastureBeef_Equations.VEERG_3_2_1_1__2_DailyEntericMethaneProduction(Y80)</f>
        <v>#N/A</v>
      </c>
      <c r="Z101" s="15" t="e" cm="1">
        <f t="array" aca="1" ref="Z101" ca="1">EntericMethane_PastureBeef_Equations.VEERG_3_2_1_1__2_DailyEntericMethaneProduction(Z80)</f>
        <v>#N/A</v>
      </c>
      <c r="AA101" s="15" t="e" cm="1">
        <f t="array" aca="1" ref="AA101" ca="1">EntericMethane_PastureBeef_Equations.VEERG_3_2_1_1__2_DailyEntericMethaneProduction(AA80)</f>
        <v>#N/A</v>
      </c>
      <c r="AB101" s="15" t="e" cm="1">
        <f t="array" aca="1" ref="AB101" ca="1">EntericMethane_PastureBeef_Equations.VEERG_3_2_1_1__2_DailyEntericMethaneProduction(AB80)</f>
        <v>#N/A</v>
      </c>
      <c r="AC101" s="15" t="e" cm="1">
        <f t="array" aca="1" ref="AC101" ca="1">EntericMethane_PastureBeef_Equations.VEERG_3_2_1_1__2_DailyEntericMethaneProduction(AC80)</f>
        <v>#N/A</v>
      </c>
      <c r="AD101" s="15" t="e" cm="1">
        <f t="array" aca="1" ref="AD101" ca="1">EntericMethane_PastureBeef_Equations.VEERG_3_2_1_1__2_DailyEntericMethaneProduction(AD80)</f>
        <v>#N/A</v>
      </c>
      <c r="AE101" s="15" t="e" cm="1">
        <f t="array" aca="1" ref="AE101" ca="1">EntericMethane_PastureBeef_Equations.VEERG_3_2_1_1__2_DailyEntericMethaneProduction(AE80)</f>
        <v>#N/A</v>
      </c>
      <c r="AF101" s="16"/>
    </row>
    <row r="102" spans="4:35" ht="20" customHeight="1" x14ac:dyDescent="0.25">
      <c r="D102" s="105" t="str">
        <v>N_jkl</v>
      </c>
      <c r="E102" s="106" t="str">
        <v>number of beef cattle in each time-period, class and subclass</v>
      </c>
      <c r="F102" s="108"/>
      <c r="G102" s="105" t="str">
        <v>head</v>
      </c>
      <c r="H102" s="109" t="str">
        <v>Input</v>
      </c>
      <c r="I102" s="111" t="str" cm="1">
        <f t="array" aca="1" ref="I102" ca="1">HYPERLINK(Common_InputFunctions.Utility_SourceHyperlink($D$104), $D$104)</f>
        <v>M1_Table_N_j_k_l</v>
      </c>
      <c r="U102" s="15" t="str">
        <f>TEXT(EDATE(X_Cell_Site_StartDate,5), "mmmm")</f>
        <v>May</v>
      </c>
      <c r="V102" s="15" t="e" cm="1">
        <f t="array" aca="1" ref="V102" ca="1">EntericMethane_PastureBeef_Equations.VEERG_3_2_1_1__2_DailyEntericMethaneProduction(V81)</f>
        <v>#N/A</v>
      </c>
      <c r="W102" s="15" t="e" cm="1">
        <f t="array" aca="1" ref="W102" ca="1">EntericMethane_PastureBeef_Equations.VEERG_3_2_1_1__2_DailyEntericMethaneProduction(W81)</f>
        <v>#N/A</v>
      </c>
      <c r="X102" s="15" t="e" cm="1">
        <f t="array" aca="1" ref="X102" ca="1">EntericMethane_PastureBeef_Equations.VEERG_3_2_1_1__2_DailyEntericMethaneProduction(X81)</f>
        <v>#N/A</v>
      </c>
      <c r="Y102" s="15" t="e" cm="1">
        <f t="array" aca="1" ref="Y102" ca="1">EntericMethane_PastureBeef_Equations.VEERG_3_2_1_1__2_DailyEntericMethaneProduction(Y81)</f>
        <v>#N/A</v>
      </c>
      <c r="Z102" s="15" t="e" cm="1">
        <f t="array" aca="1" ref="Z102" ca="1">EntericMethane_PastureBeef_Equations.VEERG_3_2_1_1__2_DailyEntericMethaneProduction(Z81)</f>
        <v>#N/A</v>
      </c>
      <c r="AA102" s="15" t="e" cm="1">
        <f t="array" aca="1" ref="AA102" ca="1">EntericMethane_PastureBeef_Equations.VEERG_3_2_1_1__2_DailyEntericMethaneProduction(AA81)</f>
        <v>#N/A</v>
      </c>
      <c r="AB102" s="15" t="e" cm="1">
        <f t="array" aca="1" ref="AB102" ca="1">EntericMethane_PastureBeef_Equations.VEERG_3_2_1_1__2_DailyEntericMethaneProduction(AB81)</f>
        <v>#N/A</v>
      </c>
      <c r="AC102" s="15" t="e" cm="1">
        <f t="array" aca="1" ref="AC102" ca="1">EntericMethane_PastureBeef_Equations.VEERG_3_2_1_1__2_DailyEntericMethaneProduction(AC81)</f>
        <v>#N/A</v>
      </c>
      <c r="AD102" s="15" t="e" cm="1">
        <f t="array" aca="1" ref="AD102" ca="1">EntericMethane_PastureBeef_Equations.VEERG_3_2_1_1__2_DailyEntericMethaneProduction(AD81)</f>
        <v>#N/A</v>
      </c>
      <c r="AE102" s="15" t="e" cm="1">
        <f t="array" aca="1" ref="AE102" ca="1">EntericMethane_PastureBeef_Equations.VEERG_3_2_1_1__2_DailyEntericMethaneProduction(AE81)</f>
        <v>#N/A</v>
      </c>
      <c r="AF102" s="16"/>
    </row>
    <row r="103" spans="4:35" ht="20" customHeight="1" x14ac:dyDescent="0.25">
      <c r="U103" s="15" t="str">
        <f>TEXT(EDATE(X_Cell_Site_StartDate,6), "mmmm")</f>
        <v>June</v>
      </c>
      <c r="V103" s="15" t="e" cm="1">
        <f t="array" aca="1" ref="V103" ca="1">EntericMethane_PastureBeef_Equations.VEERG_3_2_1_1__2_DailyEntericMethaneProduction(V82)</f>
        <v>#N/A</v>
      </c>
      <c r="W103" s="15" t="e" cm="1">
        <f t="array" aca="1" ref="W103" ca="1">EntericMethane_PastureBeef_Equations.VEERG_3_2_1_1__2_DailyEntericMethaneProduction(W82)</f>
        <v>#N/A</v>
      </c>
      <c r="X103" s="15" t="e" cm="1">
        <f t="array" aca="1" ref="X103" ca="1">EntericMethane_PastureBeef_Equations.VEERG_3_2_1_1__2_DailyEntericMethaneProduction(X82)</f>
        <v>#N/A</v>
      </c>
      <c r="Y103" s="15" t="e" cm="1">
        <f t="array" aca="1" ref="Y103" ca="1">EntericMethane_PastureBeef_Equations.VEERG_3_2_1_1__2_DailyEntericMethaneProduction(Y82)</f>
        <v>#N/A</v>
      </c>
      <c r="Z103" s="15" t="e" cm="1">
        <f t="array" aca="1" ref="Z103" ca="1">EntericMethane_PastureBeef_Equations.VEERG_3_2_1_1__2_DailyEntericMethaneProduction(Z82)</f>
        <v>#N/A</v>
      </c>
      <c r="AA103" s="15" t="e" cm="1">
        <f t="array" aca="1" ref="AA103" ca="1">EntericMethane_PastureBeef_Equations.VEERG_3_2_1_1__2_DailyEntericMethaneProduction(AA82)</f>
        <v>#N/A</v>
      </c>
      <c r="AB103" s="15" t="e" cm="1">
        <f t="array" aca="1" ref="AB103" ca="1">EntericMethane_PastureBeef_Equations.VEERG_3_2_1_1__2_DailyEntericMethaneProduction(AB82)</f>
        <v>#N/A</v>
      </c>
      <c r="AC103" s="15" t="e" cm="1">
        <f t="array" aca="1" ref="AC103" ca="1">EntericMethane_PastureBeef_Equations.VEERG_3_2_1_1__2_DailyEntericMethaneProduction(AC82)</f>
        <v>#N/A</v>
      </c>
      <c r="AD103" s="15" t="e" cm="1">
        <f t="array" aca="1" ref="AD103" ca="1">EntericMethane_PastureBeef_Equations.VEERG_3_2_1_1__2_DailyEntericMethaneProduction(AD82)</f>
        <v>#N/A</v>
      </c>
      <c r="AE103" s="15" t="e" cm="1">
        <f t="array" aca="1" ref="AE103" ca="1">EntericMethane_PastureBeef_Equations.VEERG_3_2_1_1__2_DailyEntericMethaneProduction(AE82)</f>
        <v>#N/A</v>
      </c>
      <c r="AF103" s="16"/>
    </row>
    <row r="104" spans="4:35" ht="20" customHeight="1" x14ac:dyDescent="0.25">
      <c r="D104" s="112" t="s">
        <v>422</v>
      </c>
      <c r="U104" s="15" t="str">
        <f>TEXT(EDATE(X_Cell_Site_StartDate,7), "mmmm")</f>
        <v>July</v>
      </c>
      <c r="V104" s="15" t="e" cm="1">
        <f t="array" aca="1" ref="V104" ca="1">EntericMethane_PastureBeef_Equations.VEERG_3_2_1_1__2_DailyEntericMethaneProduction(V83)</f>
        <v>#N/A</v>
      </c>
      <c r="W104" s="15" t="e" cm="1">
        <f t="array" aca="1" ref="W104" ca="1">EntericMethane_PastureBeef_Equations.VEERG_3_2_1_1__2_DailyEntericMethaneProduction(W83)</f>
        <v>#N/A</v>
      </c>
      <c r="X104" s="15" t="e" cm="1">
        <f t="array" aca="1" ref="X104" ca="1">EntericMethane_PastureBeef_Equations.VEERG_3_2_1_1__2_DailyEntericMethaneProduction(X83)</f>
        <v>#N/A</v>
      </c>
      <c r="Y104" s="15" t="e" cm="1">
        <f t="array" aca="1" ref="Y104" ca="1">EntericMethane_PastureBeef_Equations.VEERG_3_2_1_1__2_DailyEntericMethaneProduction(Y83)</f>
        <v>#N/A</v>
      </c>
      <c r="Z104" s="15" t="e" cm="1">
        <f t="array" aca="1" ref="Z104" ca="1">EntericMethane_PastureBeef_Equations.VEERG_3_2_1_1__2_DailyEntericMethaneProduction(Z83)</f>
        <v>#N/A</v>
      </c>
      <c r="AA104" s="15" t="e" cm="1">
        <f t="array" aca="1" ref="AA104" ca="1">EntericMethane_PastureBeef_Equations.VEERG_3_2_1_1__2_DailyEntericMethaneProduction(AA83)</f>
        <v>#N/A</v>
      </c>
      <c r="AB104" s="15" t="e" cm="1">
        <f t="array" aca="1" ref="AB104" ca="1">EntericMethane_PastureBeef_Equations.VEERG_3_2_1_1__2_DailyEntericMethaneProduction(AB83)</f>
        <v>#N/A</v>
      </c>
      <c r="AC104" s="15" t="e" cm="1">
        <f t="array" aca="1" ref="AC104" ca="1">EntericMethane_PastureBeef_Equations.VEERG_3_2_1_1__2_DailyEntericMethaneProduction(AC83)</f>
        <v>#N/A</v>
      </c>
      <c r="AD104" s="15" t="e" cm="1">
        <f t="array" aca="1" ref="AD104" ca="1">EntericMethane_PastureBeef_Equations.VEERG_3_2_1_1__2_DailyEntericMethaneProduction(AD83)</f>
        <v>#N/A</v>
      </c>
      <c r="AE104" s="15" t="e" cm="1">
        <f t="array" aca="1" ref="AE104" ca="1">EntericMethane_PastureBeef_Equations.VEERG_3_2_1_1__2_DailyEntericMethaneProduction(AE83)</f>
        <v>#N/A</v>
      </c>
      <c r="AF104" s="16"/>
    </row>
    <row r="105" spans="4:35" ht="20" customHeight="1" x14ac:dyDescent="0.25">
      <c r="D105" s="113" t="s">
        <v>424</v>
      </c>
      <c r="U105" s="15" t="str">
        <f>TEXT(EDATE(X_Cell_Site_StartDate,8), "mmmm")</f>
        <v>August</v>
      </c>
      <c r="V105" s="15" t="e" cm="1">
        <f t="array" aca="1" ref="V105" ca="1">EntericMethane_PastureBeef_Equations.VEERG_3_2_1_1__2_DailyEntericMethaneProduction(V84)</f>
        <v>#N/A</v>
      </c>
      <c r="W105" s="15" t="e" cm="1">
        <f t="array" aca="1" ref="W105" ca="1">EntericMethane_PastureBeef_Equations.VEERG_3_2_1_1__2_DailyEntericMethaneProduction(W84)</f>
        <v>#N/A</v>
      </c>
      <c r="X105" s="15" t="e" cm="1">
        <f t="array" aca="1" ref="X105" ca="1">EntericMethane_PastureBeef_Equations.VEERG_3_2_1_1__2_DailyEntericMethaneProduction(X84)</f>
        <v>#N/A</v>
      </c>
      <c r="Y105" s="15" t="e" cm="1">
        <f t="array" aca="1" ref="Y105" ca="1">EntericMethane_PastureBeef_Equations.VEERG_3_2_1_1__2_DailyEntericMethaneProduction(Y84)</f>
        <v>#N/A</v>
      </c>
      <c r="Z105" s="15" t="e" cm="1">
        <f t="array" aca="1" ref="Z105" ca="1">EntericMethane_PastureBeef_Equations.VEERG_3_2_1_1__2_DailyEntericMethaneProduction(Z84)</f>
        <v>#N/A</v>
      </c>
      <c r="AA105" s="15" t="e" cm="1">
        <f t="array" aca="1" ref="AA105" ca="1">EntericMethane_PastureBeef_Equations.VEERG_3_2_1_1__2_DailyEntericMethaneProduction(AA84)</f>
        <v>#N/A</v>
      </c>
      <c r="AB105" s="15" t="e" cm="1">
        <f t="array" aca="1" ref="AB105" ca="1">EntericMethane_PastureBeef_Equations.VEERG_3_2_1_1__2_DailyEntericMethaneProduction(AB84)</f>
        <v>#N/A</v>
      </c>
      <c r="AC105" s="15" t="e" cm="1">
        <f t="array" aca="1" ref="AC105" ca="1">EntericMethane_PastureBeef_Equations.VEERG_3_2_1_1__2_DailyEntericMethaneProduction(AC84)</f>
        <v>#N/A</v>
      </c>
      <c r="AD105" s="15" t="e" cm="1">
        <f t="array" aca="1" ref="AD105" ca="1">EntericMethane_PastureBeef_Equations.VEERG_3_2_1_1__2_DailyEntericMethaneProduction(AD84)</f>
        <v>#N/A</v>
      </c>
      <c r="AE105" s="15" t="e" cm="1">
        <f t="array" aca="1" ref="AE105" ca="1">EntericMethane_PastureBeef_Equations.VEERG_3_2_1_1__2_DailyEntericMethaneProduction(AE84)</f>
        <v>#N/A</v>
      </c>
      <c r="AF105" s="16"/>
    </row>
    <row r="106" spans="4:35" ht="20" customHeight="1" x14ac:dyDescent="0.25">
      <c r="D106" s="114" t="s">
        <v>76</v>
      </c>
      <c r="E106" s="82" t="s">
        <v>326</v>
      </c>
      <c r="F106" s="82" t="s">
        <v>184</v>
      </c>
      <c r="G106" s="82" t="s">
        <v>327</v>
      </c>
      <c r="H106" s="82" t="s">
        <v>328</v>
      </c>
      <c r="I106" s="82" t="s">
        <v>329</v>
      </c>
      <c r="J106" s="82" t="s">
        <v>330</v>
      </c>
      <c r="K106" s="82" t="s">
        <v>331</v>
      </c>
      <c r="L106" s="82" t="s">
        <v>332</v>
      </c>
      <c r="M106" s="82" t="s">
        <v>333</v>
      </c>
      <c r="N106" s="82" t="s">
        <v>334</v>
      </c>
      <c r="U106" s="15" t="str">
        <f>TEXT(EDATE(X_Cell_Site_StartDate,9), "mmmm")</f>
        <v>September</v>
      </c>
      <c r="V106" s="15" t="e" cm="1">
        <f t="array" aca="1" ref="V106" ca="1">EntericMethane_PastureBeef_Equations.VEERG_3_2_1_1__2_DailyEntericMethaneProduction(V85)</f>
        <v>#N/A</v>
      </c>
      <c r="W106" s="15" t="e" cm="1">
        <f t="array" aca="1" ref="W106" ca="1">EntericMethane_PastureBeef_Equations.VEERG_3_2_1_1__2_DailyEntericMethaneProduction(W85)</f>
        <v>#N/A</v>
      </c>
      <c r="X106" s="15" t="e" cm="1">
        <f t="array" aca="1" ref="X106" ca="1">EntericMethane_PastureBeef_Equations.VEERG_3_2_1_1__2_DailyEntericMethaneProduction(X85)</f>
        <v>#N/A</v>
      </c>
      <c r="Y106" s="15" t="e" cm="1">
        <f t="array" aca="1" ref="Y106" ca="1">EntericMethane_PastureBeef_Equations.VEERG_3_2_1_1__2_DailyEntericMethaneProduction(Y85)</f>
        <v>#N/A</v>
      </c>
      <c r="Z106" s="15" t="e" cm="1">
        <f t="array" aca="1" ref="Z106" ca="1">EntericMethane_PastureBeef_Equations.VEERG_3_2_1_1__2_DailyEntericMethaneProduction(Z85)</f>
        <v>#N/A</v>
      </c>
      <c r="AA106" s="15" t="e" cm="1">
        <f t="array" aca="1" ref="AA106" ca="1">EntericMethane_PastureBeef_Equations.VEERG_3_2_1_1__2_DailyEntericMethaneProduction(AA85)</f>
        <v>#N/A</v>
      </c>
      <c r="AB106" s="15" t="e" cm="1">
        <f t="array" aca="1" ref="AB106" ca="1">EntericMethane_PastureBeef_Equations.VEERG_3_2_1_1__2_DailyEntericMethaneProduction(AB85)</f>
        <v>#N/A</v>
      </c>
      <c r="AC106" s="15" t="e" cm="1">
        <f t="array" aca="1" ref="AC106" ca="1">EntericMethane_PastureBeef_Equations.VEERG_3_2_1_1__2_DailyEntericMethaneProduction(AC85)</f>
        <v>#N/A</v>
      </c>
      <c r="AD106" s="15" t="e" cm="1">
        <f t="array" aca="1" ref="AD106" ca="1">EntericMethane_PastureBeef_Equations.VEERG_3_2_1_1__2_DailyEntericMethaneProduction(AD85)</f>
        <v>#N/A</v>
      </c>
      <c r="AE106" s="15" t="e" cm="1">
        <f t="array" aca="1" ref="AE106" ca="1">EntericMethane_PastureBeef_Equations.VEERG_3_2_1_1__2_DailyEntericMethaneProduction(AE85)</f>
        <v>#N/A</v>
      </c>
      <c r="AF106" s="16"/>
    </row>
    <row r="107" spans="4:35" ht="20" customHeight="1" x14ac:dyDescent="0.25">
      <c r="D107" s="15" t="s">
        <v>335</v>
      </c>
      <c r="E107" s="15" cm="1">
        <f t="array" aca="1" ref="E107:N110" ca="1">OFFSET(X_Table_PastureBeef_Head_Method1,1,1,4,10)</f>
        <v>0</v>
      </c>
      <c r="F107" s="15">
        <f ca="1"/>
        <v>0</v>
      </c>
      <c r="G107" s="15">
        <f ca="1"/>
        <v>0</v>
      </c>
      <c r="H107" s="15">
        <f ca="1"/>
        <v>0</v>
      </c>
      <c r="I107" s="15">
        <f ca="1"/>
        <v>0</v>
      </c>
      <c r="J107" s="15">
        <f ca="1"/>
        <v>0</v>
      </c>
      <c r="K107" s="15">
        <f ca="1"/>
        <v>0</v>
      </c>
      <c r="L107" s="15">
        <f ca="1"/>
        <v>0</v>
      </c>
      <c r="M107" s="15">
        <f ca="1"/>
        <v>0</v>
      </c>
      <c r="N107" s="15">
        <f ca="1"/>
        <v>0</v>
      </c>
      <c r="O107" s="16" t="str">
        <f>G102</f>
        <v>head</v>
      </c>
      <c r="U107" s="15" t="str">
        <f>TEXT(EDATE(X_Cell_Site_StartDate,10), "mmmm")</f>
        <v>October</v>
      </c>
      <c r="V107" s="15" t="e" cm="1">
        <f t="array" aca="1" ref="V107" ca="1">EntericMethane_PastureBeef_Equations.VEERG_3_2_1_1__2_DailyEntericMethaneProduction(V86)</f>
        <v>#N/A</v>
      </c>
      <c r="W107" s="15" t="e" cm="1">
        <f t="array" aca="1" ref="W107" ca="1">EntericMethane_PastureBeef_Equations.VEERG_3_2_1_1__2_DailyEntericMethaneProduction(W86)</f>
        <v>#N/A</v>
      </c>
      <c r="X107" s="15" t="e" cm="1">
        <f t="array" aca="1" ref="X107" ca="1">EntericMethane_PastureBeef_Equations.VEERG_3_2_1_1__2_DailyEntericMethaneProduction(X86)</f>
        <v>#N/A</v>
      </c>
      <c r="Y107" s="15" t="e" cm="1">
        <f t="array" aca="1" ref="Y107" ca="1">EntericMethane_PastureBeef_Equations.VEERG_3_2_1_1__2_DailyEntericMethaneProduction(Y86)</f>
        <v>#N/A</v>
      </c>
      <c r="Z107" s="15" t="e" cm="1">
        <f t="array" aca="1" ref="Z107" ca="1">EntericMethane_PastureBeef_Equations.VEERG_3_2_1_1__2_DailyEntericMethaneProduction(Z86)</f>
        <v>#N/A</v>
      </c>
      <c r="AA107" s="15" t="e" cm="1">
        <f t="array" aca="1" ref="AA107" ca="1">EntericMethane_PastureBeef_Equations.VEERG_3_2_1_1__2_DailyEntericMethaneProduction(AA86)</f>
        <v>#N/A</v>
      </c>
      <c r="AB107" s="15" t="e" cm="1">
        <f t="array" aca="1" ref="AB107" ca="1">EntericMethane_PastureBeef_Equations.VEERG_3_2_1_1__2_DailyEntericMethaneProduction(AB86)</f>
        <v>#N/A</v>
      </c>
      <c r="AC107" s="15" t="e" cm="1">
        <f t="array" aca="1" ref="AC107" ca="1">EntericMethane_PastureBeef_Equations.VEERG_3_2_1_1__2_DailyEntericMethaneProduction(AC86)</f>
        <v>#N/A</v>
      </c>
      <c r="AD107" s="15" t="e" cm="1">
        <f t="array" aca="1" ref="AD107" ca="1">EntericMethane_PastureBeef_Equations.VEERG_3_2_1_1__2_DailyEntericMethaneProduction(AD86)</f>
        <v>#N/A</v>
      </c>
      <c r="AE107" s="15" t="e" cm="1">
        <f t="array" aca="1" ref="AE107" ca="1">EntericMethane_PastureBeef_Equations.VEERG_3_2_1_1__2_DailyEntericMethaneProduction(AE86)</f>
        <v>#N/A</v>
      </c>
      <c r="AF107" s="16"/>
    </row>
    <row r="108" spans="4:35" ht="20" customHeight="1" x14ac:dyDescent="0.25">
      <c r="D108" s="15" t="s">
        <v>336</v>
      </c>
      <c r="E108" s="15">
        <f ca="1"/>
        <v>0</v>
      </c>
      <c r="F108" s="15">
        <f ca="1"/>
        <v>0</v>
      </c>
      <c r="G108" s="15">
        <f ca="1"/>
        <v>0</v>
      </c>
      <c r="H108" s="15">
        <f ca="1"/>
        <v>0</v>
      </c>
      <c r="I108" s="15">
        <f ca="1"/>
        <v>0</v>
      </c>
      <c r="J108" s="15">
        <f ca="1"/>
        <v>0</v>
      </c>
      <c r="K108" s="15">
        <f ca="1"/>
        <v>0</v>
      </c>
      <c r="L108" s="15">
        <f ca="1"/>
        <v>0</v>
      </c>
      <c r="M108" s="15">
        <f ca="1"/>
        <v>0</v>
      </c>
      <c r="N108" s="15">
        <f ca="1"/>
        <v>0</v>
      </c>
      <c r="O108" s="16"/>
      <c r="U108" s="15" t="str">
        <f>TEXT(EDATE(X_Cell_Site_StartDate,11), "mmmm")</f>
        <v>November</v>
      </c>
      <c r="V108" s="15" t="e" cm="1">
        <f t="array" aca="1" ref="V108" ca="1">EntericMethane_PastureBeef_Equations.VEERG_3_2_1_1__2_DailyEntericMethaneProduction(V87)</f>
        <v>#N/A</v>
      </c>
      <c r="W108" s="15" t="e" cm="1">
        <f t="array" aca="1" ref="W108" ca="1">EntericMethane_PastureBeef_Equations.VEERG_3_2_1_1__2_DailyEntericMethaneProduction(W87)</f>
        <v>#N/A</v>
      </c>
      <c r="X108" s="15" t="e" cm="1">
        <f t="array" aca="1" ref="X108" ca="1">EntericMethane_PastureBeef_Equations.VEERG_3_2_1_1__2_DailyEntericMethaneProduction(X87)</f>
        <v>#N/A</v>
      </c>
      <c r="Y108" s="15" t="e" cm="1">
        <f t="array" aca="1" ref="Y108" ca="1">EntericMethane_PastureBeef_Equations.VEERG_3_2_1_1__2_DailyEntericMethaneProduction(Y87)</f>
        <v>#N/A</v>
      </c>
      <c r="Z108" s="15" t="e" cm="1">
        <f t="array" aca="1" ref="Z108" ca="1">EntericMethane_PastureBeef_Equations.VEERG_3_2_1_1__2_DailyEntericMethaneProduction(Z87)</f>
        <v>#N/A</v>
      </c>
      <c r="AA108" s="15" t="e" cm="1">
        <f t="array" aca="1" ref="AA108" ca="1">EntericMethane_PastureBeef_Equations.VEERG_3_2_1_1__2_DailyEntericMethaneProduction(AA87)</f>
        <v>#N/A</v>
      </c>
      <c r="AB108" s="15" t="e" cm="1">
        <f t="array" aca="1" ref="AB108" ca="1">EntericMethane_PastureBeef_Equations.VEERG_3_2_1_1__2_DailyEntericMethaneProduction(AB87)</f>
        <v>#N/A</v>
      </c>
      <c r="AC108" s="15" t="e" cm="1">
        <f t="array" aca="1" ref="AC108" ca="1">EntericMethane_PastureBeef_Equations.VEERG_3_2_1_1__2_DailyEntericMethaneProduction(AC87)</f>
        <v>#N/A</v>
      </c>
      <c r="AD108" s="15" t="e" cm="1">
        <f t="array" aca="1" ref="AD108" ca="1">EntericMethane_PastureBeef_Equations.VEERG_3_2_1_1__2_DailyEntericMethaneProduction(AD87)</f>
        <v>#N/A</v>
      </c>
      <c r="AE108" s="15" t="e" cm="1">
        <f t="array" aca="1" ref="AE108" ca="1">EntericMethane_PastureBeef_Equations.VEERG_3_2_1_1__2_DailyEntericMethaneProduction(AE87)</f>
        <v>#N/A</v>
      </c>
      <c r="AF108" s="16"/>
    </row>
    <row r="109" spans="4:35" ht="20" customHeight="1" x14ac:dyDescent="0.25">
      <c r="D109" s="15" t="s">
        <v>337</v>
      </c>
      <c r="E109" s="15">
        <f ca="1"/>
        <v>0</v>
      </c>
      <c r="F109" s="15">
        <f ca="1"/>
        <v>0</v>
      </c>
      <c r="G109" s="15">
        <f ca="1"/>
        <v>0</v>
      </c>
      <c r="H109" s="15">
        <f ca="1"/>
        <v>0</v>
      </c>
      <c r="I109" s="15">
        <f ca="1"/>
        <v>0</v>
      </c>
      <c r="J109" s="15">
        <f ca="1"/>
        <v>0</v>
      </c>
      <c r="K109" s="15">
        <f ca="1"/>
        <v>0</v>
      </c>
      <c r="L109" s="15">
        <f ca="1"/>
        <v>0</v>
      </c>
      <c r="M109" s="15">
        <f ca="1"/>
        <v>0</v>
      </c>
      <c r="N109" s="15">
        <f ca="1"/>
        <v>0</v>
      </c>
      <c r="O109" s="16"/>
    </row>
    <row r="110" spans="4:35" ht="20" customHeight="1" x14ac:dyDescent="0.25">
      <c r="D110" s="15" t="s">
        <v>338</v>
      </c>
      <c r="E110" s="15">
        <f ca="1"/>
        <v>0</v>
      </c>
      <c r="F110" s="15">
        <f ca="1"/>
        <v>0</v>
      </c>
      <c r="G110" s="15">
        <f ca="1"/>
        <v>0</v>
      </c>
      <c r="H110" s="15">
        <f ca="1"/>
        <v>0</v>
      </c>
      <c r="I110" s="15">
        <f ca="1"/>
        <v>0</v>
      </c>
      <c r="J110" s="15">
        <f ca="1"/>
        <v>0</v>
      </c>
      <c r="K110" s="15">
        <f ca="1"/>
        <v>0</v>
      </c>
      <c r="L110" s="15">
        <f ca="1"/>
        <v>0</v>
      </c>
      <c r="M110" s="15">
        <f ca="1"/>
        <v>0</v>
      </c>
      <c r="N110" s="15">
        <f ca="1"/>
        <v>0</v>
      </c>
      <c r="O110" s="16"/>
    </row>
    <row r="111" spans="4:35" ht="20" customHeight="1" x14ac:dyDescent="0.25">
      <c r="T111" s="87"/>
      <c r="U111" s="87"/>
      <c r="V111" s="87"/>
      <c r="W111" s="87"/>
      <c r="X111" s="87"/>
      <c r="Y111" s="87"/>
      <c r="Z111" s="87"/>
      <c r="AA111" s="87"/>
      <c r="AB111" s="87"/>
      <c r="AC111" s="87"/>
      <c r="AD111" s="87"/>
      <c r="AE111" s="87"/>
      <c r="AF111" s="87"/>
      <c r="AG111" s="87"/>
      <c r="AH111" s="87"/>
      <c r="AI111" s="87"/>
    </row>
    <row r="112" spans="4:35" ht="20" customHeight="1" x14ac:dyDescent="0.25">
      <c r="D112" s="112" t="s">
        <v>427</v>
      </c>
      <c r="U112" s="2" t="str" cm="1">
        <f t="array" ref="U112">EntericMethane_PastureBeef_Equations.VEERG_3_2_1_1__1_TotalAnnualMethaneFromEntericFermentation_Title()</f>
        <v>Total annual methane production from enteric fermentation in grazing beef cattle</v>
      </c>
    </row>
    <row r="113" spans="4:34" ht="20" customHeight="1" x14ac:dyDescent="0.25">
      <c r="D113" s="113" t="s">
        <v>428</v>
      </c>
    </row>
    <row r="114" spans="4:34" ht="20" customHeight="1" x14ac:dyDescent="0.25">
      <c r="D114" s="114" t="s">
        <v>76</v>
      </c>
      <c r="E114" s="82" t="s">
        <v>326</v>
      </c>
      <c r="F114" s="82" t="s">
        <v>184</v>
      </c>
      <c r="G114" s="82" t="s">
        <v>327</v>
      </c>
      <c r="H114" s="82" t="s">
        <v>328</v>
      </c>
      <c r="I114" s="82" t="s">
        <v>329</v>
      </c>
      <c r="J114" s="82" t="s">
        <v>330</v>
      </c>
      <c r="K114" s="82" t="s">
        <v>331</v>
      </c>
      <c r="L114" s="82" t="s">
        <v>332</v>
      </c>
      <c r="M114" s="82" t="s">
        <v>333</v>
      </c>
      <c r="N114" s="82" t="s">
        <v>334</v>
      </c>
      <c r="U114" s="112" t="s">
        <v>423</v>
      </c>
    </row>
    <row r="115" spans="4:34" ht="20" customHeight="1" x14ac:dyDescent="0.25">
      <c r="D115" s="15" t="s">
        <v>335</v>
      </c>
      <c r="E115" s="15" cm="1">
        <f t="array" aca="1" ref="E115:N118" ca="1">OFFSET(X_Table_PastureBeef_Duration_Method1,1,1,4,10)</f>
        <v>91.25</v>
      </c>
      <c r="F115" s="15">
        <f ca="1"/>
        <v>91.25</v>
      </c>
      <c r="G115" s="15">
        <f ca="1"/>
        <v>91.25</v>
      </c>
      <c r="H115" s="15">
        <f ca="1"/>
        <v>91.25</v>
      </c>
      <c r="I115" s="15">
        <f ca="1"/>
        <v>91.25</v>
      </c>
      <c r="J115" s="15">
        <f ca="1"/>
        <v>91.25</v>
      </c>
      <c r="K115" s="15">
        <f ca="1"/>
        <v>91.25</v>
      </c>
      <c r="L115" s="15">
        <f ca="1"/>
        <v>91.25</v>
      </c>
      <c r="M115" s="15">
        <f ca="1"/>
        <v>91.25</v>
      </c>
      <c r="N115" s="15">
        <f ca="1"/>
        <v>91.25</v>
      </c>
      <c r="O115" s="16" t="str">
        <f>G100</f>
        <v>days</v>
      </c>
      <c r="U115" s="113" t="s">
        <v>425</v>
      </c>
      <c r="AH115" s="16"/>
    </row>
    <row r="116" spans="4:34" ht="20" customHeight="1" x14ac:dyDescent="0.25">
      <c r="D116" s="15" t="s">
        <v>336</v>
      </c>
      <c r="E116" s="15">
        <f ca="1"/>
        <v>91.25</v>
      </c>
      <c r="F116" s="15">
        <f ca="1"/>
        <v>91.25</v>
      </c>
      <c r="G116" s="15">
        <f ca="1"/>
        <v>91.25</v>
      </c>
      <c r="H116" s="15">
        <f ca="1"/>
        <v>91.25</v>
      </c>
      <c r="I116" s="15">
        <f ca="1"/>
        <v>91.25</v>
      </c>
      <c r="J116" s="15">
        <f ca="1"/>
        <v>91.25</v>
      </c>
      <c r="K116" s="15">
        <f ca="1"/>
        <v>91.25</v>
      </c>
      <c r="L116" s="15">
        <f ca="1"/>
        <v>91.25</v>
      </c>
      <c r="M116" s="15">
        <f ca="1"/>
        <v>91.25</v>
      </c>
      <c r="N116" s="15">
        <f ca="1"/>
        <v>91.25</v>
      </c>
      <c r="O116" s="16"/>
      <c r="U116" s="114" t="s">
        <v>75</v>
      </c>
      <c r="V116" s="82" t="s">
        <v>326</v>
      </c>
      <c r="W116" s="82" t="s">
        <v>184</v>
      </c>
      <c r="X116" s="82" t="s">
        <v>327</v>
      </c>
      <c r="Y116" s="82" t="s">
        <v>328</v>
      </c>
      <c r="Z116" s="82" t="s">
        <v>329</v>
      </c>
      <c r="AA116" s="82" t="s">
        <v>330</v>
      </c>
      <c r="AB116" s="82" t="s">
        <v>331</v>
      </c>
      <c r="AC116" s="82" t="s">
        <v>332</v>
      </c>
      <c r="AD116" s="82" t="s">
        <v>333</v>
      </c>
      <c r="AE116" s="82" t="s">
        <v>334</v>
      </c>
      <c r="AF116" s="16"/>
      <c r="AH116" s="16"/>
    </row>
    <row r="117" spans="4:34" ht="20" customHeight="1" x14ac:dyDescent="0.25">
      <c r="D117" s="15" t="s">
        <v>337</v>
      </c>
      <c r="E117" s="15">
        <f ca="1"/>
        <v>91.25</v>
      </c>
      <c r="F117" s="15">
        <f ca="1"/>
        <v>91.25</v>
      </c>
      <c r="G117" s="15">
        <f ca="1"/>
        <v>91.25</v>
      </c>
      <c r="H117" s="15">
        <f ca="1"/>
        <v>91.25</v>
      </c>
      <c r="I117" s="15">
        <f ca="1"/>
        <v>91.25</v>
      </c>
      <c r="J117" s="15">
        <f ca="1"/>
        <v>91.25</v>
      </c>
      <c r="K117" s="15">
        <f ca="1"/>
        <v>91.25</v>
      </c>
      <c r="L117" s="15">
        <f ca="1"/>
        <v>91.25</v>
      </c>
      <c r="M117" s="15">
        <f ca="1"/>
        <v>91.25</v>
      </c>
      <c r="N117" s="15">
        <f ca="1"/>
        <v>91.25</v>
      </c>
      <c r="O117" s="16"/>
      <c r="U117" s="15" t="str">
        <f>TEXT(X_Cell_Site_StartDate,"mmmm")</f>
        <v>January</v>
      </c>
      <c r="V117" s="15" cm="1">
        <f t="array" aca="1" ref="V117:AE128" ca="1">OFFSET(X_Table_PastureBeef_Head_Method2,1,1,12,10)</f>
        <v>0</v>
      </c>
      <c r="W117" s="15">
        <f ca="1"/>
        <v>0</v>
      </c>
      <c r="X117" s="15">
        <f ca="1"/>
        <v>0</v>
      </c>
      <c r="Y117" s="15">
        <f ca="1"/>
        <v>0</v>
      </c>
      <c r="Z117" s="15">
        <f ca="1"/>
        <v>0</v>
      </c>
      <c r="AA117" s="15">
        <f ca="1"/>
        <v>0</v>
      </c>
      <c r="AB117" s="15">
        <f ca="1"/>
        <v>0</v>
      </c>
      <c r="AC117" s="15">
        <f ca="1"/>
        <v>0</v>
      </c>
      <c r="AD117" s="15">
        <f ca="1"/>
        <v>0</v>
      </c>
      <c r="AE117" s="15">
        <f ca="1"/>
        <v>0</v>
      </c>
      <c r="AF117" s="16" t="str">
        <f>$G$102</f>
        <v>head</v>
      </c>
      <c r="AH117" s="16"/>
    </row>
    <row r="118" spans="4:34" ht="20" customHeight="1" x14ac:dyDescent="0.25">
      <c r="D118" s="15" t="s">
        <v>338</v>
      </c>
      <c r="E118" s="15">
        <f ca="1"/>
        <v>91.25</v>
      </c>
      <c r="F118" s="15">
        <f ca="1"/>
        <v>91.25</v>
      </c>
      <c r="G118" s="15">
        <f ca="1"/>
        <v>91.25</v>
      </c>
      <c r="H118" s="15">
        <f ca="1"/>
        <v>91.25</v>
      </c>
      <c r="I118" s="15">
        <f ca="1"/>
        <v>91.25</v>
      </c>
      <c r="J118" s="15">
        <f ca="1"/>
        <v>91.25</v>
      </c>
      <c r="K118" s="15">
        <f ca="1"/>
        <v>91.25</v>
      </c>
      <c r="L118" s="15">
        <f ca="1"/>
        <v>91.25</v>
      </c>
      <c r="M118" s="15">
        <f ca="1"/>
        <v>91.25</v>
      </c>
      <c r="N118" s="15">
        <f ca="1"/>
        <v>91.25</v>
      </c>
      <c r="O118" s="16"/>
      <c r="U118" s="15" t="str">
        <f>TEXT(EDATE(X_Cell_Site_StartDate,1), "mmmm")</f>
        <v>January</v>
      </c>
      <c r="V118" s="15">
        <f ca="1"/>
        <v>0</v>
      </c>
      <c r="W118" s="15">
        <f ca="1"/>
        <v>0</v>
      </c>
      <c r="X118" s="15">
        <f ca="1"/>
        <v>0</v>
      </c>
      <c r="Y118" s="15">
        <f ca="1"/>
        <v>0</v>
      </c>
      <c r="Z118" s="15">
        <f ca="1"/>
        <v>0</v>
      </c>
      <c r="AA118" s="15">
        <f ca="1"/>
        <v>0</v>
      </c>
      <c r="AB118" s="15">
        <f ca="1"/>
        <v>0</v>
      </c>
      <c r="AC118" s="15">
        <f ca="1"/>
        <v>0</v>
      </c>
      <c r="AD118" s="15">
        <f ca="1"/>
        <v>0</v>
      </c>
      <c r="AE118" s="15">
        <f ca="1"/>
        <v>0</v>
      </c>
      <c r="AF118" s="16"/>
      <c r="AH118" s="16"/>
    </row>
    <row r="119" spans="4:34" ht="20" customHeight="1" x14ac:dyDescent="0.25">
      <c r="U119" s="15" t="str">
        <f>TEXT(EDATE(X_Cell_Site_StartDate,2), "mmmm")</f>
        <v>February</v>
      </c>
      <c r="V119" s="15">
        <f ca="1"/>
        <v>0</v>
      </c>
      <c r="W119" s="15">
        <f ca="1"/>
        <v>0</v>
      </c>
      <c r="X119" s="15">
        <f ca="1"/>
        <v>0</v>
      </c>
      <c r="Y119" s="15">
        <f ca="1"/>
        <v>0</v>
      </c>
      <c r="Z119" s="15">
        <f ca="1"/>
        <v>0</v>
      </c>
      <c r="AA119" s="15">
        <f ca="1"/>
        <v>0</v>
      </c>
      <c r="AB119" s="15">
        <f ca="1"/>
        <v>0</v>
      </c>
      <c r="AC119" s="15">
        <f ca="1"/>
        <v>0</v>
      </c>
      <c r="AD119" s="15">
        <f ca="1"/>
        <v>0</v>
      </c>
      <c r="AE119" s="15">
        <f ca="1"/>
        <v>0</v>
      </c>
      <c r="AF119" s="16"/>
      <c r="AH119" s="16"/>
    </row>
    <row r="120" spans="4:34" ht="20" customHeight="1" x14ac:dyDescent="0.25">
      <c r="D120" s="112" t="s">
        <v>575</v>
      </c>
      <c r="U120" s="15" t="str">
        <f>TEXT(EDATE(X_Cell_Site_StartDate,3), "mmmm")</f>
        <v>March</v>
      </c>
      <c r="V120" s="15">
        <f ca="1"/>
        <v>0</v>
      </c>
      <c r="W120" s="15">
        <f ca="1"/>
        <v>0</v>
      </c>
      <c r="X120" s="15">
        <f ca="1"/>
        <v>0</v>
      </c>
      <c r="Y120" s="15">
        <f ca="1"/>
        <v>0</v>
      </c>
      <c r="Z120" s="15">
        <f ca="1"/>
        <v>0</v>
      </c>
      <c r="AA120" s="15">
        <f ca="1"/>
        <v>0</v>
      </c>
      <c r="AB120" s="15">
        <f ca="1"/>
        <v>0</v>
      </c>
      <c r="AC120" s="15">
        <f ca="1"/>
        <v>0</v>
      </c>
      <c r="AD120" s="15">
        <f ca="1"/>
        <v>0</v>
      </c>
      <c r="AE120" s="15">
        <f ca="1"/>
        <v>0</v>
      </c>
      <c r="AF120" s="16"/>
      <c r="AH120" s="16"/>
    </row>
    <row r="121" spans="4:34" ht="20" customHeight="1" x14ac:dyDescent="0.25">
      <c r="D121" s="113" t="s">
        <v>576</v>
      </c>
      <c r="U121" s="15" t="str">
        <f>TEXT(EDATE(X_Cell_Site_StartDate,4), "mmmm")</f>
        <v>April</v>
      </c>
      <c r="V121" s="15">
        <f ca="1"/>
        <v>0</v>
      </c>
      <c r="W121" s="15">
        <f ca="1"/>
        <v>0</v>
      </c>
      <c r="X121" s="15">
        <f ca="1"/>
        <v>0</v>
      </c>
      <c r="Y121" s="15">
        <f ca="1"/>
        <v>0</v>
      </c>
      <c r="Z121" s="15">
        <f ca="1"/>
        <v>0</v>
      </c>
      <c r="AA121" s="15">
        <f ca="1"/>
        <v>0</v>
      </c>
      <c r="AB121" s="15">
        <f ca="1"/>
        <v>0</v>
      </c>
      <c r="AC121" s="15">
        <f ca="1"/>
        <v>0</v>
      </c>
      <c r="AD121" s="15">
        <f ca="1"/>
        <v>0</v>
      </c>
      <c r="AE121" s="15">
        <f ca="1"/>
        <v>0</v>
      </c>
      <c r="AF121" s="16"/>
      <c r="AH121" s="16"/>
    </row>
    <row r="122" spans="4:34" ht="20" customHeight="1" x14ac:dyDescent="0.25">
      <c r="D122" s="114" t="s">
        <v>76</v>
      </c>
      <c r="E122" s="114" t="s">
        <v>326</v>
      </c>
      <c r="F122" s="114" t="s">
        <v>184</v>
      </c>
      <c r="G122" s="114" t="s">
        <v>327</v>
      </c>
      <c r="H122" s="114" t="s">
        <v>328</v>
      </c>
      <c r="I122" s="114" t="s">
        <v>329</v>
      </c>
      <c r="J122" s="114" t="s">
        <v>330</v>
      </c>
      <c r="K122" s="114" t="s">
        <v>331</v>
      </c>
      <c r="L122" s="114" t="s">
        <v>332</v>
      </c>
      <c r="M122" s="114" t="s">
        <v>333</v>
      </c>
      <c r="N122" s="114" t="s">
        <v>334</v>
      </c>
      <c r="U122" s="15" t="str">
        <f>TEXT(EDATE(X_Cell_Site_StartDate,5), "mmmm")</f>
        <v>May</v>
      </c>
      <c r="V122" s="15">
        <f ca="1"/>
        <v>0</v>
      </c>
      <c r="W122" s="15">
        <f ca="1"/>
        <v>0</v>
      </c>
      <c r="X122" s="15">
        <f ca="1"/>
        <v>0</v>
      </c>
      <c r="Y122" s="15">
        <f ca="1"/>
        <v>0</v>
      </c>
      <c r="Z122" s="15">
        <f ca="1"/>
        <v>0</v>
      </c>
      <c r="AA122" s="15">
        <f ca="1"/>
        <v>0</v>
      </c>
      <c r="AB122" s="15">
        <f ca="1"/>
        <v>0</v>
      </c>
      <c r="AC122" s="15">
        <f ca="1"/>
        <v>0</v>
      </c>
      <c r="AD122" s="15">
        <f ca="1"/>
        <v>0</v>
      </c>
      <c r="AE122" s="15">
        <f ca="1"/>
        <v>0</v>
      </c>
      <c r="AF122" s="16"/>
      <c r="AH122" s="16"/>
    </row>
    <row r="123" spans="4:34" ht="20" customHeight="1" x14ac:dyDescent="0.25">
      <c r="D123" s="15" t="s">
        <v>335</v>
      </c>
      <c r="E123" s="15" t="e" cm="1">
        <f t="array" aca="1" ref="E123" ca="1">EntericMethane_PastureBeef_Equations.VEERG_3_2_1_1__1_TotalAnnualMethaneFromEntericFermentation(E115,E85,E107)</f>
        <v>#N/A</v>
      </c>
      <c r="F123" s="15" t="e" cm="1">
        <f t="array" aca="1" ref="F123" ca="1">EntericMethane_PastureBeef_Equations.VEERG_3_2_1_1__1_TotalAnnualMethaneFromEntericFermentation(F115,F85,F107)</f>
        <v>#N/A</v>
      </c>
      <c r="G123" s="15" t="e" cm="1">
        <f t="array" aca="1" ref="G123" ca="1">EntericMethane_PastureBeef_Equations.VEERG_3_2_1_1__1_TotalAnnualMethaneFromEntericFermentation(G115,G85,G107)</f>
        <v>#N/A</v>
      </c>
      <c r="H123" s="15" t="e" cm="1">
        <f t="array" aca="1" ref="H123" ca="1">EntericMethane_PastureBeef_Equations.VEERG_3_2_1_1__1_TotalAnnualMethaneFromEntericFermentation(H115,H85,H107)</f>
        <v>#N/A</v>
      </c>
      <c r="I123" s="15" t="e" cm="1">
        <f t="array" aca="1" ref="I123" ca="1">EntericMethane_PastureBeef_Equations.VEERG_3_2_1_1__1_TotalAnnualMethaneFromEntericFermentation(I115,I85,I107)</f>
        <v>#N/A</v>
      </c>
      <c r="J123" s="15" t="e" cm="1">
        <f t="array" aca="1" ref="J123" ca="1">EntericMethane_PastureBeef_Equations.VEERG_3_2_1_1__1_TotalAnnualMethaneFromEntericFermentation(J115,J85,J107)</f>
        <v>#N/A</v>
      </c>
      <c r="K123" s="15" t="e" cm="1">
        <f t="array" aca="1" ref="K123" ca="1">EntericMethane_PastureBeef_Equations.VEERG_3_2_1_1__1_TotalAnnualMethaneFromEntericFermentation(K115,K85,K107)</f>
        <v>#N/A</v>
      </c>
      <c r="L123" s="15" t="e" cm="1">
        <f t="array" aca="1" ref="L123" ca="1">EntericMethane_PastureBeef_Equations.VEERG_3_2_1_1__1_TotalAnnualMethaneFromEntericFermentation(L115,L85,L107)</f>
        <v>#N/A</v>
      </c>
      <c r="M123" s="15" t="e" cm="1">
        <f t="array" aca="1" ref="M123" ca="1">EntericMethane_PastureBeef_Equations.VEERG_3_2_1_1__1_TotalAnnualMethaneFromEntericFermentation(M115,M85,M107)</f>
        <v>#N/A</v>
      </c>
      <c r="N123" s="15" t="e" cm="1">
        <f t="array" aca="1" ref="N123" ca="1">EntericMethane_PastureBeef_Equations.VEERG_3_2_1_1__1_TotalAnnualMethaneFromEntericFermentation(N115,N85,N107)</f>
        <v>#N/A</v>
      </c>
      <c r="O123" s="16" t="str">
        <f>E98</f>
        <v>t CH4</v>
      </c>
      <c r="Q123" s="16"/>
      <c r="U123" s="15" t="str">
        <f>TEXT(EDATE(X_Cell_Site_StartDate,6), "mmmm")</f>
        <v>June</v>
      </c>
      <c r="V123" s="15">
        <f ca="1"/>
        <v>0</v>
      </c>
      <c r="W123" s="15">
        <f ca="1"/>
        <v>0</v>
      </c>
      <c r="X123" s="15">
        <f ca="1"/>
        <v>0</v>
      </c>
      <c r="Y123" s="15">
        <f ca="1"/>
        <v>0</v>
      </c>
      <c r="Z123" s="15">
        <f ca="1"/>
        <v>0</v>
      </c>
      <c r="AA123" s="15">
        <f ca="1"/>
        <v>0</v>
      </c>
      <c r="AB123" s="15">
        <f ca="1"/>
        <v>0</v>
      </c>
      <c r="AC123" s="15">
        <f ca="1"/>
        <v>0</v>
      </c>
      <c r="AD123" s="15">
        <f ca="1"/>
        <v>0</v>
      </c>
      <c r="AE123" s="15">
        <f ca="1"/>
        <v>0</v>
      </c>
      <c r="AF123" s="16"/>
      <c r="AH123" s="16"/>
    </row>
    <row r="124" spans="4:34" ht="20" customHeight="1" x14ac:dyDescent="0.25">
      <c r="D124" s="15" t="s">
        <v>336</v>
      </c>
      <c r="E124" s="15" t="e" cm="1">
        <f t="array" aca="1" ref="E124" ca="1">EntericMethane_PastureBeef_Equations.VEERG_3_2_1_1__1_TotalAnnualMethaneFromEntericFermentation(E116,E86,E108)</f>
        <v>#N/A</v>
      </c>
      <c r="F124" s="15" t="e" cm="1">
        <f t="array" aca="1" ref="F124" ca="1">EntericMethane_PastureBeef_Equations.VEERG_3_2_1_1__1_TotalAnnualMethaneFromEntericFermentation(F116,F86,F108)</f>
        <v>#N/A</v>
      </c>
      <c r="G124" s="15" t="e" cm="1">
        <f t="array" aca="1" ref="G124" ca="1">EntericMethane_PastureBeef_Equations.VEERG_3_2_1_1__1_TotalAnnualMethaneFromEntericFermentation(G116,G86,G108)</f>
        <v>#N/A</v>
      </c>
      <c r="H124" s="15" t="e" cm="1">
        <f t="array" aca="1" ref="H124" ca="1">EntericMethane_PastureBeef_Equations.VEERG_3_2_1_1__1_TotalAnnualMethaneFromEntericFermentation(H116,H86,H108)</f>
        <v>#N/A</v>
      </c>
      <c r="I124" s="15" t="e" cm="1">
        <f t="array" aca="1" ref="I124" ca="1">EntericMethane_PastureBeef_Equations.VEERG_3_2_1_1__1_TotalAnnualMethaneFromEntericFermentation(I116,I86,I108)</f>
        <v>#N/A</v>
      </c>
      <c r="J124" s="15" t="e" cm="1">
        <f t="array" aca="1" ref="J124" ca="1">EntericMethane_PastureBeef_Equations.VEERG_3_2_1_1__1_TotalAnnualMethaneFromEntericFermentation(J116,J86,J108)</f>
        <v>#N/A</v>
      </c>
      <c r="K124" s="15" t="e" cm="1">
        <f t="array" aca="1" ref="K124" ca="1">EntericMethane_PastureBeef_Equations.VEERG_3_2_1_1__1_TotalAnnualMethaneFromEntericFermentation(K116,K86,K108)</f>
        <v>#N/A</v>
      </c>
      <c r="L124" s="15" t="e" cm="1">
        <f t="array" aca="1" ref="L124" ca="1">EntericMethane_PastureBeef_Equations.VEERG_3_2_1_1__1_TotalAnnualMethaneFromEntericFermentation(L116,L86,L108)</f>
        <v>#N/A</v>
      </c>
      <c r="M124" s="15" t="e" cm="1">
        <f t="array" aca="1" ref="M124" ca="1">EntericMethane_PastureBeef_Equations.VEERG_3_2_1_1__1_TotalAnnualMethaneFromEntericFermentation(M116,M86,M108)</f>
        <v>#N/A</v>
      </c>
      <c r="N124" s="15" t="e" cm="1">
        <f t="array" aca="1" ref="N124" ca="1">EntericMethane_PastureBeef_Equations.VEERG_3_2_1_1__1_TotalAnnualMethaneFromEntericFermentation(N116,N86,N108)</f>
        <v>#N/A</v>
      </c>
      <c r="O124" s="16"/>
      <c r="Q124" s="16"/>
      <c r="U124" s="15" t="str">
        <f>TEXT(EDATE(X_Cell_Site_StartDate,7), "mmmm")</f>
        <v>July</v>
      </c>
      <c r="V124" s="15">
        <f ca="1"/>
        <v>0</v>
      </c>
      <c r="W124" s="15">
        <f ca="1"/>
        <v>0</v>
      </c>
      <c r="X124" s="15">
        <f ca="1"/>
        <v>0</v>
      </c>
      <c r="Y124" s="15">
        <f ca="1"/>
        <v>0</v>
      </c>
      <c r="Z124" s="15">
        <f ca="1"/>
        <v>0</v>
      </c>
      <c r="AA124" s="15">
        <f ca="1"/>
        <v>0</v>
      </c>
      <c r="AB124" s="15">
        <f ca="1"/>
        <v>0</v>
      </c>
      <c r="AC124" s="15">
        <f ca="1"/>
        <v>0</v>
      </c>
      <c r="AD124" s="15">
        <f ca="1"/>
        <v>0</v>
      </c>
      <c r="AE124" s="15">
        <f ca="1"/>
        <v>0</v>
      </c>
      <c r="AF124" s="16"/>
      <c r="AH124" s="16"/>
    </row>
    <row r="125" spans="4:34" ht="20" customHeight="1" x14ac:dyDescent="0.25">
      <c r="D125" s="15" t="s">
        <v>337</v>
      </c>
      <c r="E125" s="15" t="e" cm="1">
        <f t="array" aca="1" ref="E125" ca="1">EntericMethane_PastureBeef_Equations.VEERG_3_2_1_1__1_TotalAnnualMethaneFromEntericFermentation(E117,E87,E109)</f>
        <v>#N/A</v>
      </c>
      <c r="F125" s="15" t="e" cm="1">
        <f t="array" aca="1" ref="F125" ca="1">EntericMethane_PastureBeef_Equations.VEERG_3_2_1_1__1_TotalAnnualMethaneFromEntericFermentation(F117,F87,F109)</f>
        <v>#N/A</v>
      </c>
      <c r="G125" s="15" t="e" cm="1">
        <f t="array" aca="1" ref="G125" ca="1">EntericMethane_PastureBeef_Equations.VEERG_3_2_1_1__1_TotalAnnualMethaneFromEntericFermentation(G117,G87,G109)</f>
        <v>#N/A</v>
      </c>
      <c r="H125" s="15" t="e" cm="1">
        <f t="array" aca="1" ref="H125" ca="1">EntericMethane_PastureBeef_Equations.VEERG_3_2_1_1__1_TotalAnnualMethaneFromEntericFermentation(H117,H87,H109)</f>
        <v>#N/A</v>
      </c>
      <c r="I125" s="15" t="e" cm="1">
        <f t="array" aca="1" ref="I125" ca="1">EntericMethane_PastureBeef_Equations.VEERG_3_2_1_1__1_TotalAnnualMethaneFromEntericFermentation(I117,I87,I109)</f>
        <v>#N/A</v>
      </c>
      <c r="J125" s="15" t="e" cm="1">
        <f t="array" aca="1" ref="J125" ca="1">EntericMethane_PastureBeef_Equations.VEERG_3_2_1_1__1_TotalAnnualMethaneFromEntericFermentation(J117,J87,J109)</f>
        <v>#N/A</v>
      </c>
      <c r="K125" s="15" t="e" cm="1">
        <f t="array" aca="1" ref="K125" ca="1">EntericMethane_PastureBeef_Equations.VEERG_3_2_1_1__1_TotalAnnualMethaneFromEntericFermentation(K117,K87,K109)</f>
        <v>#N/A</v>
      </c>
      <c r="L125" s="15" t="e" cm="1">
        <f t="array" aca="1" ref="L125" ca="1">EntericMethane_PastureBeef_Equations.VEERG_3_2_1_1__1_TotalAnnualMethaneFromEntericFermentation(L117,L87,L109)</f>
        <v>#N/A</v>
      </c>
      <c r="M125" s="15" t="e" cm="1">
        <f t="array" aca="1" ref="M125" ca="1">EntericMethane_PastureBeef_Equations.VEERG_3_2_1_1__1_TotalAnnualMethaneFromEntericFermentation(M117,M87,M109)</f>
        <v>#N/A</v>
      </c>
      <c r="N125" s="15" t="e" cm="1">
        <f t="array" aca="1" ref="N125" ca="1">EntericMethane_PastureBeef_Equations.VEERG_3_2_1_1__1_TotalAnnualMethaneFromEntericFermentation(N117,N87,N109)</f>
        <v>#N/A</v>
      </c>
      <c r="O125" s="16"/>
      <c r="Q125" s="16"/>
      <c r="U125" s="15" t="str">
        <f>TEXT(EDATE(X_Cell_Site_StartDate,8), "mmmm")</f>
        <v>August</v>
      </c>
      <c r="V125" s="15">
        <f ca="1"/>
        <v>0</v>
      </c>
      <c r="W125" s="15">
        <f ca="1"/>
        <v>0</v>
      </c>
      <c r="X125" s="15">
        <f ca="1"/>
        <v>0</v>
      </c>
      <c r="Y125" s="15">
        <f ca="1"/>
        <v>0</v>
      </c>
      <c r="Z125" s="15">
        <f ca="1"/>
        <v>0</v>
      </c>
      <c r="AA125" s="15">
        <f ca="1"/>
        <v>0</v>
      </c>
      <c r="AB125" s="15">
        <f ca="1"/>
        <v>0</v>
      </c>
      <c r="AC125" s="15">
        <f ca="1"/>
        <v>0</v>
      </c>
      <c r="AD125" s="15">
        <f ca="1"/>
        <v>0</v>
      </c>
      <c r="AE125" s="15">
        <f ca="1"/>
        <v>0</v>
      </c>
      <c r="AF125" s="16"/>
      <c r="AH125" s="16"/>
    </row>
    <row r="126" spans="4:34" ht="20" customHeight="1" x14ac:dyDescent="0.25">
      <c r="D126" s="15" t="s">
        <v>338</v>
      </c>
      <c r="E126" s="15" t="e" cm="1">
        <f t="array" aca="1" ref="E126" ca="1">EntericMethane_PastureBeef_Equations.VEERG_3_2_1_1__1_TotalAnnualMethaneFromEntericFermentation(E118,E88,E110)</f>
        <v>#N/A</v>
      </c>
      <c r="F126" s="15" t="e" cm="1">
        <f t="array" aca="1" ref="F126" ca="1">EntericMethane_PastureBeef_Equations.VEERG_3_2_1_1__1_TotalAnnualMethaneFromEntericFermentation(F118,F88,F110)</f>
        <v>#N/A</v>
      </c>
      <c r="G126" s="15" t="e" cm="1">
        <f t="array" aca="1" ref="G126" ca="1">EntericMethane_PastureBeef_Equations.VEERG_3_2_1_1__1_TotalAnnualMethaneFromEntericFermentation(G118,G88,G110)</f>
        <v>#N/A</v>
      </c>
      <c r="H126" s="15" t="e" cm="1">
        <f t="array" aca="1" ref="H126" ca="1">EntericMethane_PastureBeef_Equations.VEERG_3_2_1_1__1_TotalAnnualMethaneFromEntericFermentation(H118,H88,H110)</f>
        <v>#N/A</v>
      </c>
      <c r="I126" s="15" t="e" cm="1">
        <f t="array" aca="1" ref="I126" ca="1">EntericMethane_PastureBeef_Equations.VEERG_3_2_1_1__1_TotalAnnualMethaneFromEntericFermentation(I118,I88,I110)</f>
        <v>#N/A</v>
      </c>
      <c r="J126" s="15" t="e" cm="1">
        <f t="array" aca="1" ref="J126" ca="1">EntericMethane_PastureBeef_Equations.VEERG_3_2_1_1__1_TotalAnnualMethaneFromEntericFermentation(J118,J88,J110)</f>
        <v>#N/A</v>
      </c>
      <c r="K126" s="15" t="e" cm="1">
        <f t="array" aca="1" ref="K126" ca="1">EntericMethane_PastureBeef_Equations.VEERG_3_2_1_1__1_TotalAnnualMethaneFromEntericFermentation(K118,K88,K110)</f>
        <v>#N/A</v>
      </c>
      <c r="L126" s="15" t="e" cm="1">
        <f t="array" aca="1" ref="L126" ca="1">EntericMethane_PastureBeef_Equations.VEERG_3_2_1_1__1_TotalAnnualMethaneFromEntericFermentation(L118,L88,L110)</f>
        <v>#N/A</v>
      </c>
      <c r="M126" s="15" t="e" cm="1">
        <f t="array" aca="1" ref="M126" ca="1">EntericMethane_PastureBeef_Equations.VEERG_3_2_1_1__1_TotalAnnualMethaneFromEntericFermentation(M118,M88,M110)</f>
        <v>#N/A</v>
      </c>
      <c r="N126" s="15" t="e" cm="1">
        <f t="array" aca="1" ref="N126" ca="1">EntericMethane_PastureBeef_Equations.VEERG_3_2_1_1__1_TotalAnnualMethaneFromEntericFermentation(N118,N88,N110)</f>
        <v>#N/A</v>
      </c>
      <c r="O126" s="16"/>
      <c r="Q126" s="16"/>
      <c r="U126" s="15" t="str">
        <f>TEXT(EDATE(X_Cell_Site_StartDate,9), "mmmm")</f>
        <v>September</v>
      </c>
      <c r="V126" s="15">
        <f ca="1"/>
        <v>0</v>
      </c>
      <c r="W126" s="15">
        <f ca="1"/>
        <v>0</v>
      </c>
      <c r="X126" s="15">
        <f ca="1"/>
        <v>0</v>
      </c>
      <c r="Y126" s="15">
        <f ca="1"/>
        <v>0</v>
      </c>
      <c r="Z126" s="15">
        <f ca="1"/>
        <v>0</v>
      </c>
      <c r="AA126" s="15">
        <f ca="1"/>
        <v>0</v>
      </c>
      <c r="AB126" s="15">
        <f ca="1"/>
        <v>0</v>
      </c>
      <c r="AC126" s="15">
        <f ca="1"/>
        <v>0</v>
      </c>
      <c r="AD126" s="15">
        <f ca="1"/>
        <v>0</v>
      </c>
      <c r="AE126" s="15">
        <f ca="1"/>
        <v>0</v>
      </c>
      <c r="AF126" s="16"/>
      <c r="AH126" s="16"/>
    </row>
    <row r="127" spans="4:34" ht="20" customHeight="1" x14ac:dyDescent="0.25">
      <c r="Q127" s="16"/>
      <c r="U127" s="15" t="str">
        <f>TEXT(EDATE(X_Cell_Site_StartDate,10), "mmmm")</f>
        <v>October</v>
      </c>
      <c r="V127" s="15">
        <f ca="1"/>
        <v>0</v>
      </c>
      <c r="W127" s="15">
        <f ca="1"/>
        <v>0</v>
      </c>
      <c r="X127" s="15">
        <f ca="1"/>
        <v>0</v>
      </c>
      <c r="Y127" s="15">
        <f ca="1"/>
        <v>0</v>
      </c>
      <c r="Z127" s="15">
        <f ca="1"/>
        <v>0</v>
      </c>
      <c r="AA127" s="15">
        <f ca="1"/>
        <v>0</v>
      </c>
      <c r="AB127" s="15">
        <f ca="1"/>
        <v>0</v>
      </c>
      <c r="AC127" s="15">
        <f ca="1"/>
        <v>0</v>
      </c>
      <c r="AD127" s="15">
        <f ca="1"/>
        <v>0</v>
      </c>
      <c r="AE127" s="15">
        <f ca="1"/>
        <v>0</v>
      </c>
      <c r="AF127" s="16"/>
    </row>
    <row r="128" spans="4:34" ht="20" customHeight="1" x14ac:dyDescent="0.25">
      <c r="D128" s="90" t="s">
        <v>434</v>
      </c>
      <c r="E128" s="91" t="e">
        <f ca="1">SUM(E123:N126)</f>
        <v>#N/A</v>
      </c>
      <c r="F128" s="95" t="str">
        <f>$E$98</f>
        <v>t CH4</v>
      </c>
      <c r="Q128" s="16"/>
      <c r="U128" s="15" t="str">
        <f>TEXT(EDATE(X_Cell_Site_StartDate,11), "mmmm")</f>
        <v>November</v>
      </c>
      <c r="V128" s="15">
        <f ca="1"/>
        <v>0</v>
      </c>
      <c r="W128" s="15">
        <f ca="1"/>
        <v>0</v>
      </c>
      <c r="X128" s="15">
        <f ca="1"/>
        <v>0</v>
      </c>
      <c r="Y128" s="15">
        <f ca="1"/>
        <v>0</v>
      </c>
      <c r="Z128" s="15">
        <f ca="1"/>
        <v>0</v>
      </c>
      <c r="AA128" s="15">
        <f ca="1"/>
        <v>0</v>
      </c>
      <c r="AB128" s="15">
        <f ca="1"/>
        <v>0</v>
      </c>
      <c r="AC128" s="15">
        <f ca="1"/>
        <v>0</v>
      </c>
      <c r="AD128" s="15">
        <f ca="1"/>
        <v>0</v>
      </c>
      <c r="AE128" s="15">
        <f ca="1"/>
        <v>0</v>
      </c>
      <c r="AF128" s="16"/>
    </row>
    <row r="129" spans="4:34" ht="20" customHeight="1" x14ac:dyDescent="0.25">
      <c r="Q129" s="16"/>
    </row>
    <row r="130" spans="4:34" ht="20" customHeight="1" x14ac:dyDescent="0.25">
      <c r="D130" s="116" t="str" cm="1">
        <f t="array" ref="D130:E131">Common_Equations.Common_ConvertCH4ToCO2e_Arguments()</f>
        <v>ECH4</v>
      </c>
      <c r="E130" s="117" t="str">
        <v>Methane emissions (t CH4)</v>
      </c>
      <c r="F130" s="118"/>
      <c r="G130" s="15" t="e">
        <f ca="1">VEERG_3_2_1_1__1_TotalAnnualMethaneFromEntericFermentation_Result_Method1</f>
        <v>#N/A</v>
      </c>
      <c r="Q130" s="16"/>
      <c r="U130" s="112" t="s">
        <v>431</v>
      </c>
    </row>
    <row r="131" spans="4:34" ht="20" customHeight="1" x14ac:dyDescent="0.25">
      <c r="D131" s="116" t="str">
        <v>GWPCH4</v>
      </c>
      <c r="E131" s="117" t="str">
        <v>Global warming potential for methane (t CO2-e / t CH4)</v>
      </c>
      <c r="F131" s="118"/>
      <c r="G131" s="15">
        <f>Common_InputFunctions.Utility_LookupValueInTableNumber("CH4",Table_GWPData[Gas],Table_GWPData[CO2-e factor])</f>
        <v>28</v>
      </c>
      <c r="U131" s="113" t="s">
        <v>433</v>
      </c>
      <c r="AH131" s="16"/>
    </row>
    <row r="132" spans="4:34" ht="20" customHeight="1" x14ac:dyDescent="0.25">
      <c r="U132" s="114" t="s">
        <v>75</v>
      </c>
      <c r="V132" s="82" t="s">
        <v>326</v>
      </c>
      <c r="W132" s="82" t="s">
        <v>184</v>
      </c>
      <c r="X132" s="82" t="s">
        <v>327</v>
      </c>
      <c r="Y132" s="82" t="s">
        <v>328</v>
      </c>
      <c r="Z132" s="82" t="s">
        <v>329</v>
      </c>
      <c r="AA132" s="82" t="s">
        <v>330</v>
      </c>
      <c r="AB132" s="82" t="s">
        <v>331</v>
      </c>
      <c r="AC132" s="82" t="s">
        <v>332</v>
      </c>
      <c r="AD132" s="82" t="s">
        <v>333</v>
      </c>
      <c r="AE132" s="82" t="s">
        <v>334</v>
      </c>
      <c r="AF132" s="16"/>
      <c r="AH132" s="16"/>
    </row>
    <row r="133" spans="4:34" ht="20" customHeight="1" x14ac:dyDescent="0.25">
      <c r="D133" s="87" t="s">
        <v>436</v>
      </c>
      <c r="E133" s="87" t="e" cm="1">
        <f t="array" aca="1" ref="E133" ca="1">Common_Equations.Common_ConvertN2OToCO2e(G130,G131)</f>
        <v>#N/A</v>
      </c>
      <c r="F133" s="94" t="str" cm="1">
        <f t="array" ref="F133">Common_Equations.Common_ConvertN2OToCO2e_Unit()</f>
        <v>t CO2e</v>
      </c>
      <c r="U133" s="15" t="str">
        <f>TEXT(X_Cell_Site_StartDate,"mmmm")</f>
        <v>January</v>
      </c>
      <c r="V133" s="15" cm="1">
        <f t="array" aca="1" ref="V133:AE144" ca="1">OFFSET(X_Table_PastureBeef_Duration_Method2,1,1,12,10)</f>
        <v>31</v>
      </c>
      <c r="W133" s="15">
        <f ca="1"/>
        <v>31</v>
      </c>
      <c r="X133" s="15">
        <f ca="1"/>
        <v>31</v>
      </c>
      <c r="Y133" s="15">
        <f ca="1"/>
        <v>31</v>
      </c>
      <c r="Z133" s="15">
        <f ca="1"/>
        <v>31</v>
      </c>
      <c r="AA133" s="15">
        <f ca="1"/>
        <v>31</v>
      </c>
      <c r="AB133" s="15">
        <f ca="1"/>
        <v>31</v>
      </c>
      <c r="AC133" s="15">
        <f ca="1"/>
        <v>31</v>
      </c>
      <c r="AD133" s="15">
        <f ca="1"/>
        <v>31</v>
      </c>
      <c r="AE133" s="15">
        <f ca="1"/>
        <v>31</v>
      </c>
      <c r="AF133" s="16" t="str">
        <f>$G$100</f>
        <v>days</v>
      </c>
      <c r="AH133" s="16"/>
    </row>
    <row r="134" spans="4:34" ht="20" customHeight="1" x14ac:dyDescent="0.25">
      <c r="U134" s="15" t="str">
        <f>TEXT(EDATE(X_Cell_Site_StartDate,1), "mmmm")</f>
        <v>January</v>
      </c>
      <c r="V134" s="15">
        <f ca="1"/>
        <v>31</v>
      </c>
      <c r="W134" s="15">
        <f ca="1"/>
        <v>31</v>
      </c>
      <c r="X134" s="15">
        <f ca="1"/>
        <v>31</v>
      </c>
      <c r="Y134" s="15">
        <f ca="1"/>
        <v>31</v>
      </c>
      <c r="Z134" s="15">
        <f ca="1"/>
        <v>31</v>
      </c>
      <c r="AA134" s="15">
        <f ca="1"/>
        <v>31</v>
      </c>
      <c r="AB134" s="15">
        <f ca="1"/>
        <v>31</v>
      </c>
      <c r="AC134" s="15">
        <f ca="1"/>
        <v>31</v>
      </c>
      <c r="AD134" s="15">
        <f ca="1"/>
        <v>31</v>
      </c>
      <c r="AE134" s="15">
        <f ca="1"/>
        <v>31</v>
      </c>
      <c r="AF134" s="16"/>
      <c r="AH134" s="16"/>
    </row>
    <row r="135" spans="4:34" ht="20" customHeight="1" x14ac:dyDescent="0.25">
      <c r="U135" s="15" t="str">
        <f>TEXT(EDATE(X_Cell_Site_StartDate,2), "mmmm")</f>
        <v>February</v>
      </c>
      <c r="V135" s="15">
        <f ca="1"/>
        <v>28</v>
      </c>
      <c r="W135" s="15">
        <f ca="1"/>
        <v>28</v>
      </c>
      <c r="X135" s="15">
        <f ca="1"/>
        <v>28</v>
      </c>
      <c r="Y135" s="15">
        <f ca="1"/>
        <v>28</v>
      </c>
      <c r="Z135" s="15">
        <f ca="1"/>
        <v>28</v>
      </c>
      <c r="AA135" s="15">
        <f ca="1"/>
        <v>28</v>
      </c>
      <c r="AB135" s="15">
        <f ca="1"/>
        <v>28</v>
      </c>
      <c r="AC135" s="15">
        <f ca="1"/>
        <v>28</v>
      </c>
      <c r="AD135" s="15">
        <f ca="1"/>
        <v>28</v>
      </c>
      <c r="AE135" s="15">
        <f ca="1"/>
        <v>28</v>
      </c>
      <c r="AF135" s="16"/>
      <c r="AH135" s="16"/>
    </row>
    <row r="136" spans="4:34" ht="20" customHeight="1" x14ac:dyDescent="0.25">
      <c r="U136" s="15" t="str">
        <f>TEXT(EDATE(X_Cell_Site_StartDate,3), "mmmm")</f>
        <v>March</v>
      </c>
      <c r="V136" s="15">
        <f ca="1"/>
        <v>31</v>
      </c>
      <c r="W136" s="15">
        <f ca="1"/>
        <v>31</v>
      </c>
      <c r="X136" s="15">
        <f ca="1"/>
        <v>31</v>
      </c>
      <c r="Y136" s="15">
        <f ca="1"/>
        <v>31</v>
      </c>
      <c r="Z136" s="15">
        <f ca="1"/>
        <v>31</v>
      </c>
      <c r="AA136" s="15">
        <f ca="1"/>
        <v>31</v>
      </c>
      <c r="AB136" s="15">
        <f ca="1"/>
        <v>31</v>
      </c>
      <c r="AC136" s="15">
        <f ca="1"/>
        <v>31</v>
      </c>
      <c r="AD136" s="15">
        <f ca="1"/>
        <v>31</v>
      </c>
      <c r="AE136" s="15">
        <f ca="1"/>
        <v>31</v>
      </c>
      <c r="AF136" s="16"/>
      <c r="AH136" s="16"/>
    </row>
    <row r="137" spans="4:34" ht="20" customHeight="1" x14ac:dyDescent="0.25">
      <c r="U137" s="15" t="str">
        <f>TEXT(EDATE(X_Cell_Site_StartDate,4), "mmmm")</f>
        <v>April</v>
      </c>
      <c r="V137" s="15">
        <f ca="1"/>
        <v>30</v>
      </c>
      <c r="W137" s="15">
        <f ca="1"/>
        <v>30</v>
      </c>
      <c r="X137" s="15">
        <f ca="1"/>
        <v>30</v>
      </c>
      <c r="Y137" s="15">
        <f ca="1"/>
        <v>30</v>
      </c>
      <c r="Z137" s="15">
        <f ca="1"/>
        <v>30</v>
      </c>
      <c r="AA137" s="15">
        <f ca="1"/>
        <v>30</v>
      </c>
      <c r="AB137" s="15">
        <f ca="1"/>
        <v>30</v>
      </c>
      <c r="AC137" s="15">
        <f ca="1"/>
        <v>30</v>
      </c>
      <c r="AD137" s="15">
        <f ca="1"/>
        <v>30</v>
      </c>
      <c r="AE137" s="15">
        <f ca="1"/>
        <v>30</v>
      </c>
      <c r="AF137" s="16"/>
      <c r="AH137" s="16"/>
    </row>
    <row r="138" spans="4:34" ht="20" customHeight="1" x14ac:dyDescent="0.25">
      <c r="U138" s="15" t="str">
        <f>TEXT(EDATE(X_Cell_Site_StartDate,5), "mmmm")</f>
        <v>May</v>
      </c>
      <c r="V138" s="15">
        <f ca="1"/>
        <v>31</v>
      </c>
      <c r="W138" s="15">
        <f ca="1"/>
        <v>31</v>
      </c>
      <c r="X138" s="15">
        <f ca="1"/>
        <v>31</v>
      </c>
      <c r="Y138" s="15">
        <f ca="1"/>
        <v>31</v>
      </c>
      <c r="Z138" s="15">
        <f ca="1"/>
        <v>31</v>
      </c>
      <c r="AA138" s="15">
        <f ca="1"/>
        <v>31</v>
      </c>
      <c r="AB138" s="15">
        <f ca="1"/>
        <v>31</v>
      </c>
      <c r="AC138" s="15">
        <f ca="1"/>
        <v>31</v>
      </c>
      <c r="AD138" s="15">
        <f ca="1"/>
        <v>31</v>
      </c>
      <c r="AE138" s="15">
        <f ca="1"/>
        <v>31</v>
      </c>
      <c r="AF138" s="16"/>
      <c r="AH138" s="16"/>
    </row>
    <row r="139" spans="4:34" ht="20" customHeight="1" x14ac:dyDescent="0.25">
      <c r="U139" s="15" t="str">
        <f>TEXT(EDATE(X_Cell_Site_StartDate,6), "mmmm")</f>
        <v>June</v>
      </c>
      <c r="V139" s="15">
        <f ca="1"/>
        <v>30</v>
      </c>
      <c r="W139" s="15">
        <f ca="1"/>
        <v>30</v>
      </c>
      <c r="X139" s="15">
        <f ca="1"/>
        <v>30</v>
      </c>
      <c r="Y139" s="15">
        <f ca="1"/>
        <v>30</v>
      </c>
      <c r="Z139" s="15">
        <f ca="1"/>
        <v>30</v>
      </c>
      <c r="AA139" s="15">
        <f ca="1"/>
        <v>30</v>
      </c>
      <c r="AB139" s="15">
        <f ca="1"/>
        <v>30</v>
      </c>
      <c r="AC139" s="15">
        <f ca="1"/>
        <v>30</v>
      </c>
      <c r="AD139" s="15">
        <f ca="1"/>
        <v>30</v>
      </c>
      <c r="AE139" s="15">
        <f ca="1"/>
        <v>30</v>
      </c>
      <c r="AF139" s="16"/>
      <c r="AH139" s="16"/>
    </row>
    <row r="140" spans="4:34" ht="20" customHeight="1" x14ac:dyDescent="0.25">
      <c r="U140" s="15" t="str">
        <f>TEXT(EDATE(X_Cell_Site_StartDate,7), "mmmm")</f>
        <v>July</v>
      </c>
      <c r="V140" s="15">
        <f ca="1"/>
        <v>31</v>
      </c>
      <c r="W140" s="15">
        <f ca="1"/>
        <v>31</v>
      </c>
      <c r="X140" s="15">
        <f ca="1"/>
        <v>31</v>
      </c>
      <c r="Y140" s="15">
        <f ca="1"/>
        <v>31</v>
      </c>
      <c r="Z140" s="15">
        <f ca="1"/>
        <v>31</v>
      </c>
      <c r="AA140" s="15">
        <f ca="1"/>
        <v>31</v>
      </c>
      <c r="AB140" s="15">
        <f ca="1"/>
        <v>31</v>
      </c>
      <c r="AC140" s="15">
        <f ca="1"/>
        <v>31</v>
      </c>
      <c r="AD140" s="15">
        <f ca="1"/>
        <v>31</v>
      </c>
      <c r="AE140" s="15">
        <f ca="1"/>
        <v>31</v>
      </c>
      <c r="AF140" s="16"/>
      <c r="AH140" s="16"/>
    </row>
    <row r="141" spans="4:34" ht="20" customHeight="1" x14ac:dyDescent="0.25">
      <c r="U141" s="15" t="str">
        <f>TEXT(EDATE(X_Cell_Site_StartDate,8), "mmmm")</f>
        <v>August</v>
      </c>
      <c r="V141" s="15">
        <f ca="1"/>
        <v>31</v>
      </c>
      <c r="W141" s="15">
        <f ca="1"/>
        <v>31</v>
      </c>
      <c r="X141" s="15">
        <f ca="1"/>
        <v>31</v>
      </c>
      <c r="Y141" s="15">
        <f ca="1"/>
        <v>31</v>
      </c>
      <c r="Z141" s="15">
        <f ca="1"/>
        <v>31</v>
      </c>
      <c r="AA141" s="15">
        <f ca="1"/>
        <v>31</v>
      </c>
      <c r="AB141" s="15">
        <f ca="1"/>
        <v>31</v>
      </c>
      <c r="AC141" s="15">
        <f ca="1"/>
        <v>31</v>
      </c>
      <c r="AD141" s="15">
        <f ca="1"/>
        <v>31</v>
      </c>
      <c r="AE141" s="15">
        <f ca="1"/>
        <v>31</v>
      </c>
      <c r="AF141" s="16"/>
      <c r="AH141" s="16"/>
    </row>
    <row r="142" spans="4:34" ht="20" customHeight="1" x14ac:dyDescent="0.25">
      <c r="U142" s="15" t="str">
        <f>TEXT(EDATE(X_Cell_Site_StartDate,9), "mmmm")</f>
        <v>September</v>
      </c>
      <c r="V142" s="15">
        <f ca="1"/>
        <v>30</v>
      </c>
      <c r="W142" s="15">
        <f ca="1"/>
        <v>30</v>
      </c>
      <c r="X142" s="15">
        <f ca="1"/>
        <v>30</v>
      </c>
      <c r="Y142" s="15">
        <f ca="1"/>
        <v>30</v>
      </c>
      <c r="Z142" s="15">
        <f ca="1"/>
        <v>30</v>
      </c>
      <c r="AA142" s="15">
        <f ca="1"/>
        <v>30</v>
      </c>
      <c r="AB142" s="15">
        <f ca="1"/>
        <v>30</v>
      </c>
      <c r="AC142" s="15">
        <f ca="1"/>
        <v>30</v>
      </c>
      <c r="AD142" s="15">
        <f ca="1"/>
        <v>30</v>
      </c>
      <c r="AE142" s="15">
        <f ca="1"/>
        <v>30</v>
      </c>
      <c r="AF142" s="16"/>
      <c r="AH142" s="16"/>
    </row>
    <row r="143" spans="4:34" ht="20" customHeight="1" x14ac:dyDescent="0.25">
      <c r="U143" s="15" t="str">
        <f>TEXT(EDATE(X_Cell_Site_StartDate,10), "mmmm")</f>
        <v>October</v>
      </c>
      <c r="V143" s="15">
        <f ca="1"/>
        <v>31</v>
      </c>
      <c r="W143" s="15">
        <f ca="1"/>
        <v>31</v>
      </c>
      <c r="X143" s="15">
        <f ca="1"/>
        <v>31</v>
      </c>
      <c r="Y143" s="15">
        <f ca="1"/>
        <v>31</v>
      </c>
      <c r="Z143" s="15">
        <f ca="1"/>
        <v>31</v>
      </c>
      <c r="AA143" s="15">
        <f ca="1"/>
        <v>31</v>
      </c>
      <c r="AB143" s="15">
        <f ca="1"/>
        <v>31</v>
      </c>
      <c r="AC143" s="15">
        <f ca="1"/>
        <v>31</v>
      </c>
      <c r="AD143" s="15">
        <f ca="1"/>
        <v>31</v>
      </c>
      <c r="AE143" s="15">
        <f ca="1"/>
        <v>31</v>
      </c>
      <c r="AF143" s="16"/>
    </row>
    <row r="144" spans="4:34" ht="20" customHeight="1" x14ac:dyDescent="0.25">
      <c r="U144" s="15" t="str">
        <f>TEXT(EDATE(X_Cell_Site_StartDate,11), "mmmm")</f>
        <v>November</v>
      </c>
      <c r="V144" s="15">
        <f ca="1"/>
        <v>30</v>
      </c>
      <c r="W144" s="15">
        <f ca="1"/>
        <v>30</v>
      </c>
      <c r="X144" s="15">
        <f ca="1"/>
        <v>30</v>
      </c>
      <c r="Y144" s="15">
        <f ca="1"/>
        <v>30</v>
      </c>
      <c r="Z144" s="15">
        <f ca="1"/>
        <v>30</v>
      </c>
      <c r="AA144" s="15">
        <f ca="1"/>
        <v>30</v>
      </c>
      <c r="AB144" s="15">
        <f ca="1"/>
        <v>30</v>
      </c>
      <c r="AC144" s="15">
        <f ca="1"/>
        <v>30</v>
      </c>
      <c r="AD144" s="15">
        <f ca="1"/>
        <v>30</v>
      </c>
      <c r="AE144" s="15">
        <f ca="1"/>
        <v>30</v>
      </c>
      <c r="AF144" s="16"/>
    </row>
    <row r="145" spans="21:32" ht="20" customHeight="1" x14ac:dyDescent="0.25"/>
    <row r="146" spans="21:32" ht="20" customHeight="1" x14ac:dyDescent="0.25">
      <c r="U146" s="112" t="s">
        <v>577</v>
      </c>
    </row>
    <row r="147" spans="21:32" ht="20" customHeight="1" x14ac:dyDescent="0.25">
      <c r="U147" s="113" t="s">
        <v>578</v>
      </c>
    </row>
    <row r="148" spans="21:32" ht="20" customHeight="1" x14ac:dyDescent="0.25">
      <c r="U148" s="114" t="s">
        <v>75</v>
      </c>
      <c r="V148" s="114" t="s">
        <v>326</v>
      </c>
      <c r="W148" s="114" t="s">
        <v>184</v>
      </c>
      <c r="X148" s="114" t="s">
        <v>327</v>
      </c>
      <c r="Y148" s="114" t="s">
        <v>328</v>
      </c>
      <c r="Z148" s="114" t="s">
        <v>329</v>
      </c>
      <c r="AA148" s="114" t="s">
        <v>330</v>
      </c>
      <c r="AB148" s="114" t="s">
        <v>331</v>
      </c>
      <c r="AC148" s="114" t="s">
        <v>332</v>
      </c>
      <c r="AD148" s="114" t="s">
        <v>333</v>
      </c>
      <c r="AE148" s="114" t="s">
        <v>334</v>
      </c>
    </row>
    <row r="149" spans="21:32" ht="20" customHeight="1" x14ac:dyDescent="0.25">
      <c r="U149" s="15" t="str">
        <f t="shared" ref="U149:U160" si="3">U133</f>
        <v>January</v>
      </c>
      <c r="V149" s="15" t="e" cm="1">
        <f t="array" aca="1" ref="V149" ca="1">EntericMethane_PastureBeef_Equations.VEERG_3_2_1_1__1_TotalAnnualMethaneFromEntericFermentation(V133,V97,V117)</f>
        <v>#N/A</v>
      </c>
      <c r="W149" s="15" t="e" cm="1">
        <f t="array" aca="1" ref="W149" ca="1">EntericMethane_PastureBeef_Equations.VEERG_3_2_1_1__1_TotalAnnualMethaneFromEntericFermentation(W133,W97,W117)</f>
        <v>#N/A</v>
      </c>
      <c r="X149" s="15" t="e" cm="1">
        <f t="array" aca="1" ref="X149" ca="1">EntericMethane_PastureBeef_Equations.VEERG_3_2_1_1__1_TotalAnnualMethaneFromEntericFermentation(X133,X97,X117)</f>
        <v>#N/A</v>
      </c>
      <c r="Y149" s="15" t="e" cm="1">
        <f t="array" aca="1" ref="Y149" ca="1">EntericMethane_PastureBeef_Equations.VEERG_3_2_1_1__1_TotalAnnualMethaneFromEntericFermentation(Y133,Y97,Y117)</f>
        <v>#N/A</v>
      </c>
      <c r="Z149" s="15" t="e" cm="1">
        <f t="array" aca="1" ref="Z149" ca="1">EntericMethane_PastureBeef_Equations.VEERG_3_2_1_1__1_TotalAnnualMethaneFromEntericFermentation(Z133,Z97,Z117)</f>
        <v>#N/A</v>
      </c>
      <c r="AA149" s="15" t="e" cm="1">
        <f t="array" aca="1" ref="AA149" ca="1">EntericMethane_PastureBeef_Equations.VEERG_3_2_1_1__1_TotalAnnualMethaneFromEntericFermentation(AA133,AA97,AA117)</f>
        <v>#N/A</v>
      </c>
      <c r="AB149" s="15" t="e" cm="1">
        <f t="array" aca="1" ref="AB149" ca="1">EntericMethane_PastureBeef_Equations.VEERG_3_2_1_1__1_TotalAnnualMethaneFromEntericFermentation(AB133,AB97,AB117)</f>
        <v>#N/A</v>
      </c>
      <c r="AC149" s="15" t="e" cm="1">
        <f t="array" aca="1" ref="AC149" ca="1">EntericMethane_PastureBeef_Equations.VEERG_3_2_1_1__1_TotalAnnualMethaneFromEntericFermentation(AC133,AC97,AC117)</f>
        <v>#N/A</v>
      </c>
      <c r="AD149" s="15" t="e" cm="1">
        <f t="array" aca="1" ref="AD149" ca="1">EntericMethane_PastureBeef_Equations.VEERG_3_2_1_1__1_TotalAnnualMethaneFromEntericFermentation(AD133,AD97,AD117)</f>
        <v>#N/A</v>
      </c>
      <c r="AE149" s="15" t="e" cm="1">
        <f t="array" aca="1" ref="AE149" ca="1">EntericMethane_PastureBeef_Equations.VEERG_3_2_1_1__1_TotalAnnualMethaneFromEntericFermentation(AE133,AE97,AE117)</f>
        <v>#N/A</v>
      </c>
      <c r="AF149" s="16" t="str">
        <f>$E$98</f>
        <v>t CH4</v>
      </c>
    </row>
    <row r="150" spans="21:32" ht="20" customHeight="1" x14ac:dyDescent="0.25">
      <c r="U150" s="15" t="str">
        <f t="shared" si="3"/>
        <v>January</v>
      </c>
      <c r="V150" s="15" t="e" cm="1">
        <f t="array" aca="1" ref="V150" ca="1">EntericMethane_PastureBeef_Equations.VEERG_3_2_1_1__1_TotalAnnualMethaneFromEntericFermentation(V134,V98,V118)</f>
        <v>#N/A</v>
      </c>
      <c r="W150" s="15" t="e" cm="1">
        <f t="array" aca="1" ref="W150" ca="1">EntericMethane_PastureBeef_Equations.VEERG_3_2_1_1__1_TotalAnnualMethaneFromEntericFermentation(W134,W98,W118)</f>
        <v>#N/A</v>
      </c>
      <c r="X150" s="15" t="e" cm="1">
        <f t="array" aca="1" ref="X150" ca="1">EntericMethane_PastureBeef_Equations.VEERG_3_2_1_1__1_TotalAnnualMethaneFromEntericFermentation(X134,X98,X118)</f>
        <v>#N/A</v>
      </c>
      <c r="Y150" s="15" t="e" cm="1">
        <f t="array" aca="1" ref="Y150" ca="1">EntericMethane_PastureBeef_Equations.VEERG_3_2_1_1__1_TotalAnnualMethaneFromEntericFermentation(Y134,Y98,Y118)</f>
        <v>#N/A</v>
      </c>
      <c r="Z150" s="15" t="e" cm="1">
        <f t="array" aca="1" ref="Z150" ca="1">EntericMethane_PastureBeef_Equations.VEERG_3_2_1_1__1_TotalAnnualMethaneFromEntericFermentation(Z134,Z98,Z118)</f>
        <v>#N/A</v>
      </c>
      <c r="AA150" s="15" t="e" cm="1">
        <f t="array" aca="1" ref="AA150" ca="1">EntericMethane_PastureBeef_Equations.VEERG_3_2_1_1__1_TotalAnnualMethaneFromEntericFermentation(AA134,AA98,AA118)</f>
        <v>#N/A</v>
      </c>
      <c r="AB150" s="15" t="e" cm="1">
        <f t="array" aca="1" ref="AB150" ca="1">EntericMethane_PastureBeef_Equations.VEERG_3_2_1_1__1_TotalAnnualMethaneFromEntericFermentation(AB134,AB98,AB118)</f>
        <v>#N/A</v>
      </c>
      <c r="AC150" s="15" t="e" cm="1">
        <f t="array" aca="1" ref="AC150" ca="1">EntericMethane_PastureBeef_Equations.VEERG_3_2_1_1__1_TotalAnnualMethaneFromEntericFermentation(AC134,AC98,AC118)</f>
        <v>#N/A</v>
      </c>
      <c r="AD150" s="15" t="e" cm="1">
        <f t="array" aca="1" ref="AD150" ca="1">EntericMethane_PastureBeef_Equations.VEERG_3_2_1_1__1_TotalAnnualMethaneFromEntericFermentation(AD134,AD98,AD118)</f>
        <v>#N/A</v>
      </c>
      <c r="AE150" s="15" t="e" cm="1">
        <f t="array" aca="1" ref="AE150" ca="1">EntericMethane_PastureBeef_Equations.VEERG_3_2_1_1__1_TotalAnnualMethaneFromEntericFermentation(AE134,AE98,AE118)</f>
        <v>#N/A</v>
      </c>
      <c r="AF150" s="16"/>
    </row>
    <row r="151" spans="21:32" ht="20" customHeight="1" x14ac:dyDescent="0.25">
      <c r="U151" s="15" t="str">
        <f t="shared" si="3"/>
        <v>February</v>
      </c>
      <c r="V151" s="15" t="e" cm="1">
        <f t="array" aca="1" ref="V151" ca="1">EntericMethane_PastureBeef_Equations.VEERG_3_2_1_1__1_TotalAnnualMethaneFromEntericFermentation(V135,V99,V119)</f>
        <v>#N/A</v>
      </c>
      <c r="W151" s="15" t="e" cm="1">
        <f t="array" aca="1" ref="W151" ca="1">EntericMethane_PastureBeef_Equations.VEERG_3_2_1_1__1_TotalAnnualMethaneFromEntericFermentation(W135,W99,W119)</f>
        <v>#N/A</v>
      </c>
      <c r="X151" s="15" t="e" cm="1">
        <f t="array" aca="1" ref="X151" ca="1">EntericMethane_PastureBeef_Equations.VEERG_3_2_1_1__1_TotalAnnualMethaneFromEntericFermentation(X135,X99,X119)</f>
        <v>#N/A</v>
      </c>
      <c r="Y151" s="15" t="e" cm="1">
        <f t="array" aca="1" ref="Y151" ca="1">EntericMethane_PastureBeef_Equations.VEERG_3_2_1_1__1_TotalAnnualMethaneFromEntericFermentation(Y135,Y99,Y119)</f>
        <v>#N/A</v>
      </c>
      <c r="Z151" s="15" t="e" cm="1">
        <f t="array" aca="1" ref="Z151" ca="1">EntericMethane_PastureBeef_Equations.VEERG_3_2_1_1__1_TotalAnnualMethaneFromEntericFermentation(Z135,Z99,Z119)</f>
        <v>#N/A</v>
      </c>
      <c r="AA151" s="15" t="e" cm="1">
        <f t="array" aca="1" ref="AA151" ca="1">EntericMethane_PastureBeef_Equations.VEERG_3_2_1_1__1_TotalAnnualMethaneFromEntericFermentation(AA135,AA99,AA119)</f>
        <v>#N/A</v>
      </c>
      <c r="AB151" s="15" t="e" cm="1">
        <f t="array" aca="1" ref="AB151" ca="1">EntericMethane_PastureBeef_Equations.VEERG_3_2_1_1__1_TotalAnnualMethaneFromEntericFermentation(AB135,AB99,AB119)</f>
        <v>#N/A</v>
      </c>
      <c r="AC151" s="15" t="e" cm="1">
        <f t="array" aca="1" ref="AC151" ca="1">EntericMethane_PastureBeef_Equations.VEERG_3_2_1_1__1_TotalAnnualMethaneFromEntericFermentation(AC135,AC99,AC119)</f>
        <v>#N/A</v>
      </c>
      <c r="AD151" s="15" t="e" cm="1">
        <f t="array" aca="1" ref="AD151" ca="1">EntericMethane_PastureBeef_Equations.VEERG_3_2_1_1__1_TotalAnnualMethaneFromEntericFermentation(AD135,AD99,AD119)</f>
        <v>#N/A</v>
      </c>
      <c r="AE151" s="15" t="e" cm="1">
        <f t="array" aca="1" ref="AE151" ca="1">EntericMethane_PastureBeef_Equations.VEERG_3_2_1_1__1_TotalAnnualMethaneFromEntericFermentation(AE135,AE99,AE119)</f>
        <v>#N/A</v>
      </c>
      <c r="AF151" s="16"/>
    </row>
    <row r="152" spans="21:32" ht="20" customHeight="1" x14ac:dyDescent="0.25">
      <c r="U152" s="15" t="str">
        <f t="shared" si="3"/>
        <v>March</v>
      </c>
      <c r="V152" s="15" t="e" cm="1">
        <f t="array" aca="1" ref="V152" ca="1">EntericMethane_PastureBeef_Equations.VEERG_3_2_1_1__1_TotalAnnualMethaneFromEntericFermentation(V136,V100,V120)</f>
        <v>#N/A</v>
      </c>
      <c r="W152" s="15" t="e" cm="1">
        <f t="array" aca="1" ref="W152" ca="1">EntericMethane_PastureBeef_Equations.VEERG_3_2_1_1__1_TotalAnnualMethaneFromEntericFermentation(W136,W100,W120)</f>
        <v>#N/A</v>
      </c>
      <c r="X152" s="15" t="e" cm="1">
        <f t="array" aca="1" ref="X152" ca="1">EntericMethane_PastureBeef_Equations.VEERG_3_2_1_1__1_TotalAnnualMethaneFromEntericFermentation(X136,X100,X120)</f>
        <v>#N/A</v>
      </c>
      <c r="Y152" s="15" t="e" cm="1">
        <f t="array" aca="1" ref="Y152" ca="1">EntericMethane_PastureBeef_Equations.VEERG_3_2_1_1__1_TotalAnnualMethaneFromEntericFermentation(Y136,Y100,Y120)</f>
        <v>#N/A</v>
      </c>
      <c r="Z152" s="15" t="e" cm="1">
        <f t="array" aca="1" ref="Z152" ca="1">EntericMethane_PastureBeef_Equations.VEERG_3_2_1_1__1_TotalAnnualMethaneFromEntericFermentation(Z136,Z100,Z120)</f>
        <v>#N/A</v>
      </c>
      <c r="AA152" s="15" t="e" cm="1">
        <f t="array" aca="1" ref="AA152" ca="1">EntericMethane_PastureBeef_Equations.VEERG_3_2_1_1__1_TotalAnnualMethaneFromEntericFermentation(AA136,AA100,AA120)</f>
        <v>#N/A</v>
      </c>
      <c r="AB152" s="15" t="e" cm="1">
        <f t="array" aca="1" ref="AB152" ca="1">EntericMethane_PastureBeef_Equations.VEERG_3_2_1_1__1_TotalAnnualMethaneFromEntericFermentation(AB136,AB100,AB120)</f>
        <v>#N/A</v>
      </c>
      <c r="AC152" s="15" t="e" cm="1">
        <f t="array" aca="1" ref="AC152" ca="1">EntericMethane_PastureBeef_Equations.VEERG_3_2_1_1__1_TotalAnnualMethaneFromEntericFermentation(AC136,AC100,AC120)</f>
        <v>#N/A</v>
      </c>
      <c r="AD152" s="15" t="e" cm="1">
        <f t="array" aca="1" ref="AD152" ca="1">EntericMethane_PastureBeef_Equations.VEERG_3_2_1_1__1_TotalAnnualMethaneFromEntericFermentation(AD136,AD100,AD120)</f>
        <v>#N/A</v>
      </c>
      <c r="AE152" s="15" t="e" cm="1">
        <f t="array" aca="1" ref="AE152" ca="1">EntericMethane_PastureBeef_Equations.VEERG_3_2_1_1__1_TotalAnnualMethaneFromEntericFermentation(AE136,AE100,AE120)</f>
        <v>#N/A</v>
      </c>
      <c r="AF152" s="16"/>
    </row>
    <row r="153" spans="21:32" ht="20" customHeight="1" x14ac:dyDescent="0.25">
      <c r="U153" s="15" t="str">
        <f t="shared" si="3"/>
        <v>April</v>
      </c>
      <c r="V153" s="15" t="e" cm="1">
        <f t="array" aca="1" ref="V153" ca="1">EntericMethane_PastureBeef_Equations.VEERG_3_2_1_1__1_TotalAnnualMethaneFromEntericFermentation(V137,V101,V121)</f>
        <v>#N/A</v>
      </c>
      <c r="W153" s="15" t="e" cm="1">
        <f t="array" aca="1" ref="W153" ca="1">EntericMethane_PastureBeef_Equations.VEERG_3_2_1_1__1_TotalAnnualMethaneFromEntericFermentation(W137,W101,W121)</f>
        <v>#N/A</v>
      </c>
      <c r="X153" s="15" t="e" cm="1">
        <f t="array" aca="1" ref="X153" ca="1">EntericMethane_PastureBeef_Equations.VEERG_3_2_1_1__1_TotalAnnualMethaneFromEntericFermentation(X137,X101,X121)</f>
        <v>#N/A</v>
      </c>
      <c r="Y153" s="15" t="e" cm="1">
        <f t="array" aca="1" ref="Y153" ca="1">EntericMethane_PastureBeef_Equations.VEERG_3_2_1_1__1_TotalAnnualMethaneFromEntericFermentation(Y137,Y101,Y121)</f>
        <v>#N/A</v>
      </c>
      <c r="Z153" s="15" t="e" cm="1">
        <f t="array" aca="1" ref="Z153" ca="1">EntericMethane_PastureBeef_Equations.VEERG_3_2_1_1__1_TotalAnnualMethaneFromEntericFermentation(Z137,Z101,Z121)</f>
        <v>#N/A</v>
      </c>
      <c r="AA153" s="15" t="e" cm="1">
        <f t="array" aca="1" ref="AA153" ca="1">EntericMethane_PastureBeef_Equations.VEERG_3_2_1_1__1_TotalAnnualMethaneFromEntericFermentation(AA137,AA101,AA121)</f>
        <v>#N/A</v>
      </c>
      <c r="AB153" s="15" t="e" cm="1">
        <f t="array" aca="1" ref="AB153" ca="1">EntericMethane_PastureBeef_Equations.VEERG_3_2_1_1__1_TotalAnnualMethaneFromEntericFermentation(AB137,AB101,AB121)</f>
        <v>#N/A</v>
      </c>
      <c r="AC153" s="15" t="e" cm="1">
        <f t="array" aca="1" ref="AC153" ca="1">EntericMethane_PastureBeef_Equations.VEERG_3_2_1_1__1_TotalAnnualMethaneFromEntericFermentation(AC137,AC101,AC121)</f>
        <v>#N/A</v>
      </c>
      <c r="AD153" s="15" t="e" cm="1">
        <f t="array" aca="1" ref="AD153" ca="1">EntericMethane_PastureBeef_Equations.VEERG_3_2_1_1__1_TotalAnnualMethaneFromEntericFermentation(AD137,AD101,AD121)</f>
        <v>#N/A</v>
      </c>
      <c r="AE153" s="15" t="e" cm="1">
        <f t="array" aca="1" ref="AE153" ca="1">EntericMethane_PastureBeef_Equations.VEERG_3_2_1_1__1_TotalAnnualMethaneFromEntericFermentation(AE137,AE101,AE121)</f>
        <v>#N/A</v>
      </c>
      <c r="AF153" s="16"/>
    </row>
    <row r="154" spans="21:32" ht="20" customHeight="1" x14ac:dyDescent="0.25">
      <c r="U154" s="15" t="str">
        <f t="shared" si="3"/>
        <v>May</v>
      </c>
      <c r="V154" s="15" t="e" cm="1">
        <f t="array" aca="1" ref="V154" ca="1">EntericMethane_PastureBeef_Equations.VEERG_3_2_1_1__1_TotalAnnualMethaneFromEntericFermentation(V138,V102,V122)</f>
        <v>#N/A</v>
      </c>
      <c r="W154" s="15" t="e" cm="1">
        <f t="array" aca="1" ref="W154" ca="1">EntericMethane_PastureBeef_Equations.VEERG_3_2_1_1__1_TotalAnnualMethaneFromEntericFermentation(W138,W102,W122)</f>
        <v>#N/A</v>
      </c>
      <c r="X154" s="15" t="e" cm="1">
        <f t="array" aca="1" ref="X154" ca="1">EntericMethane_PastureBeef_Equations.VEERG_3_2_1_1__1_TotalAnnualMethaneFromEntericFermentation(X138,X102,X122)</f>
        <v>#N/A</v>
      </c>
      <c r="Y154" s="15" t="e" cm="1">
        <f t="array" aca="1" ref="Y154" ca="1">EntericMethane_PastureBeef_Equations.VEERG_3_2_1_1__1_TotalAnnualMethaneFromEntericFermentation(Y138,Y102,Y122)</f>
        <v>#N/A</v>
      </c>
      <c r="Z154" s="15" t="e" cm="1">
        <f t="array" aca="1" ref="Z154" ca="1">EntericMethane_PastureBeef_Equations.VEERG_3_2_1_1__1_TotalAnnualMethaneFromEntericFermentation(Z138,Z102,Z122)</f>
        <v>#N/A</v>
      </c>
      <c r="AA154" s="15" t="e" cm="1">
        <f t="array" aca="1" ref="AA154" ca="1">EntericMethane_PastureBeef_Equations.VEERG_3_2_1_1__1_TotalAnnualMethaneFromEntericFermentation(AA138,AA102,AA122)</f>
        <v>#N/A</v>
      </c>
      <c r="AB154" s="15" t="e" cm="1">
        <f t="array" aca="1" ref="AB154" ca="1">EntericMethane_PastureBeef_Equations.VEERG_3_2_1_1__1_TotalAnnualMethaneFromEntericFermentation(AB138,AB102,AB122)</f>
        <v>#N/A</v>
      </c>
      <c r="AC154" s="15" t="e" cm="1">
        <f t="array" aca="1" ref="AC154" ca="1">EntericMethane_PastureBeef_Equations.VEERG_3_2_1_1__1_TotalAnnualMethaneFromEntericFermentation(AC138,AC102,AC122)</f>
        <v>#N/A</v>
      </c>
      <c r="AD154" s="15" t="e" cm="1">
        <f t="array" aca="1" ref="AD154" ca="1">EntericMethane_PastureBeef_Equations.VEERG_3_2_1_1__1_TotalAnnualMethaneFromEntericFermentation(AD138,AD102,AD122)</f>
        <v>#N/A</v>
      </c>
      <c r="AE154" s="15" t="e" cm="1">
        <f t="array" aca="1" ref="AE154" ca="1">EntericMethane_PastureBeef_Equations.VEERG_3_2_1_1__1_TotalAnnualMethaneFromEntericFermentation(AE138,AE102,AE122)</f>
        <v>#N/A</v>
      </c>
      <c r="AF154" s="16"/>
    </row>
    <row r="155" spans="21:32" ht="20" customHeight="1" x14ac:dyDescent="0.25">
      <c r="U155" s="15" t="str">
        <f t="shared" si="3"/>
        <v>June</v>
      </c>
      <c r="V155" s="15" t="e" cm="1">
        <f t="array" aca="1" ref="V155" ca="1">EntericMethane_PastureBeef_Equations.VEERG_3_2_1_1__1_TotalAnnualMethaneFromEntericFermentation(V139,V103,V123)</f>
        <v>#N/A</v>
      </c>
      <c r="W155" s="15" t="e" cm="1">
        <f t="array" aca="1" ref="W155" ca="1">EntericMethane_PastureBeef_Equations.VEERG_3_2_1_1__1_TotalAnnualMethaneFromEntericFermentation(W139,W103,W123)</f>
        <v>#N/A</v>
      </c>
      <c r="X155" s="15" t="e" cm="1">
        <f t="array" aca="1" ref="X155" ca="1">EntericMethane_PastureBeef_Equations.VEERG_3_2_1_1__1_TotalAnnualMethaneFromEntericFermentation(X139,X103,X123)</f>
        <v>#N/A</v>
      </c>
      <c r="Y155" s="15" t="e" cm="1">
        <f t="array" aca="1" ref="Y155" ca="1">EntericMethane_PastureBeef_Equations.VEERG_3_2_1_1__1_TotalAnnualMethaneFromEntericFermentation(Y139,Y103,Y123)</f>
        <v>#N/A</v>
      </c>
      <c r="Z155" s="15" t="e" cm="1">
        <f t="array" aca="1" ref="Z155" ca="1">EntericMethane_PastureBeef_Equations.VEERG_3_2_1_1__1_TotalAnnualMethaneFromEntericFermentation(Z139,Z103,Z123)</f>
        <v>#N/A</v>
      </c>
      <c r="AA155" s="15" t="e" cm="1">
        <f t="array" aca="1" ref="AA155" ca="1">EntericMethane_PastureBeef_Equations.VEERG_3_2_1_1__1_TotalAnnualMethaneFromEntericFermentation(AA139,AA103,AA123)</f>
        <v>#N/A</v>
      </c>
      <c r="AB155" s="15" t="e" cm="1">
        <f t="array" aca="1" ref="AB155" ca="1">EntericMethane_PastureBeef_Equations.VEERG_3_2_1_1__1_TotalAnnualMethaneFromEntericFermentation(AB139,AB103,AB123)</f>
        <v>#N/A</v>
      </c>
      <c r="AC155" s="15" t="e" cm="1">
        <f t="array" aca="1" ref="AC155" ca="1">EntericMethane_PastureBeef_Equations.VEERG_3_2_1_1__1_TotalAnnualMethaneFromEntericFermentation(AC139,AC103,AC123)</f>
        <v>#N/A</v>
      </c>
      <c r="AD155" s="15" t="e" cm="1">
        <f t="array" aca="1" ref="AD155" ca="1">EntericMethane_PastureBeef_Equations.VEERG_3_2_1_1__1_TotalAnnualMethaneFromEntericFermentation(AD139,AD103,AD123)</f>
        <v>#N/A</v>
      </c>
      <c r="AE155" s="15" t="e" cm="1">
        <f t="array" aca="1" ref="AE155" ca="1">EntericMethane_PastureBeef_Equations.VEERG_3_2_1_1__1_TotalAnnualMethaneFromEntericFermentation(AE139,AE103,AE123)</f>
        <v>#N/A</v>
      </c>
      <c r="AF155" s="16"/>
    </row>
    <row r="156" spans="21:32" ht="20" customHeight="1" x14ac:dyDescent="0.25">
      <c r="U156" s="15" t="str">
        <f t="shared" si="3"/>
        <v>July</v>
      </c>
      <c r="V156" s="15" t="e" cm="1">
        <f t="array" aca="1" ref="V156" ca="1">EntericMethane_PastureBeef_Equations.VEERG_3_2_1_1__1_TotalAnnualMethaneFromEntericFermentation(V140,V104,V124)</f>
        <v>#N/A</v>
      </c>
      <c r="W156" s="15" t="e" cm="1">
        <f t="array" aca="1" ref="W156" ca="1">EntericMethane_PastureBeef_Equations.VEERG_3_2_1_1__1_TotalAnnualMethaneFromEntericFermentation(W140,W104,W124)</f>
        <v>#N/A</v>
      </c>
      <c r="X156" s="15" t="e" cm="1">
        <f t="array" aca="1" ref="X156" ca="1">EntericMethane_PastureBeef_Equations.VEERG_3_2_1_1__1_TotalAnnualMethaneFromEntericFermentation(X140,X104,X124)</f>
        <v>#N/A</v>
      </c>
      <c r="Y156" s="15" t="e" cm="1">
        <f t="array" aca="1" ref="Y156" ca="1">EntericMethane_PastureBeef_Equations.VEERG_3_2_1_1__1_TotalAnnualMethaneFromEntericFermentation(Y140,Y104,Y124)</f>
        <v>#N/A</v>
      </c>
      <c r="Z156" s="15" t="e" cm="1">
        <f t="array" aca="1" ref="Z156" ca="1">EntericMethane_PastureBeef_Equations.VEERG_3_2_1_1__1_TotalAnnualMethaneFromEntericFermentation(Z140,Z104,Z124)</f>
        <v>#N/A</v>
      </c>
      <c r="AA156" s="15" t="e" cm="1">
        <f t="array" aca="1" ref="AA156" ca="1">EntericMethane_PastureBeef_Equations.VEERG_3_2_1_1__1_TotalAnnualMethaneFromEntericFermentation(AA140,AA104,AA124)</f>
        <v>#N/A</v>
      </c>
      <c r="AB156" s="15" t="e" cm="1">
        <f t="array" aca="1" ref="AB156" ca="1">EntericMethane_PastureBeef_Equations.VEERG_3_2_1_1__1_TotalAnnualMethaneFromEntericFermentation(AB140,AB104,AB124)</f>
        <v>#N/A</v>
      </c>
      <c r="AC156" s="15" t="e" cm="1">
        <f t="array" aca="1" ref="AC156" ca="1">EntericMethane_PastureBeef_Equations.VEERG_3_2_1_1__1_TotalAnnualMethaneFromEntericFermentation(AC140,AC104,AC124)</f>
        <v>#N/A</v>
      </c>
      <c r="AD156" s="15" t="e" cm="1">
        <f t="array" aca="1" ref="AD156" ca="1">EntericMethane_PastureBeef_Equations.VEERG_3_2_1_1__1_TotalAnnualMethaneFromEntericFermentation(AD140,AD104,AD124)</f>
        <v>#N/A</v>
      </c>
      <c r="AE156" s="15" t="e" cm="1">
        <f t="array" aca="1" ref="AE156" ca="1">EntericMethane_PastureBeef_Equations.VEERG_3_2_1_1__1_TotalAnnualMethaneFromEntericFermentation(AE140,AE104,AE124)</f>
        <v>#N/A</v>
      </c>
      <c r="AF156" s="16"/>
    </row>
    <row r="157" spans="21:32" ht="20" customHeight="1" x14ac:dyDescent="0.25">
      <c r="U157" s="15" t="str">
        <f t="shared" si="3"/>
        <v>August</v>
      </c>
      <c r="V157" s="15" t="e" cm="1">
        <f t="array" aca="1" ref="V157" ca="1">EntericMethane_PastureBeef_Equations.VEERG_3_2_1_1__1_TotalAnnualMethaneFromEntericFermentation(V141,V105,V125)</f>
        <v>#N/A</v>
      </c>
      <c r="W157" s="15" t="e" cm="1">
        <f t="array" aca="1" ref="W157" ca="1">EntericMethane_PastureBeef_Equations.VEERG_3_2_1_1__1_TotalAnnualMethaneFromEntericFermentation(W141,W105,W125)</f>
        <v>#N/A</v>
      </c>
      <c r="X157" s="15" t="e" cm="1">
        <f t="array" aca="1" ref="X157" ca="1">EntericMethane_PastureBeef_Equations.VEERG_3_2_1_1__1_TotalAnnualMethaneFromEntericFermentation(X141,X105,X125)</f>
        <v>#N/A</v>
      </c>
      <c r="Y157" s="15" t="e" cm="1">
        <f t="array" aca="1" ref="Y157" ca="1">EntericMethane_PastureBeef_Equations.VEERG_3_2_1_1__1_TotalAnnualMethaneFromEntericFermentation(Y141,Y105,Y125)</f>
        <v>#N/A</v>
      </c>
      <c r="Z157" s="15" t="e" cm="1">
        <f t="array" aca="1" ref="Z157" ca="1">EntericMethane_PastureBeef_Equations.VEERG_3_2_1_1__1_TotalAnnualMethaneFromEntericFermentation(Z141,Z105,Z125)</f>
        <v>#N/A</v>
      </c>
      <c r="AA157" s="15" t="e" cm="1">
        <f t="array" aca="1" ref="AA157" ca="1">EntericMethane_PastureBeef_Equations.VEERG_3_2_1_1__1_TotalAnnualMethaneFromEntericFermentation(AA141,AA105,AA125)</f>
        <v>#N/A</v>
      </c>
      <c r="AB157" s="15" t="e" cm="1">
        <f t="array" aca="1" ref="AB157" ca="1">EntericMethane_PastureBeef_Equations.VEERG_3_2_1_1__1_TotalAnnualMethaneFromEntericFermentation(AB141,AB105,AB125)</f>
        <v>#N/A</v>
      </c>
      <c r="AC157" s="15" t="e" cm="1">
        <f t="array" aca="1" ref="AC157" ca="1">EntericMethane_PastureBeef_Equations.VEERG_3_2_1_1__1_TotalAnnualMethaneFromEntericFermentation(AC141,AC105,AC125)</f>
        <v>#N/A</v>
      </c>
      <c r="AD157" s="15" t="e" cm="1">
        <f t="array" aca="1" ref="AD157" ca="1">EntericMethane_PastureBeef_Equations.VEERG_3_2_1_1__1_TotalAnnualMethaneFromEntericFermentation(AD141,AD105,AD125)</f>
        <v>#N/A</v>
      </c>
      <c r="AE157" s="15" t="e" cm="1">
        <f t="array" aca="1" ref="AE157" ca="1">EntericMethane_PastureBeef_Equations.VEERG_3_2_1_1__1_TotalAnnualMethaneFromEntericFermentation(AE141,AE105,AE125)</f>
        <v>#N/A</v>
      </c>
      <c r="AF157" s="16"/>
    </row>
    <row r="158" spans="21:32" ht="20" customHeight="1" x14ac:dyDescent="0.25">
      <c r="U158" s="15" t="str">
        <f t="shared" si="3"/>
        <v>September</v>
      </c>
      <c r="V158" s="15" t="e" cm="1">
        <f t="array" aca="1" ref="V158" ca="1">EntericMethane_PastureBeef_Equations.VEERG_3_2_1_1__1_TotalAnnualMethaneFromEntericFermentation(V142,V106,V126)</f>
        <v>#N/A</v>
      </c>
      <c r="W158" s="15" t="e" cm="1">
        <f t="array" aca="1" ref="W158" ca="1">EntericMethane_PastureBeef_Equations.VEERG_3_2_1_1__1_TotalAnnualMethaneFromEntericFermentation(W142,W106,W126)</f>
        <v>#N/A</v>
      </c>
      <c r="X158" s="15" t="e" cm="1">
        <f t="array" aca="1" ref="X158" ca="1">EntericMethane_PastureBeef_Equations.VEERG_3_2_1_1__1_TotalAnnualMethaneFromEntericFermentation(X142,X106,X126)</f>
        <v>#N/A</v>
      </c>
      <c r="Y158" s="15" t="e" cm="1">
        <f t="array" aca="1" ref="Y158" ca="1">EntericMethane_PastureBeef_Equations.VEERG_3_2_1_1__1_TotalAnnualMethaneFromEntericFermentation(Y142,Y106,Y126)</f>
        <v>#N/A</v>
      </c>
      <c r="Z158" s="15" t="e" cm="1">
        <f t="array" aca="1" ref="Z158" ca="1">EntericMethane_PastureBeef_Equations.VEERG_3_2_1_1__1_TotalAnnualMethaneFromEntericFermentation(Z142,Z106,Z126)</f>
        <v>#N/A</v>
      </c>
      <c r="AA158" s="15" t="e" cm="1">
        <f t="array" aca="1" ref="AA158" ca="1">EntericMethane_PastureBeef_Equations.VEERG_3_2_1_1__1_TotalAnnualMethaneFromEntericFermentation(AA142,AA106,AA126)</f>
        <v>#N/A</v>
      </c>
      <c r="AB158" s="15" t="e" cm="1">
        <f t="array" aca="1" ref="AB158" ca="1">EntericMethane_PastureBeef_Equations.VEERG_3_2_1_1__1_TotalAnnualMethaneFromEntericFermentation(AB142,AB106,AB126)</f>
        <v>#N/A</v>
      </c>
      <c r="AC158" s="15" t="e" cm="1">
        <f t="array" aca="1" ref="AC158" ca="1">EntericMethane_PastureBeef_Equations.VEERG_3_2_1_1__1_TotalAnnualMethaneFromEntericFermentation(AC142,AC106,AC126)</f>
        <v>#N/A</v>
      </c>
      <c r="AD158" s="15" t="e" cm="1">
        <f t="array" aca="1" ref="AD158" ca="1">EntericMethane_PastureBeef_Equations.VEERG_3_2_1_1__1_TotalAnnualMethaneFromEntericFermentation(AD142,AD106,AD126)</f>
        <v>#N/A</v>
      </c>
      <c r="AE158" s="15" t="e" cm="1">
        <f t="array" aca="1" ref="AE158" ca="1">EntericMethane_PastureBeef_Equations.VEERG_3_2_1_1__1_TotalAnnualMethaneFromEntericFermentation(AE142,AE106,AE126)</f>
        <v>#N/A</v>
      </c>
      <c r="AF158" s="16"/>
    </row>
    <row r="159" spans="21:32" ht="20" customHeight="1" x14ac:dyDescent="0.25">
      <c r="U159" s="15" t="str">
        <f t="shared" si="3"/>
        <v>October</v>
      </c>
      <c r="V159" s="15" t="e" cm="1">
        <f t="array" aca="1" ref="V159" ca="1">EntericMethane_PastureBeef_Equations.VEERG_3_2_1_1__1_TotalAnnualMethaneFromEntericFermentation(V143,V107,V127)</f>
        <v>#N/A</v>
      </c>
      <c r="W159" s="15" t="e" cm="1">
        <f t="array" aca="1" ref="W159" ca="1">EntericMethane_PastureBeef_Equations.VEERG_3_2_1_1__1_TotalAnnualMethaneFromEntericFermentation(W143,W107,W127)</f>
        <v>#N/A</v>
      </c>
      <c r="X159" s="15" t="e" cm="1">
        <f t="array" aca="1" ref="X159" ca="1">EntericMethane_PastureBeef_Equations.VEERG_3_2_1_1__1_TotalAnnualMethaneFromEntericFermentation(X143,X107,X127)</f>
        <v>#N/A</v>
      </c>
      <c r="Y159" s="15" t="e" cm="1">
        <f t="array" aca="1" ref="Y159" ca="1">EntericMethane_PastureBeef_Equations.VEERG_3_2_1_1__1_TotalAnnualMethaneFromEntericFermentation(Y143,Y107,Y127)</f>
        <v>#N/A</v>
      </c>
      <c r="Z159" s="15" t="e" cm="1">
        <f t="array" aca="1" ref="Z159" ca="1">EntericMethane_PastureBeef_Equations.VEERG_3_2_1_1__1_TotalAnnualMethaneFromEntericFermentation(Z143,Z107,Z127)</f>
        <v>#N/A</v>
      </c>
      <c r="AA159" s="15" t="e" cm="1">
        <f t="array" aca="1" ref="AA159" ca="1">EntericMethane_PastureBeef_Equations.VEERG_3_2_1_1__1_TotalAnnualMethaneFromEntericFermentation(AA143,AA107,AA127)</f>
        <v>#N/A</v>
      </c>
      <c r="AB159" s="15" t="e" cm="1">
        <f t="array" aca="1" ref="AB159" ca="1">EntericMethane_PastureBeef_Equations.VEERG_3_2_1_1__1_TotalAnnualMethaneFromEntericFermentation(AB143,AB107,AB127)</f>
        <v>#N/A</v>
      </c>
      <c r="AC159" s="15" t="e" cm="1">
        <f t="array" aca="1" ref="AC159" ca="1">EntericMethane_PastureBeef_Equations.VEERG_3_2_1_1__1_TotalAnnualMethaneFromEntericFermentation(AC143,AC107,AC127)</f>
        <v>#N/A</v>
      </c>
      <c r="AD159" s="15" t="e" cm="1">
        <f t="array" aca="1" ref="AD159" ca="1">EntericMethane_PastureBeef_Equations.VEERG_3_2_1_1__1_TotalAnnualMethaneFromEntericFermentation(AD143,AD107,AD127)</f>
        <v>#N/A</v>
      </c>
      <c r="AE159" s="15" t="e" cm="1">
        <f t="array" aca="1" ref="AE159" ca="1">EntericMethane_PastureBeef_Equations.VEERG_3_2_1_1__1_TotalAnnualMethaneFromEntericFermentation(AE143,AE107,AE127)</f>
        <v>#N/A</v>
      </c>
      <c r="AF159" s="16"/>
    </row>
    <row r="160" spans="21:32" ht="20" customHeight="1" x14ac:dyDescent="0.25">
      <c r="U160" s="15" t="str">
        <f t="shared" si="3"/>
        <v>November</v>
      </c>
      <c r="V160" s="15" t="e" cm="1">
        <f t="array" aca="1" ref="V160" ca="1">EntericMethane_PastureBeef_Equations.VEERG_3_2_1_1__1_TotalAnnualMethaneFromEntericFermentation(V144,V108,V128)</f>
        <v>#N/A</v>
      </c>
      <c r="W160" s="15" t="e" cm="1">
        <f t="array" aca="1" ref="W160" ca="1">EntericMethane_PastureBeef_Equations.VEERG_3_2_1_1__1_TotalAnnualMethaneFromEntericFermentation(W144,W108,W128)</f>
        <v>#N/A</v>
      </c>
      <c r="X160" s="15" t="e" cm="1">
        <f t="array" aca="1" ref="X160" ca="1">EntericMethane_PastureBeef_Equations.VEERG_3_2_1_1__1_TotalAnnualMethaneFromEntericFermentation(X144,X108,X128)</f>
        <v>#N/A</v>
      </c>
      <c r="Y160" s="15" t="e" cm="1">
        <f t="array" aca="1" ref="Y160" ca="1">EntericMethane_PastureBeef_Equations.VEERG_3_2_1_1__1_TotalAnnualMethaneFromEntericFermentation(Y144,Y108,Y128)</f>
        <v>#N/A</v>
      </c>
      <c r="Z160" s="15" t="e" cm="1">
        <f t="array" aca="1" ref="Z160" ca="1">EntericMethane_PastureBeef_Equations.VEERG_3_2_1_1__1_TotalAnnualMethaneFromEntericFermentation(Z144,Z108,Z128)</f>
        <v>#N/A</v>
      </c>
      <c r="AA160" s="15" t="e" cm="1">
        <f t="array" aca="1" ref="AA160" ca="1">EntericMethane_PastureBeef_Equations.VEERG_3_2_1_1__1_TotalAnnualMethaneFromEntericFermentation(AA144,AA108,AA128)</f>
        <v>#N/A</v>
      </c>
      <c r="AB160" s="15" t="e" cm="1">
        <f t="array" aca="1" ref="AB160" ca="1">EntericMethane_PastureBeef_Equations.VEERG_3_2_1_1__1_TotalAnnualMethaneFromEntericFermentation(AB144,AB108,AB128)</f>
        <v>#N/A</v>
      </c>
      <c r="AC160" s="15" t="e" cm="1">
        <f t="array" aca="1" ref="AC160" ca="1">EntericMethane_PastureBeef_Equations.VEERG_3_2_1_1__1_TotalAnnualMethaneFromEntericFermentation(AC144,AC108,AC128)</f>
        <v>#N/A</v>
      </c>
      <c r="AD160" s="15" t="e" cm="1">
        <f t="array" aca="1" ref="AD160" ca="1">EntericMethane_PastureBeef_Equations.VEERG_3_2_1_1__1_TotalAnnualMethaneFromEntericFermentation(AD144,AD108,AD128)</f>
        <v>#N/A</v>
      </c>
      <c r="AE160" s="15" t="e" cm="1">
        <f t="array" aca="1" ref="AE160" ca="1">EntericMethane_PastureBeef_Equations.VEERG_3_2_1_1__1_TotalAnnualMethaneFromEntericFermentation(AE144,AE108,AE128)</f>
        <v>#N/A</v>
      </c>
      <c r="AF160" s="16"/>
    </row>
    <row r="161" spans="21:24" ht="20" customHeight="1" x14ac:dyDescent="0.25"/>
    <row r="162" spans="21:24" ht="20" customHeight="1" x14ac:dyDescent="0.25">
      <c r="U162" s="90" t="s">
        <v>434</v>
      </c>
      <c r="V162" s="91" t="e">
        <f ca="1">SUM(V149:AE160)</f>
        <v>#N/A</v>
      </c>
      <c r="W162" s="95" t="str">
        <f>$E$98</f>
        <v>t CH4</v>
      </c>
    </row>
    <row r="163" spans="21:24" ht="20" customHeight="1" x14ac:dyDescent="0.25"/>
    <row r="164" spans="21:24" ht="20" customHeight="1" x14ac:dyDescent="0.25">
      <c r="U164" s="116" t="str" cm="1">
        <f t="array" ref="U164:V165">Common_Equations.Common_ConvertCH4ToCO2e_Arguments()</f>
        <v>ECH4</v>
      </c>
      <c r="V164" s="117" t="str">
        <v>Methane emissions (t CH4)</v>
      </c>
      <c r="W164" s="118"/>
      <c r="X164" s="15" t="e">
        <f ca="1">VEERG_3_2_1_1__1_TotalAnnualMethaneFromEntericFermentation_Result_Method2</f>
        <v>#N/A</v>
      </c>
    </row>
    <row r="165" spans="21:24" ht="20" customHeight="1" x14ac:dyDescent="0.25">
      <c r="U165" s="116" t="str">
        <v>GWPCH4</v>
      </c>
      <c r="V165" s="117" t="str">
        <v>Global warming potential for methane (t CO2-e / t CH4)</v>
      </c>
      <c r="W165" s="118"/>
      <c r="X165" s="15">
        <f>Common_InputFunctions.Utility_LookupValueInTableNumber("CH4",Table_GWPData[Gas],Table_GWPData[CO2-e factor])</f>
        <v>28</v>
      </c>
    </row>
    <row r="166" spans="21:24" ht="20" customHeight="1" x14ac:dyDescent="0.25"/>
    <row r="167" spans="21:24" ht="20" customHeight="1" x14ac:dyDescent="0.25">
      <c r="U167" s="87" t="s">
        <v>436</v>
      </c>
      <c r="V167" s="87" t="e" cm="1">
        <f t="array" aca="1" ref="V167" ca="1">Common_Equations.Common_ConvertN2OToCO2e(X164,X165)</f>
        <v>#N/A</v>
      </c>
      <c r="W167" s="94" t="str" cm="1">
        <f t="array" ref="W167">Common_Equations.Common_ConvertN2OToCO2e_Unit()</f>
        <v>t CO2e</v>
      </c>
    </row>
    <row r="168" spans="21:24" ht="20" customHeight="1" x14ac:dyDescent="0.25"/>
    <row r="169" spans="21:24" ht="20" customHeight="1" x14ac:dyDescent="0.25"/>
    <row r="170" spans="21:24" ht="20" customHeight="1" x14ac:dyDescent="0.25"/>
    <row r="171" spans="21:24" ht="20" customHeight="1" x14ac:dyDescent="0.25"/>
    <row r="172" spans="21:24" ht="20" customHeight="1" x14ac:dyDescent="0.25"/>
    <row r="173" spans="21:24" ht="20" customHeight="1" x14ac:dyDescent="0.25"/>
    <row r="174" spans="21:24" ht="20" customHeight="1" x14ac:dyDescent="0.25"/>
    <row r="175" spans="21:24" ht="20" customHeight="1" x14ac:dyDescent="0.25"/>
    <row r="176" spans="21:24" ht="20" customHeight="1" x14ac:dyDescent="0.25"/>
    <row r="177" spans="34:34" ht="20" customHeight="1" x14ac:dyDescent="0.25">
      <c r="AH177" s="16"/>
    </row>
    <row r="178" spans="34:34" ht="20" customHeight="1" x14ac:dyDescent="0.25"/>
    <row r="179" spans="34:34" ht="20" customHeight="1" x14ac:dyDescent="0.25"/>
    <row r="180" spans="34:34" ht="20" customHeight="1" x14ac:dyDescent="0.25"/>
    <row r="181" spans="34:34" ht="20" customHeight="1" x14ac:dyDescent="0.25"/>
    <row r="182" spans="34:34" ht="20" customHeight="1" x14ac:dyDescent="0.25"/>
    <row r="183" spans="34:34" ht="20" customHeight="1" x14ac:dyDescent="0.25"/>
    <row r="184" spans="34:34" ht="20" customHeight="1" x14ac:dyDescent="0.25"/>
    <row r="185" spans="34:34" ht="20" customHeight="1" x14ac:dyDescent="0.25"/>
    <row r="186" spans="34:34" ht="20" customHeight="1" x14ac:dyDescent="0.25"/>
    <row r="187" spans="34:34" ht="20" customHeight="1" x14ac:dyDescent="0.25"/>
    <row r="188" spans="34:34" ht="20" customHeight="1" x14ac:dyDescent="0.25"/>
    <row r="189" spans="34:34" ht="20" customHeight="1" x14ac:dyDescent="0.25"/>
    <row r="190" spans="34:34" ht="20" customHeight="1" x14ac:dyDescent="0.25"/>
    <row r="191" spans="34:34" ht="20" customHeight="1" x14ac:dyDescent="0.25"/>
    <row r="192" spans="34:34"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spans="17:17" ht="20" customHeight="1" x14ac:dyDescent="0.25"/>
    <row r="226" spans="17:17" ht="20" customHeight="1" x14ac:dyDescent="0.25"/>
    <row r="227" spans="17:17" ht="20" customHeight="1" x14ac:dyDescent="0.25"/>
    <row r="228" spans="17:17" ht="20" customHeight="1" x14ac:dyDescent="0.25"/>
    <row r="229" spans="17:17" ht="20" customHeight="1" x14ac:dyDescent="0.25"/>
    <row r="230" spans="17:17" ht="20" customHeight="1" x14ac:dyDescent="0.25"/>
    <row r="231" spans="17:17" ht="20" customHeight="1" x14ac:dyDescent="0.25"/>
    <row r="232" spans="17:17" ht="20" customHeight="1" x14ac:dyDescent="0.25"/>
    <row r="233" spans="17:17" ht="20" customHeight="1" x14ac:dyDescent="0.25"/>
    <row r="234" spans="17:17" ht="20" customHeight="1" x14ac:dyDescent="0.25"/>
    <row r="235" spans="17:17" ht="20" customHeight="1" x14ac:dyDescent="0.25">
      <c r="Q235" s="16"/>
    </row>
    <row r="236" spans="17:17" ht="20" customHeight="1" x14ac:dyDescent="0.25">
      <c r="Q236" s="16"/>
    </row>
    <row r="237" spans="17:17" ht="20" customHeight="1" x14ac:dyDescent="0.25">
      <c r="Q237" s="16"/>
    </row>
    <row r="238" spans="17:17" ht="20" customHeight="1" x14ac:dyDescent="0.25">
      <c r="Q238" s="16"/>
    </row>
    <row r="239" spans="17:17" ht="20" customHeight="1" x14ac:dyDescent="0.25">
      <c r="Q239" s="16"/>
    </row>
    <row r="240" spans="17:17" ht="20" customHeight="1" x14ac:dyDescent="0.25">
      <c r="Q240" s="16"/>
    </row>
    <row r="241" spans="17:34" ht="20" customHeight="1" x14ac:dyDescent="0.25">
      <c r="Q241" s="16"/>
    </row>
    <row r="242" spans="17:34" ht="20" customHeight="1" x14ac:dyDescent="0.25">
      <c r="Q242" s="16"/>
    </row>
    <row r="243" spans="17:34" ht="20" customHeight="1" x14ac:dyDescent="0.25"/>
    <row r="244" spans="17:34" ht="20" customHeight="1" x14ac:dyDescent="0.25"/>
    <row r="245" spans="17:34" ht="20" customHeight="1" x14ac:dyDescent="0.25"/>
    <row r="246" spans="17:34" ht="20" customHeight="1" x14ac:dyDescent="0.25"/>
    <row r="247" spans="17:34" ht="20" customHeight="1" x14ac:dyDescent="0.25"/>
    <row r="248" spans="17:34" ht="20" customHeight="1" x14ac:dyDescent="0.25"/>
    <row r="249" spans="17:34" ht="20" customHeight="1" x14ac:dyDescent="0.25"/>
    <row r="250" spans="17:34" ht="20" customHeight="1" x14ac:dyDescent="0.25"/>
    <row r="251" spans="17:34" ht="20" customHeight="1" x14ac:dyDescent="0.25">
      <c r="AH251" s="16"/>
    </row>
    <row r="252" spans="17:34" ht="20" customHeight="1" x14ac:dyDescent="0.25">
      <c r="AH252" s="16"/>
    </row>
    <row r="253" spans="17:34" ht="20" customHeight="1" x14ac:dyDescent="0.25">
      <c r="AH253" s="16"/>
    </row>
    <row r="254" spans="17:34" ht="20" customHeight="1" x14ac:dyDescent="0.25">
      <c r="AH254" s="16"/>
    </row>
    <row r="255" spans="17:34" ht="20" customHeight="1" x14ac:dyDescent="0.25">
      <c r="AH255" s="16"/>
    </row>
    <row r="256" spans="17:34" ht="20" customHeight="1" x14ac:dyDescent="0.25">
      <c r="AH256" s="16"/>
    </row>
    <row r="257" spans="34:34" ht="20" customHeight="1" x14ac:dyDescent="0.25">
      <c r="AH257" s="16"/>
    </row>
    <row r="258" spans="34:34" ht="20" customHeight="1" x14ac:dyDescent="0.25">
      <c r="AH258" s="16"/>
    </row>
    <row r="259" spans="34:34" ht="20" customHeight="1" x14ac:dyDescent="0.25">
      <c r="AH259" s="16"/>
    </row>
    <row r="260" spans="34:34" ht="20" customHeight="1" x14ac:dyDescent="0.25">
      <c r="AH260" s="16"/>
    </row>
    <row r="261" spans="34:34" ht="20" customHeight="1" x14ac:dyDescent="0.25">
      <c r="AH261" s="16"/>
    </row>
    <row r="262" spans="34:34" ht="20" customHeight="1" x14ac:dyDescent="0.25">
      <c r="AH262" s="16"/>
    </row>
    <row r="263" spans="34:34" ht="20" customHeight="1" x14ac:dyDescent="0.25">
      <c r="AH263" s="16"/>
    </row>
    <row r="264" spans="34:34" ht="20" customHeight="1" x14ac:dyDescent="0.25">
      <c r="AH264" s="16"/>
    </row>
    <row r="265" spans="34:34" ht="20" customHeight="1" x14ac:dyDescent="0.25">
      <c r="AH265" s="16"/>
    </row>
    <row r="266" spans="34:34" ht="20" customHeight="1" x14ac:dyDescent="0.25">
      <c r="AH266" s="16"/>
    </row>
    <row r="267" spans="34:34" ht="20" customHeight="1" x14ac:dyDescent="0.25">
      <c r="AH267" s="16"/>
    </row>
    <row r="268" spans="34:34" ht="20" customHeight="1" x14ac:dyDescent="0.25">
      <c r="AH268" s="16"/>
    </row>
    <row r="269" spans="34:34" ht="20" customHeight="1" x14ac:dyDescent="0.25">
      <c r="AH269" s="16"/>
    </row>
    <row r="270" spans="34:34" ht="20" customHeight="1" x14ac:dyDescent="0.25">
      <c r="AH270" s="16"/>
    </row>
    <row r="271" spans="34:34" ht="20" customHeight="1" x14ac:dyDescent="0.25">
      <c r="AH271" s="16"/>
    </row>
    <row r="272" spans="34:34" x14ac:dyDescent="0.25" ht="20" customHeight="1">
      <c r="AH272" s="16"/>
    </row>
    <row r="273" spans="34:34" x14ac:dyDescent="0.25" ht="20" customHeight="1">
      <c r="AH273" s="16"/>
    </row>
    <row r="274" spans="34:34" x14ac:dyDescent="0.25" ht="20" customHeight="1">
      <c r="AH274" s="16"/>
    </row>
  </sheetData>
  <dataValidations count="1">
    <dataValidation operator="equal" allowBlank="1" showInputMessage="1" showErrorMessage="1" sqref="E255 D100:G100 E258 V111 D103:I103 F119:J119" xr:uid="{241A0AF2-B737-46D9-AF93-070921C5C3B3}"/>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0FE6-20CA-4D4B-8F4A-BD528AB90E86}">
  <sheetPr>
    <tabColor rgb="FF008000"/>
  </sheetPr>
  <dimension ref="A1:AK281"/>
  <sheetViews>
    <sheetView showGridLines="0" zoomScaleNormal="100" workbookViewId="0">
      <pane xSplit="1" topLeftCell="B1" activePane="topRight" state="frozen"/>
      <selection pane="topRight" activeCell="A25" sqref="A25"/>
    </sheetView>
  </sheetViews>
  <sheetFormatPr defaultRowHeight="20" x14ac:dyDescent="0.25" customHeight="1"/>
  <cols>
    <col min="1" max="1" width="36.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21" customFormat="1" ht="30" customHeight="1" x14ac:dyDescent="0.35">
      <c r="A1" s="10" t="e" vm="1">
        <v>#VALUE!</v>
      </c>
      <c r="C1" s="21" t="s">
        <v>371</v>
      </c>
    </row>
    <row r="2" spans="1:37" s="3" customFormat="1" ht="20" customHeight="1" x14ac:dyDescent="0.25">
      <c r="A2"/>
    </row>
    <row r="3" spans="1:37" ht="20" customHeight="1" x14ac:dyDescent="0.25">
      <c r="A3" s="5" t="str">
        <f>HYPERLINK("#'Home'!A1", "Home")</f>
        <v>Home</v>
      </c>
      <c r="C3" s="23"/>
      <c r="D3" s="23" t="s">
        <v>136</v>
      </c>
      <c r="E3" s="23"/>
      <c r="F3" s="23"/>
      <c r="G3" s="23"/>
      <c r="H3" s="23"/>
      <c r="I3" s="23"/>
      <c r="J3" s="23"/>
      <c r="K3" s="23"/>
      <c r="L3" s="23"/>
      <c r="M3" s="23"/>
      <c r="N3" s="23"/>
      <c r="O3" s="23"/>
      <c r="P3" s="23"/>
      <c r="Q3" s="23"/>
      <c r="R3" s="23"/>
      <c r="S3" s="23"/>
      <c r="T3" s="23"/>
      <c r="V3" s="23"/>
      <c r="W3" s="23" t="s">
        <v>137</v>
      </c>
      <c r="X3" s="23"/>
      <c r="Y3" s="23"/>
      <c r="Z3" s="23"/>
      <c r="AA3" s="23"/>
      <c r="AB3" s="23"/>
      <c r="AC3" s="23"/>
      <c r="AD3" s="23"/>
      <c r="AE3" s="23"/>
      <c r="AF3" s="23"/>
      <c r="AG3" s="23"/>
      <c r="AH3" s="23"/>
      <c r="AI3" s="23"/>
      <c r="AJ3" s="23"/>
      <c r="AK3" s="23"/>
    </row>
    <row r="4" spans="1:37" ht="20" customHeight="1" x14ac:dyDescent="0.25">
      <c r="A4" s="5" t="str">
        <f>HYPERLINK("#'Results - Activity period'!A1", "Results - Activity period")</f>
        <v>Results - Activity period</v>
      </c>
    </row>
    <row r="5" spans="1:37" ht="20" customHeight="1" x14ac:dyDescent="0.25">
      <c r="A5" s="5" t="str">
        <f>HYPERLINK("#'Results - Product EI'!A1", "Results - Product Emissions Intensity")</f>
        <v>Results - Product Emissions Intensity</v>
      </c>
      <c r="D5" s="2" t="str" cm="1">
        <f t="array" ref="D5">EntericMethane_PastureBeef_Equations.VEERG_3_2_1_1__4_AdditionalIntakeForMilkProduction_Title()</f>
        <v>Additional intake for milk production in the season of calving and the season after calving</v>
      </c>
    </row>
    <row r="6" spans="1:37" ht="20" customHeight="1" x14ac:dyDescent="0.25">
      <c r="D6" s="17" t="str" cm="1">
        <f t="array" ref="D6">EntericMethane_PastureBeef_Equations.VEERG_3_2_1_1__4_AdditionalIntakeForMilkProduction_Source()</f>
        <v>VEERG 2026: 3.2.1.1, Equation (4)</v>
      </c>
    </row>
    <row r="7" spans="1:37" ht="20" customHeight="1" x14ac:dyDescent="0.25">
      <c r="D7" s="103" t="s">
        <v>372</v>
      </c>
      <c r="E7" s="103" t="s">
        <v>373</v>
      </c>
    </row>
    <row r="8" spans="1:37" ht="20" customHeight="1" x14ac:dyDescent="0.25">
      <c r="A8" s="7" t="s">
        <v>0</v>
      </c>
    </row>
    <row r="9" spans="1:37" ht="20" customHeight="1" x14ac:dyDescent="0.25">
      <c r="A9" s="5" t="str">
        <f>HYPERLINK("#'Input - Enterprise'!A1", "Enterprise")</f>
        <v>Enterprise</v>
      </c>
    </row>
    <row r="10" spans="1:37" ht="20" customHeight="1" x14ac:dyDescent="0.25">
      <c r="A10" s="5" t="str">
        <f>HYPERLINK("#'Input - Site'!A1", "Site")</f>
        <v>Site</v>
      </c>
      <c r="D10" s="77" t="s">
        <v>374</v>
      </c>
      <c r="E10" s="1" t="str" cm="1">
        <f t="array" ref="E10">EntericMethane_PastureBeef_Equations.VEERG_3_2_1_1__4_AdditionalIntakeForMilkProduction_Variable()</f>
        <v>MA_jk45</v>
      </c>
    </row>
    <row r="11" spans="1:37" ht="20" customHeight="1" x14ac:dyDescent="0.25">
      <c r="A11" s="5" t="str">
        <f>HYPERLINK("#'Input - Pasture Beef'!A1", "Pasture Beef")</f>
        <v>Pasture Beef</v>
      </c>
      <c r="D11" s="77" t="s">
        <v>121</v>
      </c>
      <c r="E11" s="9" t="str" cm="1">
        <f t="array" ref="E11">EntericMethane_PastureBeef_Equations.VEERG_3_2_1_1__4_AdditionalIntakeForMilkProduction_Unit()</f>
        <v>fraction</v>
      </c>
    </row>
    <row r="12" spans="1:37" ht="20" customHeight="1" x14ac:dyDescent="0.25">
      <c r="A12" s="5" t="str">
        <f>HYPERLINK("#'Input - Livestock sales'!A1", "Livestock sales")</f>
        <v>Livestock sales</v>
      </c>
    </row>
    <row r="13" spans="1:37" ht="20" customHeight="1" x14ac:dyDescent="0.25">
      <c r="A13" s="5" t="str">
        <f>HYPERLINK("#'Input - Beef cattle purchases'!A1", "Beef cattle purchases")</f>
        <v>Beef cattle purchases</v>
      </c>
      <c r="D13" s="105" t="str" cm="1">
        <f t="array" ref="D13:E16">_xlfn.CHOOSECOLS(EntericMethane_PastureBeef_Equations.VEERG_3_2_1_1__4_AdditionalIntakeForMilkProduction_ArgumentsVariation(), 1, 2)</f>
        <v>LC_jk45</v>
      </c>
      <c r="E13" s="106" t="str">
        <v>proportion of cows greater than 1 year in calf in the season of calving expressed as a fraction</v>
      </c>
      <c r="F13" s="107"/>
      <c r="G13" s="108"/>
      <c r="H13" s="105" t="str" cm="1">
        <f t="array" ref="H13:I16">_xlfn.CHOOSECOLS(EntericMethane_PastureBeef_Equations.VEERG_3_2_1_1__4_AdditionalIntakeForMilkProduction_ArgumentsVariation(), 3,4)</f>
        <v>fraction</v>
      </c>
      <c r="I13" s="109" t="str">
        <v>Input</v>
      </c>
      <c r="J13" s="111" t="str" cm="1">
        <f t="array" aca="1" ref="J13" ca="1">HYPERLINK(Common_InputFunctions.Utility_SourceHyperlink($D$19), $D$19)</f>
        <v>M1_Table_LC_j_k-4-5</v>
      </c>
    </row>
    <row r="14" spans="1:37" ht="20" customHeight="1" x14ac:dyDescent="0.25">
      <c r="A14" s="5" t="str">
        <f>HYPERLINK("#'Input - Pasture'!A1", "Pasture")</f>
        <v>Pasture</v>
      </c>
      <c r="D14" s="105" t="str">
        <v>FA_jk45calv</v>
      </c>
      <c r="E14" s="106" t="str">
        <v>feed adjustment value for lactating cows in the season of calving expressed as a fraction</v>
      </c>
      <c r="F14" s="107"/>
      <c r="G14" s="108"/>
      <c r="H14" s="105" t="str">
        <v>fraction</v>
      </c>
      <c r="I14" s="110" t="str">
        <v>Constant</v>
      </c>
      <c r="J14" s="105" t="e" cm="1">
        <f t="array" ref="J14">_xlfn.XLOOKUP(1, (Table_SourceData_PastureBeef_FeedIntakeAdjustment_Variation[Breed]=$J$16)*(Table_SourceData_PastureBeef_FeedIntakeAdjustment_Variation[Season]=+"Calving season"),Table_SourceData_PastureBeef_FeedIntakeAdjustment_Variation[Feed adjustment])</f>
        <v>#N/A</v>
      </c>
    </row>
    <row r="15" spans="1:37" ht="20" customHeight="1" x14ac:dyDescent="0.25">
      <c r="A15" s="5" t="str">
        <f>HYPERLINK("#'Input - Fert Prod System'!A1", "Fert Prod System")</f>
        <v>Fert Prod System</v>
      </c>
      <c r="D15" s="105" t="str">
        <v>FA_jk45after</v>
      </c>
      <c r="E15" s="106" t="str">
        <v>feed adjustment value for lactating cows in the season immediately after calving expressed as a fraction</v>
      </c>
      <c r="F15" s="107"/>
      <c r="G15" s="108"/>
      <c r="H15" s="105" t="str">
        <v>fraction</v>
      </c>
      <c r="I15" s="110" t="str">
        <v>Constant</v>
      </c>
      <c r="J15" s="105" t="e" cm="1">
        <f t="array" ref="J15">_xlfn.XLOOKUP(1, (Table_SourceData_PastureBeef_FeedIntakeAdjustment_Variation[Breed]=$J$16)*(Table_SourceData_PastureBeef_FeedIntakeAdjustment_Variation[Season]=+"Season after calving"),Table_SourceData_PastureBeef_FeedIntakeAdjustment_Variation[Feed adjustment])</f>
        <v>#N/A</v>
      </c>
    </row>
    <row r="16" spans="1:37" ht="20" customHeight="1" x14ac:dyDescent="0.25">
      <c r="A16" s="5" t="str">
        <f>HYPERLINK("#'Input - Fertiliser'!A1", "Fertiliser")</f>
        <v>Fertiliser</v>
      </c>
      <c r="D16" s="105" t="str">
        <v>b</v>
      </c>
      <c r="E16" s="106" t="str">
        <v>breed of cattle</v>
      </c>
      <c r="F16" s="107"/>
      <c r="G16" s="108"/>
      <c r="H16" s="105" t="str">
        <v/>
      </c>
      <c r="I16" s="109" t="str">
        <v>Input</v>
      </c>
      <c r="J16" s="105">
        <f>X_Cell_PastureBeef_Breed</f>
        <v>0</v>
      </c>
    </row>
    <row r="17" spans="1:36" ht="20" customHeight="1" x14ac:dyDescent="0.25">
      <c r="A17" s="5" t="str">
        <f>HYPERLINK("#'Input - Fuel'!A1", "Fuel")</f>
        <v>Fuel</v>
      </c>
    </row>
    <row r="18" spans="1:36" ht="20" customHeight="1" x14ac:dyDescent="0.25">
      <c r="A18" s="5" t="str">
        <f>HYPERLINK("#'Input - Electricity'!A1", "Electricity")</f>
        <v>Electricity</v>
      </c>
    </row>
    <row r="19" spans="1:36" ht="20" customHeight="1" x14ac:dyDescent="0.25">
      <c r="A19" s="5" t="str">
        <f>HYPERLINK("#'Input - Common farm inputs'!A1", "Common farm inputs")</f>
        <v>Common farm inputs</v>
      </c>
      <c r="D19" s="112" t="s">
        <v>375</v>
      </c>
      <c r="W19" s="112" t="s">
        <v>376</v>
      </c>
    </row>
    <row r="20" spans="1:36" ht="20" customHeight="1" x14ac:dyDescent="0.25">
      <c r="A20" s="5" t="str">
        <f>HYPERLINK("#'Input - Crop pasture farm input'!A1", "Crop pasture farm input")</f>
        <v>Crop pasture farm input</v>
      </c>
      <c r="D20" s="113" t="s">
        <v>377</v>
      </c>
      <c r="W20" s="113" t="s">
        <v>378</v>
      </c>
    </row>
    <row r="21" spans="1:36" ht="20" customHeight="1" x14ac:dyDescent="0.25">
      <c r="A21" s="5" t="str">
        <f>HYPERLINK("#'Input - Livestock farm Inputs'!A1", "Livestock farm Inputs")</f>
        <v>Livestock farm Inputs</v>
      </c>
      <c r="D21" s="114" t="s">
        <v>76</v>
      </c>
      <c r="E21" s="82" t="s">
        <v>357</v>
      </c>
      <c r="F21" s="82" t="s">
        <v>328</v>
      </c>
      <c r="G21" s="82" t="s">
        <v>329</v>
      </c>
      <c r="H21" s="82" t="s">
        <v>330</v>
      </c>
      <c r="W21" s="114" t="s">
        <v>75</v>
      </c>
      <c r="X21" s="82" t="s">
        <v>328</v>
      </c>
      <c r="Y21" s="82" t="s">
        <v>329</v>
      </c>
      <c r="Z21" s="82" t="s">
        <v>330</v>
      </c>
    </row>
    <row r="22" spans="1:36" ht="20" customHeight="1" x14ac:dyDescent="0.25">
      <c r="A22" s="5" t="str">
        <f>HYPERLINK("#'Input - Freight'!A1", "Freight")</f>
        <v>Freight</v>
      </c>
      <c r="D22" s="15" t="s">
        <v>335</v>
      </c>
      <c r="E22" s="15" t="str">
        <f>'Input - Pasture Beef'!$E169</f>
        <v>Yes</v>
      </c>
      <c r="F22" s="125">
        <f>'Input - Pasture Beef'!$F169</f>
        <v>0.1</v>
      </c>
      <c r="G22" s="125">
        <f>'Input - Pasture Beef'!$G169</f>
        <v>0.4</v>
      </c>
      <c r="H22" s="125">
        <f>'Input - Pasture Beef'!$H169</f>
        <v>0.4</v>
      </c>
      <c r="I22" s="16" t="s">
        <v>379</v>
      </c>
      <c r="W22" s="15" t="str">
        <f>TEXT(EDATE('Input - Pasture Beef'!$D$182,0), "mmmm") &amp; ", " &amp; TEXT(EDATE('Input - Pasture Beef'!$D$183,0), "mmmm") &amp; ", " &amp; TEXT(EDATE('Input - Pasture Beef'!$D$184,0), "mmmm")</f>
        <v>August, September, October</v>
      </c>
      <c r="X22" s="125">
        <f>'Input - Pasture Beef'!$E$185</f>
        <v>0.75</v>
      </c>
      <c r="Y22" s="125">
        <f>'Input - Pasture Beef'!$F$185</f>
        <v>0.75</v>
      </c>
      <c r="Z22" s="125">
        <f>'Input - Pasture Beef'!$G$185</f>
        <v>0.75</v>
      </c>
      <c r="AA22" s="16" t="s">
        <v>379</v>
      </c>
    </row>
    <row r="23" spans="1:36" ht="20" customHeight="1" x14ac:dyDescent="0.25">
      <c r="A23" s="5" t="str">
        <f>HYPERLINK("#'Input - Solid waste'!A1", "Solid waste")</f>
        <v>Solid waste</v>
      </c>
      <c r="D23" s="15" t="s">
        <v>336</v>
      </c>
      <c r="E23" s="15" t="str">
        <f>'Input - Pasture Beef'!$E170</f>
        <v>Yes</v>
      </c>
      <c r="F23" s="125">
        <f>'Input - Pasture Beef'!$F170</f>
        <v>0.1</v>
      </c>
      <c r="G23" s="125">
        <f>'Input - Pasture Beef'!$G170</f>
        <v>0</v>
      </c>
      <c r="H23" s="125">
        <f>'Input - Pasture Beef'!$H170</f>
        <v>0</v>
      </c>
      <c r="W23" s="15" t="str">
        <f>TEXT(EDATE('Input - Pasture Beef'!$D$184,1), "mmmm") &amp; ", " &amp; TEXT(EDATE('Input - Pasture Beef'!$D$184,2), "mmmm") &amp; ", " &amp; TEXT(EDATE('Input - Pasture Beef'!$D$184,3), "mmmm")</f>
        <v>November, December, January</v>
      </c>
      <c r="AA23" s="16"/>
    </row>
    <row r="24" spans="1:36" ht="20" customHeight="1" x14ac:dyDescent="0.25">
      <c r="A24" s="5" t="str">
        <f>HYPERLINK("#'Input - Manure sent off-site'!A1", "Manure sent off-site")</f>
        <v>Manure sent off-site</v>
      </c>
      <c r="D24" s="15" t="s">
        <v>337</v>
      </c>
      <c r="E24" s="15" t="str">
        <f>'Input - Pasture Beef'!$E171</f>
        <v>No</v>
      </c>
      <c r="F24" s="125">
        <f>'Input - Pasture Beef'!$F171</f>
        <v>0</v>
      </c>
      <c r="G24" s="125">
        <f>'Input - Pasture Beef'!$G171</f>
        <v>0</v>
      </c>
      <c r="H24" s="125">
        <f>'Input - Pasture Beef'!$H171</f>
        <v>0</v>
      </c>
      <c r="AA24" s="16"/>
    </row>
    <row r="25" spans="1:36" ht="20" customHeight="1" x14ac:dyDescent="0.25">
      <c r="A25" s="5" t="str">
        <f>HYPERLINK("#'Input - Data quality'!A1", "Data quality")</f>
        <v>Data quality</v>
      </c>
      <c r="D25" s="15" t="s">
        <v>338</v>
      </c>
      <c r="E25" s="15" t="str">
        <f>'Input - Pasture Beef'!$E169</f>
        <v>Yes</v>
      </c>
      <c r="F25" s="125">
        <f>'Input - Pasture Beef'!$F$168</f>
        <v>0.7</v>
      </c>
      <c r="G25" s="125">
        <f>'Input - Pasture Beef'!$G$168</f>
        <v>0.5</v>
      </c>
      <c r="H25" s="125">
        <f>'Input - Pasture Beef'!$H$168</f>
        <v>0.5</v>
      </c>
      <c r="W25" s="112" t="s">
        <v>380</v>
      </c>
    </row>
    <row r="26" spans="1:36" ht="20" customHeight="1" x14ac:dyDescent="0.25">
      <c r="W26" s="113" t="s">
        <v>381</v>
      </c>
    </row>
    <row r="27" spans="1:36" ht="20" customHeight="1" x14ac:dyDescent="0.25">
      <c r="D27" s="112" t="s">
        <v>382</v>
      </c>
      <c r="W27" s="114" t="s">
        <v>75</v>
      </c>
      <c r="X27" s="114" t="s">
        <v>357</v>
      </c>
      <c r="Y27" s="114" t="s">
        <v>383</v>
      </c>
      <c r="Z27" s="114" t="s">
        <v>326</v>
      </c>
      <c r="AA27" s="114" t="s">
        <v>184</v>
      </c>
      <c r="AB27" s="114" t="s">
        <v>327</v>
      </c>
      <c r="AC27" s="114" t="s">
        <v>328</v>
      </c>
      <c r="AD27" s="114" t="s">
        <v>329</v>
      </c>
      <c r="AE27" s="114" t="s">
        <v>330</v>
      </c>
      <c r="AF27" s="114" t="s">
        <v>331</v>
      </c>
      <c r="AG27" s="114" t="s">
        <v>332</v>
      </c>
      <c r="AH27" s="114" t="s">
        <v>333</v>
      </c>
      <c r="AI27" s="114" t="s">
        <v>334</v>
      </c>
    </row>
    <row r="28" spans="1:36" ht="20" customHeight="1" x14ac:dyDescent="0.25">
      <c r="A28" s="6" t="s">
        <v>2</v>
      </c>
      <c r="D28" s="113" t="s">
        <v>384</v>
      </c>
      <c r="W28" s="15" t="str">
        <f>TEXT(X_Cell_Site_StartDate,"mmmm")</f>
        <v>January</v>
      </c>
      <c r="X28" s="15" t="str" cm="1">
        <f t="array" ref="X28">IFERROR(_xlfn.IFS(SUMPRODUCT(ISNUMBER(SEARCH(TRIM(_xlfn.TEXTSPLIT($W$22,",")),W28))*1)&gt;0,"Calving season",SUMPRODUCT(ISNUMBER(SEARCH(TRIM(_xlfn.TEXTSPLIT($W$23,",")),W28))*1)&gt;0,"Season after calving"), "")</f>
        <v>Season after calving</v>
      </c>
      <c r="Y28" s="15" t="e" cm="1">
        <f t="array" ref="Y28">_xlfn.IFS(X28="Calving season", $J$14, X28="Season after calving", $J$15, X28="", "")</f>
        <v>#N/A</v>
      </c>
      <c r="Z28" s="15">
        <v>1</v>
      </c>
      <c r="AA28" s="15">
        <v>1</v>
      </c>
      <c r="AB28" s="15">
        <v>1</v>
      </c>
      <c r="AC28" s="15" cm="1">
        <f t="array" ref="AC28">IFERROR(EntericMethane_PastureBeef_Equations.VEERG_3_2_1_1__4_AdditionalIntakeForMilkProduction(X$22,$Y28), 1)</f>
        <v>1</v>
      </c>
      <c r="AD28" s="15" cm="1">
        <f t="array" ref="AD28">IFERROR(EntericMethane_PastureBeef_Equations.VEERG_3_2_1_1__4_AdditionalIntakeForMilkProduction(Y$22,$Y28), 1)</f>
        <v>1</v>
      </c>
      <c r="AE28" s="15" cm="1">
        <f t="array" ref="AE28">IFERROR(EntericMethane_PastureBeef_Equations.VEERG_3_2_1_1__4_AdditionalIntakeForMilkProduction(Z$22,$Y28), 1)</f>
        <v>1</v>
      </c>
      <c r="AF28" s="15">
        <v>1</v>
      </c>
      <c r="AG28" s="15">
        <v>1</v>
      </c>
      <c r="AH28" s="15">
        <v>1</v>
      </c>
      <c r="AI28" s="15">
        <v>1</v>
      </c>
      <c r="AJ28" s="16" t="str">
        <f>$E$11</f>
        <v>fraction</v>
      </c>
    </row>
    <row r="29" spans="1:36" ht="20" customHeight="1" x14ac:dyDescent="0.25">
      <c r="A29" s="5" t="str">
        <f>HYPERLINK("#'3.2.1.1-2 Enteric Methane'!A1", "3.2.1.1-2 Enteric Methane")</f>
        <v>3.2.1.1-2 Enteric Methane</v>
      </c>
      <c r="D29" s="114" t="s">
        <v>76</v>
      </c>
      <c r="E29" s="114" t="s">
        <v>357</v>
      </c>
      <c r="F29" s="114" t="s">
        <v>385</v>
      </c>
      <c r="G29" s="114" t="s">
        <v>383</v>
      </c>
      <c r="H29" s="114" t="s">
        <v>383</v>
      </c>
      <c r="I29" s="114" t="s">
        <v>326</v>
      </c>
      <c r="J29" s="114" t="s">
        <v>184</v>
      </c>
      <c r="K29" s="114" t="s">
        <v>327</v>
      </c>
      <c r="L29" s="114" t="s">
        <v>328</v>
      </c>
      <c r="M29" s="114" t="s">
        <v>329</v>
      </c>
      <c r="N29" s="114" t="s">
        <v>330</v>
      </c>
      <c r="O29" s="114" t="s">
        <v>331</v>
      </c>
      <c r="P29" s="114" t="s">
        <v>332</v>
      </c>
      <c r="Q29" s="114" t="s">
        <v>333</v>
      </c>
      <c r="R29" s="114" t="s">
        <v>334</v>
      </c>
      <c r="W29" s="15" t="str">
        <f>TEXT(EDATE(X_Cell_Site_StartDate,1), "mmmm")</f>
        <v>January</v>
      </c>
      <c r="X29" s="15" t="str" cm="1">
        <f t="array" ref="X29">IFERROR(_xlfn.IFS(SUMPRODUCT(ISNUMBER(SEARCH(TRIM(_xlfn.TEXTSPLIT($W$22,",")),W29))*1)&gt;0,"Calving season",SUMPRODUCT(ISNUMBER(SEARCH(TRIM(_xlfn.TEXTSPLIT($W$23,",")),W29))*1)&gt;0,"Season after calving"), "")</f>
        <v>Season after calving</v>
      </c>
      <c r="Y29" s="15" t="e" cm="1">
        <f t="array" ref="Y29">_xlfn.IFS(X29="Calving season", $J$14, X29="Season after calving", $J$15, X29="", "")</f>
        <v>#N/A</v>
      </c>
      <c r="Z29" s="15">
        <v>1</v>
      </c>
      <c r="AA29" s="15">
        <v>1</v>
      </c>
      <c r="AB29" s="15">
        <v>1</v>
      </c>
      <c r="AC29" s="15" cm="1">
        <f t="array" ref="AC29">IFERROR(EntericMethane_PastureBeef_Equations.VEERG_3_2_1_1__4_AdditionalIntakeForMilkProduction(X$22,$Y29), 1)</f>
        <v>1</v>
      </c>
      <c r="AD29" s="15" cm="1">
        <f t="array" ref="AD29">IFERROR(EntericMethane_PastureBeef_Equations.VEERG_3_2_1_1__4_AdditionalIntakeForMilkProduction(Y$22,$Y29), 1)</f>
        <v>1</v>
      </c>
      <c r="AE29" s="15" cm="1">
        <f t="array" ref="AE29">IFERROR(EntericMethane_PastureBeef_Equations.VEERG_3_2_1_1__4_AdditionalIntakeForMilkProduction(Z$22,$Y29), 1)</f>
        <v>1</v>
      </c>
      <c r="AF29" s="15">
        <v>1</v>
      </c>
      <c r="AG29" s="15">
        <v>1</v>
      </c>
      <c r="AH29" s="15">
        <v>1</v>
      </c>
      <c r="AI29" s="15">
        <v>1</v>
      </c>
      <c r="AJ29" s="16" t="str">
        <f t="shared" ref="AJ29:AJ39" si="0">$E$11</f>
        <v>fraction</v>
      </c>
    </row>
    <row r="30" spans="1:36" ht="20" customHeight="1" x14ac:dyDescent="0.25">
      <c r="A30" s="104" t="str">
        <f>HYPERLINK("#'4.2.1.1-2 Methane'!A1", "4.2.1.1-2 Manure methane")</f>
        <v>4.2.1.1-2 Manure methane</v>
      </c>
      <c r="D30" s="15" t="s">
        <v>335</v>
      </c>
      <c r="E30" s="15" t="str">
        <f>IF('Input - Pasture Beef'!E169="Yes", "Calving season", "")</f>
        <v>Calving season</v>
      </c>
      <c r="F30" s="15" t="str">
        <f>IF('Input - Pasture Beef'!E168="Yes", "Season after calving","")</f>
        <v>Season after calving</v>
      </c>
      <c r="G30" s="15" t="e">
        <f>IF(E30="Calving season", $J$14, 1)</f>
        <v>#N/A</v>
      </c>
      <c r="H30" s="15" t="e">
        <f>IF(F30="Season after calving", $J$15, 1)</f>
        <v>#N/A</v>
      </c>
      <c r="I30" s="15">
        <v>1</v>
      </c>
      <c r="J30" s="15">
        <v>1</v>
      </c>
      <c r="K30" s="15">
        <v>1</v>
      </c>
      <c r="L30" s="115" t="e" cm="1">
        <f t="array" ref="L30">EntericMethane_PastureBeef_Equations.VEERG_3_2_1_1__4_AdditionalIntakeForMilkProductionVariation(F22,F25,$G30,$H30)</f>
        <v>#N/A</v>
      </c>
      <c r="M30" s="115" t="e" cm="1">
        <f t="array" ref="M30">EntericMethane_PastureBeef_Equations.VEERG_3_2_1_1__4_AdditionalIntakeForMilkProductionVariation(G22,G25,$G30,$H30)</f>
        <v>#N/A</v>
      </c>
      <c r="N30" s="115" t="e" cm="1">
        <f t="array" ref="N30">EntericMethane_PastureBeef_Equations.VEERG_3_2_1_1__4_AdditionalIntakeForMilkProductionVariation(H22,H25,$G30,$H30)</f>
        <v>#N/A</v>
      </c>
      <c r="O30" s="15">
        <v>1</v>
      </c>
      <c r="P30" s="15">
        <v>1</v>
      </c>
      <c r="Q30" s="15">
        <v>1</v>
      </c>
      <c r="R30" s="15">
        <v>1</v>
      </c>
      <c r="S30" s="16" t="str">
        <f>$E$11</f>
        <v>fraction</v>
      </c>
      <c r="W30" s="15" t="str">
        <f>TEXT(EDATE(X_Cell_Site_StartDate,2), "mmmm")</f>
        <v>February</v>
      </c>
      <c r="X30" s="15" t="str" cm="1">
        <f t="array" ref="X30">IFERROR(_xlfn.IFS(SUMPRODUCT(ISNUMBER(SEARCH(TRIM(_xlfn.TEXTSPLIT($W$22,",")),W30))*1)&gt;0,"Calving season",SUMPRODUCT(ISNUMBER(SEARCH(TRIM(_xlfn.TEXTSPLIT($W$23,",")),W30))*1)&gt;0,"Season after calving"), "")</f>
        <v/>
      </c>
      <c r="Y30" s="15" t="str" cm="1">
        <f t="array" ref="Y30">_xlfn.IFS(X30="Calving season", $J$14, X30="Season after calving", $J$15, X30="", "")</f>
        <v/>
      </c>
      <c r="Z30" s="15">
        <v>1</v>
      </c>
      <c r="AA30" s="15">
        <v>1</v>
      </c>
      <c r="AB30" s="15">
        <v>1</v>
      </c>
      <c r="AC30" s="15" cm="1">
        <f t="array" ref="AC30">IFERROR(EntericMethane_PastureBeef_Equations.VEERG_3_2_1_1__4_AdditionalIntakeForMilkProduction(X$22,$Y30), 1)</f>
        <v>1</v>
      </c>
      <c r="AD30" s="15" cm="1">
        <f t="array" ref="AD30">IFERROR(EntericMethane_PastureBeef_Equations.VEERG_3_2_1_1__4_AdditionalIntakeForMilkProduction(Y$22,$Y30), 1)</f>
        <v>1</v>
      </c>
      <c r="AE30" s="15" cm="1">
        <f t="array" ref="AE30">IFERROR(EntericMethane_PastureBeef_Equations.VEERG_3_2_1_1__4_AdditionalIntakeForMilkProduction(Z$22,$Y30), 1)</f>
        <v>1</v>
      </c>
      <c r="AF30" s="15">
        <v>1</v>
      </c>
      <c r="AG30" s="15">
        <v>1</v>
      </c>
      <c r="AH30" s="15">
        <v>1</v>
      </c>
      <c r="AI30" s="15">
        <v>1</v>
      </c>
      <c r="AJ30" s="16" t="str">
        <f t="shared" si="0"/>
        <v>fraction</v>
      </c>
    </row>
    <row r="31" spans="1:36" ht="20" customHeight="1" x14ac:dyDescent="0.25">
      <c r="A31" s="5" t="str">
        <f>HYPERLINK("#'4.2.1.3-4 Soil direct N20'!A1", "4.2.1.3-4 Soil direct N2O")</f>
        <v>4.2.1.3-4 Soil direct N2O</v>
      </c>
      <c r="D31" s="15" t="s">
        <v>336</v>
      </c>
      <c r="E31" s="15" t="str">
        <f>IF('Input - Pasture Beef'!E170="Yes", "Calving season", "")</f>
        <v>Calving season</v>
      </c>
      <c r="F31" s="15" t="str">
        <f>IF('Input - Pasture Beef'!E169="Yes", "Season after calving","")</f>
        <v>Season after calving</v>
      </c>
      <c r="G31" s="15" t="e">
        <f>IF(E31="Calving season", $J$14, 1)</f>
        <v>#N/A</v>
      </c>
      <c r="H31" s="15" t="e">
        <f>IF(F31="Season after calving", $J$15, 1)</f>
        <v>#N/A</v>
      </c>
      <c r="I31" s="15">
        <v>1</v>
      </c>
      <c r="J31" s="15">
        <v>1</v>
      </c>
      <c r="K31" s="15">
        <v>1</v>
      </c>
      <c r="L31" s="115" t="e" cm="1">
        <f t="array" ref="L31">EntericMethane_PastureBeef_Equations.VEERG_3_2_1_1__4_AdditionalIntakeForMilkProductionVariation(F23,F22,$G31,$H31)</f>
        <v>#N/A</v>
      </c>
      <c r="M31" s="115" t="e" cm="1">
        <f t="array" ref="M31">EntericMethane_PastureBeef_Equations.VEERG_3_2_1_1__4_AdditionalIntakeForMilkProductionVariation(G23,G22,$G31,$H31)</f>
        <v>#N/A</v>
      </c>
      <c r="N31" s="115" t="e" cm="1">
        <f t="array" ref="N31">EntericMethane_PastureBeef_Equations.VEERG_3_2_1_1__4_AdditionalIntakeForMilkProductionVariation(H23,H22,$G31,$H31)</f>
        <v>#N/A</v>
      </c>
      <c r="O31" s="15">
        <v>1</v>
      </c>
      <c r="P31" s="15">
        <v>1</v>
      </c>
      <c r="Q31" s="15">
        <v>1</v>
      </c>
      <c r="R31" s="15">
        <v>1</v>
      </c>
      <c r="S31" s="16" t="str">
        <f t="shared" ref="S31:S33" si="1">$E$11</f>
        <v>fraction</v>
      </c>
      <c r="W31" s="15" t="str">
        <f>TEXT(EDATE(X_Cell_Site_StartDate,3), "mmmm")</f>
        <v>March</v>
      </c>
      <c r="X31" s="15" t="str" cm="1">
        <f t="array" ref="X31">IFERROR(_xlfn.IFS(SUMPRODUCT(ISNUMBER(SEARCH(TRIM(_xlfn.TEXTSPLIT($W$22,",")),W31))*1)&gt;0,"Calving season",SUMPRODUCT(ISNUMBER(SEARCH(TRIM(_xlfn.TEXTSPLIT($W$23,",")),W31))*1)&gt;0,"Season after calving"), "")</f>
        <v/>
      </c>
      <c r="Y31" s="15" t="str" cm="1">
        <f t="array" ref="Y31">_xlfn.IFS(X31="Calving season", $J$14, X31="Season after calving", $J$15, X31="", "")</f>
        <v/>
      </c>
      <c r="Z31" s="15">
        <v>1</v>
      </c>
      <c r="AA31" s="15">
        <v>1</v>
      </c>
      <c r="AB31" s="15">
        <v>1</v>
      </c>
      <c r="AC31" s="15" cm="1">
        <f t="array" ref="AC31">IFERROR(EntericMethane_PastureBeef_Equations.VEERG_3_2_1_1__4_AdditionalIntakeForMilkProduction(X$22,$Y31), 1)</f>
        <v>1</v>
      </c>
      <c r="AD31" s="15" cm="1">
        <f t="array" ref="AD31">IFERROR(EntericMethane_PastureBeef_Equations.VEERG_3_2_1_1__4_AdditionalIntakeForMilkProduction(Y$22,$Y31), 1)</f>
        <v>1</v>
      </c>
      <c r="AE31" s="15" cm="1">
        <f t="array" ref="AE31">IFERROR(EntericMethane_PastureBeef_Equations.VEERG_3_2_1_1__4_AdditionalIntakeForMilkProduction(Z$22,$Y31), 1)</f>
        <v>1</v>
      </c>
      <c r="AF31" s="15">
        <v>1</v>
      </c>
      <c r="AG31" s="15">
        <v>1</v>
      </c>
      <c r="AH31" s="15">
        <v>1</v>
      </c>
      <c r="AI31" s="15">
        <v>1</v>
      </c>
      <c r="AJ31" s="16" t="str">
        <f t="shared" si="0"/>
        <v>fraction</v>
      </c>
    </row>
    <row r="32" spans="1:36" ht="20" customHeight="1" x14ac:dyDescent="0.25">
      <c r="A32" s="5" t="str">
        <f>HYPERLINK("#'4.2.1.5-6 Soil Atmos Dep'!A1", "4.2.1.5-6 Soil atm. deposition")</f>
        <v>4.2.1.5-6 Soil atm. deposition</v>
      </c>
      <c r="D32" s="15" t="s">
        <v>337</v>
      </c>
      <c r="E32" s="15" t="str">
        <f>IF('Input - Pasture Beef'!E171="Yes", "Calving season", "")</f>
        <v/>
      </c>
      <c r="F32" s="15" t="str">
        <f>IF('Input - Pasture Beef'!E170="Yes", "Season after calving","")</f>
        <v>Season after calving</v>
      </c>
      <c r="G32" s="15">
        <f>IF(E32="Calving season", $J$14, 1)</f>
        <v>1</v>
      </c>
      <c r="H32" s="15" t="e">
        <f>IF(F32="Season after calving", $J$15, 1)</f>
        <v>#N/A</v>
      </c>
      <c r="I32" s="15">
        <v>1</v>
      </c>
      <c r="J32" s="15">
        <v>1</v>
      </c>
      <c r="K32" s="15">
        <v>1</v>
      </c>
      <c r="L32" s="115" t="e" cm="1">
        <f t="array" ref="L32">EntericMethane_PastureBeef_Equations.VEERG_3_2_1_1__4_AdditionalIntakeForMilkProductionVariation(F24,F23,$G32,$H32)</f>
        <v>#N/A</v>
      </c>
      <c r="M32" s="115" t="e" cm="1">
        <f t="array" ref="M32">EntericMethane_PastureBeef_Equations.VEERG_3_2_1_1__4_AdditionalIntakeForMilkProductionVariation(G24,G23,$G32,$H32)</f>
        <v>#N/A</v>
      </c>
      <c r="N32" s="115" t="e" cm="1">
        <f t="array" ref="N32">EntericMethane_PastureBeef_Equations.VEERG_3_2_1_1__4_AdditionalIntakeForMilkProductionVariation(H24,H23,$G32,$H32)</f>
        <v>#N/A</v>
      </c>
      <c r="O32" s="15">
        <v>1</v>
      </c>
      <c r="P32" s="15">
        <v>1</v>
      </c>
      <c r="Q32" s="15">
        <v>1</v>
      </c>
      <c r="R32" s="15">
        <v>1</v>
      </c>
      <c r="S32" s="16" t="str">
        <f t="shared" si="1"/>
        <v>fraction</v>
      </c>
      <c r="W32" s="15" t="str">
        <f>TEXT(EDATE(X_Cell_Site_StartDate,4), "mmmm")</f>
        <v>April</v>
      </c>
      <c r="X32" s="15" t="str" cm="1">
        <f t="array" ref="X32">IFERROR(_xlfn.IFS(SUMPRODUCT(ISNUMBER(SEARCH(TRIM(_xlfn.TEXTSPLIT($W$22,",")),W32))*1)&gt;0,"Calving season",SUMPRODUCT(ISNUMBER(SEARCH(TRIM(_xlfn.TEXTSPLIT($W$23,",")),W32))*1)&gt;0,"Season after calving"), "")</f>
        <v/>
      </c>
      <c r="Y32" s="15" t="str" cm="1">
        <f t="array" ref="Y32">_xlfn.IFS(X32="Calving season", $J$14, X32="Season after calving", $J$15, X32="", "")</f>
        <v/>
      </c>
      <c r="Z32" s="15">
        <v>1</v>
      </c>
      <c r="AA32" s="15">
        <v>1</v>
      </c>
      <c r="AB32" s="15">
        <v>1</v>
      </c>
      <c r="AC32" s="15" cm="1">
        <f t="array" ref="AC32">IFERROR(EntericMethane_PastureBeef_Equations.VEERG_3_2_1_1__4_AdditionalIntakeForMilkProduction(X$22,$Y32), 1)</f>
        <v>1</v>
      </c>
      <c r="AD32" s="15" cm="1">
        <f t="array" ref="AD32">IFERROR(EntericMethane_PastureBeef_Equations.VEERG_3_2_1_1__4_AdditionalIntakeForMilkProduction(Y$22,$Y32), 1)</f>
        <v>1</v>
      </c>
      <c r="AE32" s="15" cm="1">
        <f t="array" ref="AE32">IFERROR(EntericMethane_PastureBeef_Equations.VEERG_3_2_1_1__4_AdditionalIntakeForMilkProduction(Z$22,$Y32), 1)</f>
        <v>1</v>
      </c>
      <c r="AF32" s="15">
        <v>1</v>
      </c>
      <c r="AG32" s="15">
        <v>1</v>
      </c>
      <c r="AH32" s="15">
        <v>1</v>
      </c>
      <c r="AI32" s="15">
        <v>1</v>
      </c>
      <c r="AJ32" s="16" t="str">
        <f t="shared" si="0"/>
        <v>fraction</v>
      </c>
    </row>
    <row r="33" spans="1:36" ht="20" customHeight="1" x14ac:dyDescent="0.25">
      <c r="A33" s="5" t="str">
        <f>HYPERLINK("#'4.2.1.7-8 Soil leach runoff'!A1", "4.2.1.7-8 Soil leach &amp; runoff")</f>
        <v>4.2.1.7-8 Soil leach &amp; runoff</v>
      </c>
      <c r="D33" s="15" t="s">
        <v>338</v>
      </c>
      <c r="E33" s="15" t="str">
        <f>IF('Input - Pasture Beef'!E168="Yes", "Calving season", "")</f>
        <v>Calving season</v>
      </c>
      <c r="F33" s="15" t="str">
        <f>IF('Input - Pasture Beef'!E171="Yes", "Season after calving","")</f>
        <v/>
      </c>
      <c r="G33" s="15" t="e">
        <f>IF(E33="Calving season", $J$14, 1)</f>
        <v>#N/A</v>
      </c>
      <c r="H33" s="15">
        <f>IF(F33="Season after calving", $J$15, 1)</f>
        <v>1</v>
      </c>
      <c r="I33" s="15">
        <v>1</v>
      </c>
      <c r="J33" s="15">
        <v>1</v>
      </c>
      <c r="K33" s="15">
        <v>1</v>
      </c>
      <c r="L33" s="115" t="e" cm="1">
        <f t="array" ref="L33">EntericMethane_PastureBeef_Equations.VEERG_3_2_1_1__4_AdditionalIntakeForMilkProductionVariation(F25,F24,$G33,$H33)</f>
        <v>#N/A</v>
      </c>
      <c r="M33" s="115" t="e" cm="1">
        <f t="array" ref="M33">EntericMethane_PastureBeef_Equations.VEERG_3_2_1_1__4_AdditionalIntakeForMilkProductionVariation(G25,G24,$G33,$H33)</f>
        <v>#N/A</v>
      </c>
      <c r="N33" s="115" t="e" cm="1">
        <f t="array" ref="N33">EntericMethane_PastureBeef_Equations.VEERG_3_2_1_1__4_AdditionalIntakeForMilkProductionVariation(H25,H24,$G33,$H33)</f>
        <v>#N/A</v>
      </c>
      <c r="O33" s="15">
        <v>1</v>
      </c>
      <c r="P33" s="15">
        <v>1</v>
      </c>
      <c r="Q33" s="15">
        <v>1</v>
      </c>
      <c r="R33" s="15">
        <v>1</v>
      </c>
      <c r="S33" s="16" t="str">
        <f t="shared" si="1"/>
        <v>fraction</v>
      </c>
      <c r="W33" s="15" t="str">
        <f>TEXT(EDATE(X_Cell_Site_StartDate,5), "mmmm")</f>
        <v>May</v>
      </c>
      <c r="X33" s="15" t="str" cm="1">
        <f t="array" ref="X33">IFERROR(_xlfn.IFS(SUMPRODUCT(ISNUMBER(SEARCH(TRIM(_xlfn.TEXTSPLIT($W$22,",")),W33))*1)&gt;0,"Calving season",SUMPRODUCT(ISNUMBER(SEARCH(TRIM(_xlfn.TEXTSPLIT($W$23,",")),W33))*1)&gt;0,"Season after calving"), "")</f>
        <v/>
      </c>
      <c r="Y33" s="15" t="str" cm="1">
        <f t="array" ref="Y33">_xlfn.IFS(X33="Calving season", $J$14, X33="Season after calving", $J$15, X33="", "")</f>
        <v/>
      </c>
      <c r="Z33" s="15">
        <v>1</v>
      </c>
      <c r="AA33" s="15">
        <v>1</v>
      </c>
      <c r="AB33" s="15">
        <v>1</v>
      </c>
      <c r="AC33" s="15" cm="1">
        <f t="array" ref="AC33">IFERROR(EntericMethane_PastureBeef_Equations.VEERG_3_2_1_1__4_AdditionalIntakeForMilkProduction(X$22,$Y33), 1)</f>
        <v>1</v>
      </c>
      <c r="AD33" s="15" cm="1">
        <f t="array" ref="AD33">IFERROR(EntericMethane_PastureBeef_Equations.VEERG_3_2_1_1__4_AdditionalIntakeForMilkProduction(Y$22,$Y33), 1)</f>
        <v>1</v>
      </c>
      <c r="AE33" s="15" cm="1">
        <f t="array" ref="AE33">IFERROR(EntericMethane_PastureBeef_Equations.VEERG_3_2_1_1__4_AdditionalIntakeForMilkProduction(Z$22,$Y33), 1)</f>
        <v>1</v>
      </c>
      <c r="AF33" s="15">
        <v>1</v>
      </c>
      <c r="AG33" s="15">
        <v>1</v>
      </c>
      <c r="AH33" s="15">
        <v>1</v>
      </c>
      <c r="AI33" s="15">
        <v>1</v>
      </c>
      <c r="AJ33" s="16" t="str">
        <f t="shared" si="0"/>
        <v>fraction</v>
      </c>
    </row>
    <row r="34" spans="1:36" ht="20" customHeight="1" x14ac:dyDescent="0.25">
      <c r="A34" s="5" t="str">
        <f>HYPERLINK("#'5.1.1.1-2 Inorganic fert N2O'!A1", "5.1.1.1-2 Inorganic fert N2O")</f>
        <v>5.1.1.1-2 Inorganic fert N2O</v>
      </c>
      <c r="W34" s="15" t="str">
        <f>TEXT(EDATE(X_Cell_Site_StartDate,6), "mmmm")</f>
        <v>June</v>
      </c>
      <c r="X34" s="15" t="str" cm="1">
        <f t="array" ref="X34">IFERROR(_xlfn.IFS(SUMPRODUCT(ISNUMBER(SEARCH(TRIM(_xlfn.TEXTSPLIT($W$22,",")),W34))*1)&gt;0,"Calving season",SUMPRODUCT(ISNUMBER(SEARCH(TRIM(_xlfn.TEXTSPLIT($W$23,",")),W34))*1)&gt;0,"Season after calving"), "")</f>
        <v/>
      </c>
      <c r="Y34" s="15" t="str" cm="1">
        <f t="array" ref="Y34">_xlfn.IFS(X34="Calving season", $J$14, X34="Season after calving", $J$15, X34="", "")</f>
        <v/>
      </c>
      <c r="Z34" s="15">
        <v>1</v>
      </c>
      <c r="AA34" s="15">
        <v>1</v>
      </c>
      <c r="AB34" s="15">
        <v>1</v>
      </c>
      <c r="AC34" s="15" cm="1">
        <f t="array" ref="AC34">IFERROR(EntericMethane_PastureBeef_Equations.VEERG_3_2_1_1__4_AdditionalIntakeForMilkProduction(X$22,$Y34), 1)</f>
        <v>1</v>
      </c>
      <c r="AD34" s="15" cm="1">
        <f t="array" ref="AD34">IFERROR(EntericMethane_PastureBeef_Equations.VEERG_3_2_1_1__4_AdditionalIntakeForMilkProduction(Y$22,$Y34), 1)</f>
        <v>1</v>
      </c>
      <c r="AE34" s="15" cm="1">
        <f t="array" ref="AE34">IFERROR(EntericMethane_PastureBeef_Equations.VEERG_3_2_1_1__4_AdditionalIntakeForMilkProduction(Z$22,$Y34), 1)</f>
        <v>1</v>
      </c>
      <c r="AF34" s="15">
        <v>1</v>
      </c>
      <c r="AG34" s="15">
        <v>1</v>
      </c>
      <c r="AH34" s="15">
        <v>1</v>
      </c>
      <c r="AI34" s="15">
        <v>1</v>
      </c>
      <c r="AJ34" s="16" t="str">
        <f t="shared" si="0"/>
        <v>fraction</v>
      </c>
    </row>
    <row r="35" spans="1:36" ht="20" customHeight="1" x14ac:dyDescent="0.25">
      <c r="A35" s="5" t="str">
        <f>HYPERLINK("#'5.1.1.3-4 Inorganic fert CO2'!A1", "5.1.1.3-4 Inorganic fert CO2")</f>
        <v>5.1.1.3-4 Inorganic fert CO2</v>
      </c>
      <c r="W35" s="15" t="str">
        <f>TEXT(EDATE(X_Cell_Site_StartDate,7), "mmmm")</f>
        <v>July</v>
      </c>
      <c r="X35" s="15" t="str" cm="1">
        <f t="array" ref="X35">IFERROR(_xlfn.IFS(SUMPRODUCT(ISNUMBER(SEARCH(TRIM(_xlfn.TEXTSPLIT($W$22,",")),W35))*1)&gt;0,"Calving season",SUMPRODUCT(ISNUMBER(SEARCH(TRIM(_xlfn.TEXTSPLIT($W$23,",")),W35))*1)&gt;0,"Season after calving"), "")</f>
        <v/>
      </c>
      <c r="Y35" s="15" t="str" cm="1">
        <f t="array" ref="Y35">_xlfn.IFS(X35="Calving season", $J$14, X35="Season after calving", $J$15, X35="", "")</f>
        <v/>
      </c>
      <c r="Z35" s="15">
        <v>1</v>
      </c>
      <c r="AA35" s="15">
        <v>1</v>
      </c>
      <c r="AB35" s="15">
        <v>1</v>
      </c>
      <c r="AC35" s="15" cm="1">
        <f t="array" ref="AC35">IFERROR(EntericMethane_PastureBeef_Equations.VEERG_3_2_1_1__4_AdditionalIntakeForMilkProduction(X$22,$Y35), 1)</f>
        <v>1</v>
      </c>
      <c r="AD35" s="15" cm="1">
        <f t="array" ref="AD35">IFERROR(EntericMethane_PastureBeef_Equations.VEERG_3_2_1_1__4_AdditionalIntakeForMilkProduction(Y$22,$Y35), 1)</f>
        <v>1</v>
      </c>
      <c r="AE35" s="15" cm="1">
        <f t="array" ref="AE35">IFERROR(EntericMethane_PastureBeef_Equations.VEERG_3_2_1_1__4_AdditionalIntakeForMilkProduction(Z$22,$Y35), 1)</f>
        <v>1</v>
      </c>
      <c r="AF35" s="15">
        <v>1</v>
      </c>
      <c r="AG35" s="15">
        <v>1</v>
      </c>
      <c r="AH35" s="15">
        <v>1</v>
      </c>
      <c r="AI35" s="15">
        <v>1</v>
      </c>
      <c r="AJ35" s="16" t="str">
        <f t="shared" si="0"/>
        <v>fraction</v>
      </c>
    </row>
    <row r="36" spans="1:36" ht="20" customHeight="1" x14ac:dyDescent="0.25">
      <c r="A36" s="5" t="str">
        <f>HYPERLINK("#'5.2.1.1-2 Organic Fert N2O'!A1", "5.2.1.1-2 Organic fert N2O")</f>
        <v>5.2.1.1-2 Organic fert N2O</v>
      </c>
      <c r="C36" s="87"/>
      <c r="D36" s="87"/>
      <c r="E36" s="87"/>
      <c r="F36" s="87"/>
      <c r="G36" s="87"/>
      <c r="H36" s="87"/>
      <c r="I36" s="87"/>
      <c r="J36" s="87"/>
      <c r="K36" s="87"/>
      <c r="L36" s="87"/>
      <c r="M36" s="87"/>
      <c r="N36" s="87"/>
      <c r="O36" s="87"/>
      <c r="P36" s="87"/>
      <c r="Q36" s="87"/>
      <c r="R36" s="87"/>
      <c r="S36" s="87"/>
      <c r="T36" s="87"/>
      <c r="W36" s="15" t="str">
        <f>TEXT(EDATE(X_Cell_Site_StartDate,8), "mmmm")</f>
        <v>August</v>
      </c>
      <c r="X36" s="15" t="str" cm="1">
        <f t="array" ref="X36">IFERROR(_xlfn.IFS(SUMPRODUCT(ISNUMBER(SEARCH(TRIM(_xlfn.TEXTSPLIT($W$22,",")),W36))*1)&gt;0,"Calving season",SUMPRODUCT(ISNUMBER(SEARCH(TRIM(_xlfn.TEXTSPLIT($W$23,",")),W36))*1)&gt;0,"Season after calving"), "")</f>
        <v>Calving season</v>
      </c>
      <c r="Y36" s="15" t="e" cm="1">
        <f t="array" ref="Y36">_xlfn.IFS(X36="Calving season", $J$14, X36="Season after calving", $J$15, X36="", "")</f>
        <v>#N/A</v>
      </c>
      <c r="Z36" s="15">
        <v>1</v>
      </c>
      <c r="AA36" s="15">
        <v>1</v>
      </c>
      <c r="AB36" s="15">
        <v>1</v>
      </c>
      <c r="AC36" s="15" cm="1">
        <f t="array" ref="AC36">IFERROR(EntericMethane_PastureBeef_Equations.VEERG_3_2_1_1__4_AdditionalIntakeForMilkProduction(X$22,$Y36), 1)</f>
        <v>1</v>
      </c>
      <c r="AD36" s="15" cm="1">
        <f t="array" ref="AD36">IFERROR(EntericMethane_PastureBeef_Equations.VEERG_3_2_1_1__4_AdditionalIntakeForMilkProduction(Y$22,$Y36), 1)</f>
        <v>1</v>
      </c>
      <c r="AE36" s="15" cm="1">
        <f t="array" ref="AE36">IFERROR(EntericMethane_PastureBeef_Equations.VEERG_3_2_1_1__4_AdditionalIntakeForMilkProduction(Z$22,$Y36), 1)</f>
        <v>1</v>
      </c>
      <c r="AF36" s="15">
        <v>1</v>
      </c>
      <c r="AG36" s="15">
        <v>1</v>
      </c>
      <c r="AH36" s="15">
        <v>1</v>
      </c>
      <c r="AI36" s="15">
        <v>1</v>
      </c>
      <c r="AJ36" s="16" t="str">
        <f t="shared" si="0"/>
        <v>fraction</v>
      </c>
    </row>
    <row r="37" spans="1:36" ht="20" customHeight="1" x14ac:dyDescent="0.25">
      <c r="A37" s="5" t="str">
        <f>HYPERLINK("#'5.3.1.1-2 Lime CO2'!A1", "5.3.1.1-2 Lime CO2")</f>
        <v>5.3.1.1-2 Lime CO2</v>
      </c>
      <c r="D37" s="2" t="str" cm="1">
        <f t="array" ref="D37">EntericMethane_PastureBeef_Equations.VEERG_3_2_1_1__3_FeedIntakeForGrazingBeef_Title()</f>
        <v>Feed intake for grazing beef cattle</v>
      </c>
      <c r="W37" s="15" t="str">
        <f>TEXT(EDATE(X_Cell_Site_StartDate,9), "mmmm")</f>
        <v>September</v>
      </c>
      <c r="X37" s="15" t="str" cm="1">
        <f t="array" ref="X37">IFERROR(_xlfn.IFS(SUMPRODUCT(ISNUMBER(SEARCH(TRIM(_xlfn.TEXTSPLIT($W$22,",")),W37))*1)&gt;0,"Calving season",SUMPRODUCT(ISNUMBER(SEARCH(TRIM(_xlfn.TEXTSPLIT($W$23,",")),W37))*1)&gt;0,"Season after calving"), "")</f>
        <v>Calving season</v>
      </c>
      <c r="Y37" s="15" t="e" cm="1">
        <f t="array" ref="Y37">_xlfn.IFS(X37="Calving season", $J$14, X37="Season after calving", $J$15, X37="", "")</f>
        <v>#N/A</v>
      </c>
      <c r="Z37" s="15">
        <v>1</v>
      </c>
      <c r="AA37" s="15">
        <v>1</v>
      </c>
      <c r="AB37" s="15">
        <v>1</v>
      </c>
      <c r="AC37" s="15" cm="1">
        <f t="array" ref="AC37">IFERROR(EntericMethane_PastureBeef_Equations.VEERG_3_2_1_1__4_AdditionalIntakeForMilkProduction(X$22,$Y37), 1)</f>
        <v>1</v>
      </c>
      <c r="AD37" s="15" cm="1">
        <f t="array" ref="AD37">IFERROR(EntericMethane_PastureBeef_Equations.VEERG_3_2_1_1__4_AdditionalIntakeForMilkProduction(Y$22,$Y37), 1)</f>
        <v>1</v>
      </c>
      <c r="AE37" s="15" cm="1">
        <f t="array" ref="AE37">IFERROR(EntericMethane_PastureBeef_Equations.VEERG_3_2_1_1__4_AdditionalIntakeForMilkProduction(Z$22,$Y37), 1)</f>
        <v>1</v>
      </c>
      <c r="AF37" s="15">
        <v>1</v>
      </c>
      <c r="AG37" s="15">
        <v>1</v>
      </c>
      <c r="AH37" s="15">
        <v>1</v>
      </c>
      <c r="AI37" s="15">
        <v>1</v>
      </c>
      <c r="AJ37" s="16" t="str">
        <f t="shared" si="0"/>
        <v>fraction</v>
      </c>
    </row>
    <row r="38" spans="1:36" ht="20" customHeight="1" x14ac:dyDescent="0.25">
      <c r="A38" s="5" t="str">
        <f>HYPERLINK("#'5.4.1.1-4 Atmos deposition'!A1", "5.4.1.1-4 Atmos. deposition")</f>
        <v>5.4.1.1-4 Atmos. deposition</v>
      </c>
      <c r="D38" s="17" t="str" cm="1">
        <f t="array" ref="D38">EntericMethane_PastureBeef_Equations.VEERG_3_2_1_1__3_FeedIntakeForGrazingBeef_Source()</f>
        <v>VEERG 2026: 3.2.1.1, Equation (3)</v>
      </c>
      <c r="K38" s="1" t="s">
        <v>386</v>
      </c>
      <c r="L38" s="1" t="s">
        <v>387</v>
      </c>
      <c r="M38" s="1" t="s">
        <v>388</v>
      </c>
      <c r="W38" s="15" t="str">
        <f>TEXT(EDATE(X_Cell_Site_StartDate,10), "mmmm")</f>
        <v>October</v>
      </c>
      <c r="X38" s="15" t="str" cm="1">
        <f t="array" ref="X38">IFERROR(_xlfn.IFS(SUMPRODUCT(ISNUMBER(SEARCH(TRIM(_xlfn.TEXTSPLIT($W$22,",")),W38))*1)&gt;0,"Calving season",SUMPRODUCT(ISNUMBER(SEARCH(TRIM(_xlfn.TEXTSPLIT($W$23,",")),W38))*1)&gt;0,"Season after calving"), "")</f>
        <v>Calving season</v>
      </c>
      <c r="Y38" s="15" t="e" cm="1">
        <f t="array" ref="Y38">_xlfn.IFS(X38="Calving season", $J$14, X38="Season after calving", $J$15, X38="", "")</f>
        <v>#N/A</v>
      </c>
      <c r="Z38" s="15">
        <v>1</v>
      </c>
      <c r="AA38" s="15">
        <v>1</v>
      </c>
      <c r="AB38" s="15">
        <v>1</v>
      </c>
      <c r="AC38" s="15" cm="1">
        <f t="array" ref="AC38">IFERROR(EntericMethane_PastureBeef_Equations.VEERG_3_2_1_1__4_AdditionalIntakeForMilkProduction(X$22,$Y38), 1)</f>
        <v>1</v>
      </c>
      <c r="AD38" s="15" cm="1">
        <f t="array" ref="AD38">IFERROR(EntericMethane_PastureBeef_Equations.VEERG_3_2_1_1__4_AdditionalIntakeForMilkProduction(Y$22,$Y38), 1)</f>
        <v>1</v>
      </c>
      <c r="AE38" s="15" cm="1">
        <f t="array" ref="AE38">IFERROR(EntericMethane_PastureBeef_Equations.VEERG_3_2_1_1__4_AdditionalIntakeForMilkProduction(Z$22,$Y38), 1)</f>
        <v>1</v>
      </c>
      <c r="AF38" s="15">
        <v>1</v>
      </c>
      <c r="AG38" s="15">
        <v>1</v>
      </c>
      <c r="AH38" s="15">
        <v>1</v>
      </c>
      <c r="AI38" s="15">
        <v>1</v>
      </c>
      <c r="AJ38" s="16" t="str">
        <f t="shared" si="0"/>
        <v>fraction</v>
      </c>
    </row>
    <row r="39" spans="1:36" ht="20" customHeight="1" x14ac:dyDescent="0.25">
      <c r="A39" s="5" t="str">
        <f>HYPERLINK("#'5.5.1.1-2 Leaching and runoff'!A1", "5.5.1.1-2 Leaching &amp; runoff")</f>
        <v>5.5.1.1-2 Leaching &amp; runoff</v>
      </c>
      <c r="D39" s="103" t="s">
        <v>372</v>
      </c>
      <c r="E39" s="103" t="str" cm="1">
        <f t="array" aca="1" ref="E39" ca="1">Common_InputFunctions.Utility_DisplayFunctionName($E$84)</f>
        <v>=EntericMethane_PastureBeef_Equations.VEERG_3_2_1_1__3_FeedIntakeForGrazingBeef</v>
      </c>
      <c r="W39" s="15" t="str">
        <f>TEXT(EDATE(X_Cell_Site_StartDate,11), "mmmm")</f>
        <v>November</v>
      </c>
      <c r="X39" s="15" t="str" cm="1">
        <f t="array" ref="X39">IFERROR(_xlfn.IFS(SUMPRODUCT(ISNUMBER(SEARCH(TRIM(_xlfn.TEXTSPLIT($W$22,",")),W39))*1)&gt;0,"Calving season",SUMPRODUCT(ISNUMBER(SEARCH(TRIM(_xlfn.TEXTSPLIT($W$23,",")),W39))*1)&gt;0,"Season after calving"), "")</f>
        <v>Season after calving</v>
      </c>
      <c r="Y39" s="15" t="e" cm="1">
        <f t="array" ref="Y39">_xlfn.IFS(X39="Calving season", $J$14, X39="Season after calving", $J$15, X39="", "")</f>
        <v>#N/A</v>
      </c>
      <c r="Z39" s="15">
        <v>1</v>
      </c>
      <c r="AA39" s="15">
        <v>1</v>
      </c>
      <c r="AB39" s="15">
        <v>1</v>
      </c>
      <c r="AC39" s="15" cm="1">
        <f t="array" ref="AC39">IFERROR(EntericMethane_PastureBeef_Equations.VEERG_3_2_1_1__4_AdditionalIntakeForMilkProduction(X$22,$Y39), 1)</f>
        <v>1</v>
      </c>
      <c r="AD39" s="15" cm="1">
        <f t="array" ref="AD39">IFERROR(EntericMethane_PastureBeef_Equations.VEERG_3_2_1_1__4_AdditionalIntakeForMilkProduction(Y$22,$Y39), 1)</f>
        <v>1</v>
      </c>
      <c r="AE39" s="15" cm="1">
        <f t="array" ref="AE39">IFERROR(EntericMethane_PastureBeef_Equations.VEERG_3_2_1_1__4_AdditionalIntakeForMilkProduction(Z$22,$Y39), 1)</f>
        <v>1</v>
      </c>
      <c r="AF39" s="15">
        <v>1</v>
      </c>
      <c r="AG39" s="15">
        <v>1</v>
      </c>
      <c r="AH39" s="15">
        <v>1</v>
      </c>
      <c r="AI39" s="15">
        <v>1</v>
      </c>
      <c r="AJ39" s="16" t="str">
        <f t="shared" si="0"/>
        <v>fraction</v>
      </c>
    </row>
    <row r="40" spans="1:36" ht="20" customHeight="1" x14ac:dyDescent="0.25">
      <c r="A40" s="5" t="str">
        <f>HYPERLINK("#'6.2.1.1-2 Pasture residue N2O'!A1", "6.2.1.1-2 Pasture residue N2O")</f>
        <v>6.2.1.1-2 Pasture residue N2O</v>
      </c>
    </row>
    <row r="41" spans="1:36" ht="20" customHeight="1" x14ac:dyDescent="0.25">
      <c r="A41" s="5" t="str">
        <f>HYPERLINK("#'6.3.1.1-2 Leach runoff pasture'!A1", "6.3.1.1-2 Leach &amp; runoff (pasture)")</f>
        <v>6.3.1.1-2 Leach &amp; runoff (pasture)</v>
      </c>
      <c r="W41" s="112" t="s">
        <v>389</v>
      </c>
    </row>
    <row r="42" spans="1:36" ht="20" customHeight="1" x14ac:dyDescent="0.25">
      <c r="A42" s="5" t="str">
        <f>HYPERLINK("#'8.1.1.1-2 Transport fuel'!A1", "8.1.1.1-2 Transport fuel")</f>
        <v>8.1.1.1-2 Transport fuel</v>
      </c>
      <c r="D42" s="77" t="s">
        <v>374</v>
      </c>
      <c r="E42" s="1" t="str" cm="1">
        <f t="array" ref="E42">EntericMethane_PastureBeef_Equations.VEERG_3_2_1_1__3_FeedIntakeForGrazingBeef_Variable()</f>
        <v>I_jkl</v>
      </c>
      <c r="W42" s="113" t="s">
        <v>390</v>
      </c>
    </row>
    <row r="43" spans="1:36" ht="20" customHeight="1" x14ac:dyDescent="0.25">
      <c r="A43" s="5" t="str">
        <f>HYPERLINK("#'8.2.1.1-2 Stationary fuel'!A1", "8.2.1.1-2 Stationary fuel")</f>
        <v>8.2.1.1-2 Stationary fuel</v>
      </c>
      <c r="D43" s="77" t="s">
        <v>121</v>
      </c>
      <c r="E43" s="9" t="str" cm="1">
        <f t="array" ref="E43">EntericMethane_PastureBeef_Equations.VEERG_3_2_1_1__3_FeedIntakeForGrazingBeef_Unit()</f>
        <v>kg DM/head/day</v>
      </c>
      <c r="W43" s="114" t="s">
        <v>75</v>
      </c>
      <c r="X43" s="82" t="s">
        <v>326</v>
      </c>
      <c r="Y43" s="82" t="s">
        <v>184</v>
      </c>
      <c r="Z43" s="82" t="s">
        <v>327</v>
      </c>
      <c r="AA43" s="82" t="s">
        <v>328</v>
      </c>
      <c r="AB43" s="82" t="s">
        <v>329</v>
      </c>
      <c r="AC43" s="82" t="s">
        <v>330</v>
      </c>
      <c r="AD43" s="82" t="s">
        <v>331</v>
      </c>
      <c r="AE43" s="82" t="s">
        <v>332</v>
      </c>
      <c r="AF43" s="82" t="s">
        <v>333</v>
      </c>
      <c r="AG43" s="82" t="s">
        <v>334</v>
      </c>
      <c r="AH43" s="16"/>
    </row>
    <row r="44" spans="1:36" ht="20" customHeight="1" x14ac:dyDescent="0.25">
      <c r="A44" s="5" t="str">
        <f>HYPERLINK("#'10.1.1-2 Solid waste treatment'!A1", "10.1.1.1-2 Solid waste")</f>
        <v>10.1.1.1-2 Solid waste</v>
      </c>
      <c r="W44" s="15" t="str">
        <f>TEXT(X_Cell_Site_StartDate,"mmmm")</f>
        <v>January</v>
      </c>
      <c r="X44" s="15" t="e" cm="1">
        <f t="array" aca="1" ref="X44:AG55" ca="1">OFFSET(X_Table_PastureBeef_Liveweight_Method2, 1,1, 12,10)</f>
        <v>#N/A</v>
      </c>
      <c r="Y44" s="15" t="e">
        <f ca="1"/>
        <v>#N/A</v>
      </c>
      <c r="Z44" s="15" t="e">
        <f ca="1"/>
        <v>#N/A</v>
      </c>
      <c r="AA44" s="15" t="e">
        <f ca="1"/>
        <v>#N/A</v>
      </c>
      <c r="AB44" s="15" t="e">
        <f ca="1"/>
        <v>#N/A</v>
      </c>
      <c r="AC44" s="15" t="e">
        <f ca="1"/>
        <v>#N/A</v>
      </c>
      <c r="AD44" s="15" t="e">
        <f ca="1"/>
        <v>#N/A</v>
      </c>
      <c r="AE44" s="15" t="e">
        <f ca="1"/>
        <v>#N/A</v>
      </c>
      <c r="AF44" s="15" t="e">
        <f ca="1"/>
        <v>#N/A</v>
      </c>
      <c r="AG44" s="15" t="e">
        <f ca="1"/>
        <v>#N/A</v>
      </c>
      <c r="AH44" s="16" t="s">
        <v>343</v>
      </c>
    </row>
    <row r="45" spans="1:36" ht="20" customHeight="1" x14ac:dyDescent="0.25">
      <c r="A45" s="5" t="str">
        <f>HYPERLINK("#'14.1.1-2 Purchased electricity'!A1", "14.1.1-2 Purchased electricity")</f>
        <v>14.1.1-2 Purchased electricity</v>
      </c>
      <c r="D45" s="105" t="str" cm="1">
        <f t="array" ref="D45:E47">_xlfn.CHOOSECOLS(EntericMethane_PastureBeef_Equations.VEERG_3_2_1_1__3_FeedIntakeForGrazingBeef_Arguments(), 1, 2)</f>
        <v>W_jkl</v>
      </c>
      <c r="E45" s="106" t="str">
        <v>liveweight (kg)</v>
      </c>
      <c r="F45" s="108"/>
      <c r="G45" s="105" t="str" cm="1">
        <f t="array" ref="G45:H47">_xlfn.CHOOSECOLS(EntericMethane_PastureBeef_Equations.VEERG_3_2_1_1__3_FeedIntakeForGrazingBeef_Arguments(), 3,4)</f>
        <v>kg</v>
      </c>
      <c r="H45" s="109" t="str">
        <v>Input</v>
      </c>
      <c r="I45" s="111" t="str" cm="1">
        <f t="array" aca="1" ref="I45" ca="1">HYPERLINK(Common_InputFunctions.Utility_SourceHyperlink($D$49), $D$49)</f>
        <v>M1_Table_W_j_k_l</v>
      </c>
      <c r="W45" s="15" t="str">
        <f>TEXT(EDATE(X_Cell_Site_StartDate,1), "mmmm")</f>
        <v>January</v>
      </c>
      <c r="X45" s="15" t="e">
        <f ca="1"/>
        <v>#N/A</v>
      </c>
      <c r="Y45" s="15" t="e">
        <f ca="1"/>
        <v>#N/A</v>
      </c>
      <c r="Z45" s="15" t="e">
        <f ca="1"/>
        <v>#N/A</v>
      </c>
      <c r="AA45" s="15" t="e">
        <f ca="1"/>
        <v>#N/A</v>
      </c>
      <c r="AB45" s="15" t="e">
        <f ca="1"/>
        <v>#N/A</v>
      </c>
      <c r="AC45" s="15" t="e">
        <f ca="1"/>
        <v>#N/A</v>
      </c>
      <c r="AD45" s="15" t="e">
        <f ca="1"/>
        <v>#N/A</v>
      </c>
      <c r="AE45" s="15" t="e">
        <f ca="1"/>
        <v>#N/A</v>
      </c>
      <c r="AF45" s="15" t="e">
        <f ca="1"/>
        <v>#N/A</v>
      </c>
      <c r="AG45" s="15" t="e">
        <f ca="1"/>
        <v>#N/A</v>
      </c>
      <c r="AH45" s="16" t="s">
        <v>343</v>
      </c>
    </row>
    <row r="46" spans="1:36" ht="20" customHeight="1" x14ac:dyDescent="0.25">
      <c r="A46" s="5" t="str">
        <f>HYPERLINK("#'15 Scope 3'!A1", "15 Scope 3")</f>
        <v>15 Scope 3</v>
      </c>
      <c r="D46" s="105" t="str">
        <v>LWG_jkl</v>
      </c>
      <c r="E46" s="106" t="str">
        <v>live weight gain (kg/head/day)</v>
      </c>
      <c r="F46" s="108"/>
      <c r="G46" s="105" t="str">
        <v>kg/head/day</v>
      </c>
      <c r="H46" s="109" t="str">
        <v>Input</v>
      </c>
      <c r="I46" s="111" t="str" cm="1">
        <f t="array" aca="1" ref="I46" ca="1">HYPERLINK(Common_InputFunctions.Utility_SourceHyperlink($D$65), $D$65)</f>
        <v>M1_Table_LWG_j_k_l</v>
      </c>
      <c r="W46" s="15" t="str">
        <f>TEXT(EDATE(X_Cell_Site_StartDate,2), "mmmm")</f>
        <v>February</v>
      </c>
      <c r="X46" s="15" t="e">
        <f ca="1"/>
        <v>#N/A</v>
      </c>
      <c r="Y46" s="15" t="e">
        <f ca="1"/>
        <v>#N/A</v>
      </c>
      <c r="Z46" s="15" t="e">
        <f ca="1"/>
        <v>#N/A</v>
      </c>
      <c r="AA46" s="15" t="e">
        <f ca="1"/>
        <v>#N/A</v>
      </c>
      <c r="AB46" s="15" t="e">
        <f ca="1"/>
        <v>#N/A</v>
      </c>
      <c r="AC46" s="15" t="e">
        <f ca="1"/>
        <v>#N/A</v>
      </c>
      <c r="AD46" s="15" t="e">
        <f ca="1"/>
        <v>#N/A</v>
      </c>
      <c r="AE46" s="15" t="e">
        <f ca="1"/>
        <v>#N/A</v>
      </c>
      <c r="AF46" s="15" t="e">
        <f ca="1"/>
        <v>#N/A</v>
      </c>
      <c r="AG46" s="15" t="e">
        <f ca="1"/>
        <v>#N/A</v>
      </c>
      <c r="AH46" s="16" t="s">
        <v>343</v>
      </c>
    </row>
    <row r="47" spans="1:36" ht="20" customHeight="1" x14ac:dyDescent="0.25">
      <c r="A47" s="5" t="str">
        <f>HYPERLINK("#'Calcs - Manure sent off-site'!A1", "Calcs - Manure sent off-site")</f>
        <v>Calcs - Manure sent off-site</v>
      </c>
      <c r="D47" s="105" t="str">
        <v>MA_jk45</v>
      </c>
      <c r="E47" s="106" t="str">
        <v>additional intake for milk production in cows greater than 2 years</v>
      </c>
      <c r="F47" s="108"/>
      <c r="G47" s="105" t="str">
        <v>kg/head/day</v>
      </c>
      <c r="H47" s="110" t="str">
        <v>Calculated from 3.2.1.1, (4)</v>
      </c>
      <c r="I47" s="111" t="str" cm="1">
        <f t="array" aca="1" ref="I47" ca="1">HYPERLINK(Common_InputFunctions.Utility_SourceHyperlink($D$27), $D$27)</f>
        <v>M1_Table_MA_j_k-4-5</v>
      </c>
      <c r="W47" s="15" t="str">
        <f>TEXT(EDATE(X_Cell_Site_StartDate,3), "mmmm")</f>
        <v>March</v>
      </c>
      <c r="X47" s="15" t="e">
        <f ca="1"/>
        <v>#N/A</v>
      </c>
      <c r="Y47" s="15" t="e">
        <f ca="1"/>
        <v>#N/A</v>
      </c>
      <c r="Z47" s="15" t="e">
        <f ca="1"/>
        <v>#N/A</v>
      </c>
      <c r="AA47" s="15" t="e">
        <f ca="1"/>
        <v>#N/A</v>
      </c>
      <c r="AB47" s="15" t="e">
        <f ca="1"/>
        <v>#N/A</v>
      </c>
      <c r="AC47" s="15" t="e">
        <f ca="1"/>
        <v>#N/A</v>
      </c>
      <c r="AD47" s="15" t="e">
        <f ca="1"/>
        <v>#N/A</v>
      </c>
      <c r="AE47" s="15" t="e">
        <f ca="1"/>
        <v>#N/A</v>
      </c>
      <c r="AF47" s="15" t="e">
        <f ca="1"/>
        <v>#N/A</v>
      </c>
      <c r="AG47" s="15" t="e">
        <f ca="1"/>
        <v>#N/A</v>
      </c>
      <c r="AH47" s="16" t="s">
        <v>343</v>
      </c>
    </row>
    <row r="48" spans="1:36" ht="20" customHeight="1" x14ac:dyDescent="0.25">
      <c r="W48" s="15" t="str">
        <f>TEXT(EDATE(X_Cell_Site_StartDate,4), "mmmm")</f>
        <v>April</v>
      </c>
      <c r="X48" s="15" t="e">
        <f ca="1"/>
        <v>#N/A</v>
      </c>
      <c r="Y48" s="15" t="e">
        <f ca="1"/>
        <v>#N/A</v>
      </c>
      <c r="Z48" s="15" t="e">
        <f ca="1"/>
        <v>#N/A</v>
      </c>
      <c r="AA48" s="15" t="e">
        <f ca="1"/>
        <v>#N/A</v>
      </c>
      <c r="AB48" s="15" t="e">
        <f ca="1"/>
        <v>#N/A</v>
      </c>
      <c r="AC48" s="15" t="e">
        <f ca="1"/>
        <v>#N/A</v>
      </c>
      <c r="AD48" s="15" t="e">
        <f ca="1"/>
        <v>#N/A</v>
      </c>
      <c r="AE48" s="15" t="e">
        <f ca="1"/>
        <v>#N/A</v>
      </c>
      <c r="AF48" s="15" t="e">
        <f ca="1"/>
        <v>#N/A</v>
      </c>
      <c r="AG48" s="15" t="e">
        <f ca="1"/>
        <v>#N/A</v>
      </c>
      <c r="AH48" s="16" t="s">
        <v>343</v>
      </c>
    </row>
    <row r="49" spans="1:36" ht="20" customHeight="1" x14ac:dyDescent="0.25">
      <c r="D49" s="112" t="s">
        <v>391</v>
      </c>
      <c r="W49" s="15" t="str">
        <f>TEXT(EDATE(X_Cell_Site_StartDate,5), "mmmm")</f>
        <v>May</v>
      </c>
      <c r="X49" s="15" t="e">
        <f ca="1"/>
        <v>#N/A</v>
      </c>
      <c r="Y49" s="15" t="e">
        <f ca="1"/>
        <v>#N/A</v>
      </c>
      <c r="Z49" s="15" t="e">
        <f ca="1"/>
        <v>#N/A</v>
      </c>
      <c r="AA49" s="15" t="e">
        <f ca="1"/>
        <v>#N/A</v>
      </c>
      <c r="AB49" s="15" t="e">
        <f ca="1"/>
        <v>#N/A</v>
      </c>
      <c r="AC49" s="15" t="e">
        <f ca="1"/>
        <v>#N/A</v>
      </c>
      <c r="AD49" s="15" t="e">
        <f ca="1"/>
        <v>#N/A</v>
      </c>
      <c r="AE49" s="15" t="e">
        <f ca="1"/>
        <v>#N/A</v>
      </c>
      <c r="AF49" s="15" t="e">
        <f ca="1"/>
        <v>#N/A</v>
      </c>
      <c r="AG49" s="15" t="e">
        <f ca="1"/>
        <v>#N/A</v>
      </c>
      <c r="AH49" s="16" t="s">
        <v>343</v>
      </c>
    </row>
    <row r="50" spans="1:36" ht="20" customHeight="1" x14ac:dyDescent="0.25">
      <c r="A50" s="85" t="s">
        <v>1</v>
      </c>
      <c r="D50" s="113" t="s">
        <v>392</v>
      </c>
      <c r="W50" s="15" t="str">
        <f>TEXT(EDATE(X_Cell_Site_StartDate,6), "mmmm")</f>
        <v>June</v>
      </c>
      <c r="X50" s="15" t="e">
        <f ca="1"/>
        <v>#N/A</v>
      </c>
      <c r="Y50" s="15" t="e">
        <f ca="1"/>
        <v>#N/A</v>
      </c>
      <c r="Z50" s="15" t="e">
        <f ca="1"/>
        <v>#N/A</v>
      </c>
      <c r="AA50" s="15" t="e">
        <f ca="1"/>
        <v>#N/A</v>
      </c>
      <c r="AB50" s="15" t="e">
        <f ca="1"/>
        <v>#N/A</v>
      </c>
      <c r="AC50" s="15" t="e">
        <f ca="1"/>
        <v>#N/A</v>
      </c>
      <c r="AD50" s="15" t="e">
        <f ca="1"/>
        <v>#N/A</v>
      </c>
      <c r="AE50" s="15" t="e">
        <f ca="1"/>
        <v>#N/A</v>
      </c>
      <c r="AF50" s="15" t="e">
        <f ca="1"/>
        <v>#N/A</v>
      </c>
      <c r="AG50" s="15" t="e">
        <f ca="1"/>
        <v>#N/A</v>
      </c>
      <c r="AH50" s="16" t="s">
        <v>343</v>
      </c>
    </row>
    <row r="51" spans="1:36" ht="20" customHeight="1" x14ac:dyDescent="0.25">
      <c r="A51" s="5" t="str">
        <f>HYPERLINK("#'Constants - Pasture Beef'!A1", "Constants - Pasture Beef")</f>
        <v>Constants - Pasture Beef</v>
      </c>
      <c r="D51" s="114" t="s">
        <v>76</v>
      </c>
      <c r="E51" s="82" t="s">
        <v>326</v>
      </c>
      <c r="F51" s="82" t="s">
        <v>184</v>
      </c>
      <c r="G51" s="82" t="s">
        <v>327</v>
      </c>
      <c r="H51" s="82" t="s">
        <v>328</v>
      </c>
      <c r="I51" s="82" t="s">
        <v>329</v>
      </c>
      <c r="J51" s="82" t="s">
        <v>330</v>
      </c>
      <c r="K51" s="82" t="s">
        <v>331</v>
      </c>
      <c r="L51" s="82" t="s">
        <v>332</v>
      </c>
      <c r="M51" s="82" t="s">
        <v>333</v>
      </c>
      <c r="N51" s="82" t="s">
        <v>334</v>
      </c>
      <c r="W51" s="15" t="str">
        <f>TEXT(EDATE(X_Cell_Site_StartDate,7), "mmmm")</f>
        <v>July</v>
      </c>
      <c r="X51" s="15" t="e">
        <f ca="1"/>
        <v>#N/A</v>
      </c>
      <c r="Y51" s="15" t="e">
        <f ca="1"/>
        <v>#N/A</v>
      </c>
      <c r="Z51" s="15" t="e">
        <f ca="1"/>
        <v>#N/A</v>
      </c>
      <c r="AA51" s="15" t="e">
        <f ca="1"/>
        <v>#N/A</v>
      </c>
      <c r="AB51" s="15" t="e">
        <f ca="1"/>
        <v>#N/A</v>
      </c>
      <c r="AC51" s="15" t="e">
        <f ca="1"/>
        <v>#N/A</v>
      </c>
      <c r="AD51" s="15" t="e">
        <f ca="1"/>
        <v>#N/A</v>
      </c>
      <c r="AE51" s="15" t="e">
        <f ca="1"/>
        <v>#N/A</v>
      </c>
      <c r="AF51" s="15" t="e">
        <f ca="1"/>
        <v>#N/A</v>
      </c>
      <c r="AG51" s="15" t="e">
        <f ca="1"/>
        <v>#N/A</v>
      </c>
      <c r="AH51" s="16" t="s">
        <v>343</v>
      </c>
      <c r="AI51" s="16"/>
      <c r="AJ51" s="16"/>
    </row>
    <row r="52" spans="1:36" ht="20" customHeight="1" x14ac:dyDescent="0.25">
      <c r="A52" s="5" t="str">
        <f>HYPERLINK("#'Constants - Ag Residue'!A1", "Constants - Ag residue")</f>
        <v>Constants - Ag residue</v>
      </c>
      <c r="D52" s="15" t="str">
        <f>INDEX(X_Table_PastureBeef_Liveweight_Method1,2,1)</f>
        <v>Spring</v>
      </c>
      <c r="E52" s="15" t="e" cm="1">
        <f t="array" aca="1" ref="E52:N55" ca="1">OFFSET(X_Table_PastureBeef_Liveweight_Method1, 1,1, 4,10)</f>
        <v>#N/A</v>
      </c>
      <c r="F52" s="15" t="e">
        <f ca="1"/>
        <v>#N/A</v>
      </c>
      <c r="G52" s="15" t="e">
        <f ca="1"/>
        <v>#N/A</v>
      </c>
      <c r="H52" s="15" t="e">
        <f ca="1"/>
        <v>#N/A</v>
      </c>
      <c r="I52" s="15" t="e">
        <f ca="1"/>
        <v>#N/A</v>
      </c>
      <c r="J52" s="15" t="e">
        <f ca="1"/>
        <v>#N/A</v>
      </c>
      <c r="K52" s="15" t="e">
        <f ca="1"/>
        <v>#N/A</v>
      </c>
      <c r="L52" s="15" t="e">
        <f ca="1"/>
        <v>#N/A</v>
      </c>
      <c r="M52" s="15" t="e">
        <f ca="1"/>
        <v>#N/A</v>
      </c>
      <c r="N52" s="15" t="e">
        <f ca="1"/>
        <v>#N/A</v>
      </c>
      <c r="O52" s="16" t="s">
        <v>343</v>
      </c>
      <c r="P52" s="16"/>
      <c r="Q52" s="16"/>
      <c r="R52" s="16"/>
      <c r="S52" s="16"/>
      <c r="W52" s="15" t="str">
        <f>TEXT(EDATE(X_Cell_Site_StartDate,8), "mmmm")</f>
        <v>August</v>
      </c>
      <c r="X52" s="15" t="e">
        <f ca="1"/>
        <v>#N/A</v>
      </c>
      <c r="Y52" s="15" t="e">
        <f ca="1"/>
        <v>#N/A</v>
      </c>
      <c r="Z52" s="15" t="e">
        <f ca="1"/>
        <v>#N/A</v>
      </c>
      <c r="AA52" s="15" t="e">
        <f ca="1"/>
        <v>#N/A</v>
      </c>
      <c r="AB52" s="15" t="e">
        <f ca="1"/>
        <v>#N/A</v>
      </c>
      <c r="AC52" s="15" t="e">
        <f ca="1"/>
        <v>#N/A</v>
      </c>
      <c r="AD52" s="15" t="e">
        <f ca="1"/>
        <v>#N/A</v>
      </c>
      <c r="AE52" s="15" t="e">
        <f ca="1"/>
        <v>#N/A</v>
      </c>
      <c r="AF52" s="15" t="e">
        <f ca="1"/>
        <v>#N/A</v>
      </c>
      <c r="AG52" s="15" t="e">
        <f ca="1"/>
        <v>#N/A</v>
      </c>
      <c r="AH52" s="16" t="s">
        <v>343</v>
      </c>
      <c r="AI52" s="16"/>
      <c r="AJ52" s="16"/>
    </row>
    <row r="53" spans="1:36" ht="20" customHeight="1" x14ac:dyDescent="0.25">
      <c r="A53" s="5" t="str">
        <f>HYPERLINK("#'Constants - Common Livestock'!A1", "Constants - Common Livestock")</f>
        <v>Constants - Common Livestock</v>
      </c>
      <c r="D53" s="15" t="str">
        <f>INDEX(X_Table_PastureBeef_Liveweight_Method1,3,1)</f>
        <v>Summer</v>
      </c>
      <c r="E53" s="15" t="e">
        <f ca="1"/>
        <v>#N/A</v>
      </c>
      <c r="F53" s="15" t="e">
        <f ca="1"/>
        <v>#N/A</v>
      </c>
      <c r="G53" s="15" t="e">
        <f ca="1"/>
        <v>#N/A</v>
      </c>
      <c r="H53" s="15" t="e">
        <f ca="1"/>
        <v>#N/A</v>
      </c>
      <c r="I53" s="15" t="e">
        <f ca="1"/>
        <v>#N/A</v>
      </c>
      <c r="J53" s="15" t="e">
        <f ca="1"/>
        <v>#N/A</v>
      </c>
      <c r="K53" s="15" t="e">
        <f ca="1"/>
        <v>#N/A</v>
      </c>
      <c r="L53" s="15" t="e">
        <f ca="1"/>
        <v>#N/A</v>
      </c>
      <c r="M53" s="15" t="e">
        <f ca="1"/>
        <v>#N/A</v>
      </c>
      <c r="N53" s="15" t="e">
        <f ca="1"/>
        <v>#N/A</v>
      </c>
      <c r="O53" s="16" t="s">
        <v>343</v>
      </c>
      <c r="P53" s="16"/>
      <c r="Q53" s="16"/>
      <c r="R53" s="16"/>
      <c r="S53" s="16"/>
      <c r="W53" s="15" t="str">
        <f>TEXT(EDATE(X_Cell_Site_StartDate,9), "mmmm")</f>
        <v>September</v>
      </c>
      <c r="X53" s="15" t="e">
        <f ca="1"/>
        <v>#N/A</v>
      </c>
      <c r="Y53" s="15" t="e">
        <f ca="1"/>
        <v>#N/A</v>
      </c>
      <c r="Z53" s="15" t="e">
        <f ca="1"/>
        <v>#N/A</v>
      </c>
      <c r="AA53" s="15" t="e">
        <f ca="1"/>
        <v>#N/A</v>
      </c>
      <c r="AB53" s="15" t="e">
        <f ca="1"/>
        <v>#N/A</v>
      </c>
      <c r="AC53" s="15" t="e">
        <f ca="1"/>
        <v>#N/A</v>
      </c>
      <c r="AD53" s="15" t="e">
        <f ca="1"/>
        <v>#N/A</v>
      </c>
      <c r="AE53" s="15" t="e">
        <f ca="1"/>
        <v>#N/A</v>
      </c>
      <c r="AF53" s="15" t="e">
        <f ca="1"/>
        <v>#N/A</v>
      </c>
      <c r="AG53" s="15" t="e">
        <f ca="1"/>
        <v>#N/A</v>
      </c>
      <c r="AH53" s="16" t="s">
        <v>343</v>
      </c>
      <c r="AI53" s="16"/>
      <c r="AJ53" s="16"/>
    </row>
    <row r="54" spans="1:36" ht="20" customHeight="1" x14ac:dyDescent="0.25">
      <c r="A54" s="5" t="str">
        <f>HYPERLINK("#'Constants - Electricity'!A1", "Constants - Electricity")</f>
        <v>Constants - Electricity</v>
      </c>
      <c r="D54" s="15" t="str">
        <f>INDEX(X_Table_PastureBeef_Liveweight_Method1,4,1)</f>
        <v>Autumn</v>
      </c>
      <c r="E54" s="15" t="e">
        <f ca="1"/>
        <v>#N/A</v>
      </c>
      <c r="F54" s="15" t="e">
        <f ca="1"/>
        <v>#N/A</v>
      </c>
      <c r="G54" s="15" t="e">
        <f ca="1"/>
        <v>#N/A</v>
      </c>
      <c r="H54" s="15" t="e">
        <f ca="1"/>
        <v>#N/A</v>
      </c>
      <c r="I54" s="15" t="e">
        <f ca="1"/>
        <v>#N/A</v>
      </c>
      <c r="J54" s="15" t="e">
        <f ca="1"/>
        <v>#N/A</v>
      </c>
      <c r="K54" s="15" t="e">
        <f ca="1"/>
        <v>#N/A</v>
      </c>
      <c r="L54" s="15" t="e">
        <f ca="1"/>
        <v>#N/A</v>
      </c>
      <c r="M54" s="15" t="e">
        <f ca="1"/>
        <v>#N/A</v>
      </c>
      <c r="N54" s="15" t="e">
        <f ca="1"/>
        <v>#N/A</v>
      </c>
      <c r="O54" s="16" t="s">
        <v>343</v>
      </c>
      <c r="P54" s="16"/>
      <c r="Q54" s="16"/>
      <c r="R54" s="16"/>
      <c r="S54" s="16"/>
      <c r="W54" s="15" t="str">
        <f>TEXT(EDATE(X_Cell_Site_StartDate,10), "mmmm")</f>
        <v>October</v>
      </c>
      <c r="X54" s="15" t="e">
        <f ca="1"/>
        <v>#N/A</v>
      </c>
      <c r="Y54" s="15" t="e">
        <f ca="1"/>
        <v>#N/A</v>
      </c>
      <c r="Z54" s="15" t="e">
        <f ca="1"/>
        <v>#N/A</v>
      </c>
      <c r="AA54" s="15" t="e">
        <f ca="1"/>
        <v>#N/A</v>
      </c>
      <c r="AB54" s="15" t="e">
        <f ca="1"/>
        <v>#N/A</v>
      </c>
      <c r="AC54" s="15" t="e">
        <f ca="1"/>
        <v>#N/A</v>
      </c>
      <c r="AD54" s="15" t="e">
        <f ca="1"/>
        <v>#N/A</v>
      </c>
      <c r="AE54" s="15" t="e">
        <f ca="1"/>
        <v>#N/A</v>
      </c>
      <c r="AF54" s="15" t="e">
        <f ca="1"/>
        <v>#N/A</v>
      </c>
      <c r="AG54" s="15" t="e">
        <f ca="1"/>
        <v>#N/A</v>
      </c>
      <c r="AH54" s="16" t="s">
        <v>343</v>
      </c>
      <c r="AI54" s="16"/>
      <c r="AJ54" s="16"/>
    </row>
    <row r="55" spans="1:36" ht="20" customHeight="1" x14ac:dyDescent="0.25">
      <c r="A55" s="5" t="str">
        <f>HYPERLINK("#'Constants - Fertiliser'!A1", "Constants - Fertiliser")</f>
        <v>Constants - Fertiliser</v>
      </c>
      <c r="D55" s="15" t="str">
        <f>INDEX(X_Table_PastureBeef_Liveweight_Method1,5,1)</f>
        <v>Winter</v>
      </c>
      <c r="E55" s="15" t="e">
        <f ca="1"/>
        <v>#N/A</v>
      </c>
      <c r="F55" s="15" t="e">
        <f ca="1"/>
        <v>#N/A</v>
      </c>
      <c r="G55" s="15" t="e">
        <f ca="1"/>
        <v>#N/A</v>
      </c>
      <c r="H55" s="15" t="e">
        <f ca="1"/>
        <v>#N/A</v>
      </c>
      <c r="I55" s="15" t="e">
        <f ca="1"/>
        <v>#N/A</v>
      </c>
      <c r="J55" s="15" t="e">
        <f ca="1"/>
        <v>#N/A</v>
      </c>
      <c r="K55" s="15" t="e">
        <f ca="1"/>
        <v>#N/A</v>
      </c>
      <c r="L55" s="15" t="e">
        <f ca="1"/>
        <v>#N/A</v>
      </c>
      <c r="M55" s="15" t="e">
        <f ca="1"/>
        <v>#N/A</v>
      </c>
      <c r="N55" s="15" t="e">
        <f ca="1"/>
        <v>#N/A</v>
      </c>
      <c r="O55" s="16" t="s">
        <v>343</v>
      </c>
      <c r="P55" s="16"/>
      <c r="Q55" s="16"/>
      <c r="R55" s="16"/>
      <c r="S55" s="16"/>
      <c r="W55" s="15" t="str">
        <f>TEXT(EDATE(X_Cell_Site_StartDate,11), "mmmm")</f>
        <v>November</v>
      </c>
      <c r="X55" s="15" t="e">
        <f ca="1"/>
        <v>#N/A</v>
      </c>
      <c r="Y55" s="15" t="e">
        <f ca="1"/>
        <v>#N/A</v>
      </c>
      <c r="Z55" s="15" t="e">
        <f ca="1"/>
        <v>#N/A</v>
      </c>
      <c r="AA55" s="15" t="e">
        <f ca="1"/>
        <v>#N/A</v>
      </c>
      <c r="AB55" s="15" t="e">
        <f ca="1"/>
        <v>#N/A</v>
      </c>
      <c r="AC55" s="15" t="e">
        <f ca="1"/>
        <v>#N/A</v>
      </c>
      <c r="AD55" s="15" t="e">
        <f ca="1"/>
        <v>#N/A</v>
      </c>
      <c r="AE55" s="15" t="e">
        <f ca="1"/>
        <v>#N/A</v>
      </c>
      <c r="AF55" s="15" t="e">
        <f ca="1"/>
        <v>#N/A</v>
      </c>
      <c r="AG55" s="15" t="e">
        <f ca="1"/>
        <v>#N/A</v>
      </c>
      <c r="AH55" s="16" t="s">
        <v>343</v>
      </c>
      <c r="AI55" s="16"/>
      <c r="AJ55" s="16"/>
    </row>
    <row r="56" spans="1:36" ht="20" customHeight="1" x14ac:dyDescent="0.25">
      <c r="A56" s="5" t="str">
        <f>HYPERLINK("#'Constants - Fuel'!A1", "Constants - Fuel")</f>
        <v>Constants - Fuel</v>
      </c>
      <c r="AI56" s="16"/>
      <c r="AJ56" s="16"/>
    </row>
    <row r="57" spans="1:36" ht="20" customHeight="1" x14ac:dyDescent="0.25">
      <c r="A57" s="5" t="str">
        <f>HYPERLINK("#'Constants - Scope 3'!A1", "Constants - Scope 3")</f>
        <v>Constants - Scope 3</v>
      </c>
      <c r="W57" s="112" t="s">
        <v>393</v>
      </c>
      <c r="AI57" s="16"/>
      <c r="AJ57" s="16"/>
    </row>
    <row r="58" spans="1:36" ht="20" customHeight="1" x14ac:dyDescent="0.25">
      <c r="A58" s="5" t="str">
        <f>HYPERLINK("#'Constants - Solid Waste'!A1", "Constants - Solid Waste")</f>
        <v>Constants - Solid Waste</v>
      </c>
      <c r="W58" s="113" t="s">
        <v>394</v>
      </c>
      <c r="AI58" s="16"/>
      <c r="AJ58" s="16"/>
    </row>
    <row r="59" spans="1:36" ht="20" customHeight="1" x14ac:dyDescent="0.25">
      <c r="A59" s="5" t="str">
        <f>HYPERLINK("#'Constants - Common'!A1", "Constants - Common")</f>
        <v>Constants - Common</v>
      </c>
      <c r="W59" s="114" t="s">
        <v>75</v>
      </c>
      <c r="X59" s="82" t="s">
        <v>326</v>
      </c>
      <c r="Y59" s="82" t="s">
        <v>184</v>
      </c>
      <c r="Z59" s="82" t="s">
        <v>327</v>
      </c>
      <c r="AA59" s="82" t="s">
        <v>328</v>
      </c>
      <c r="AB59" s="82" t="s">
        <v>329</v>
      </c>
      <c r="AC59" s="82" t="s">
        <v>330</v>
      </c>
      <c r="AD59" s="82" t="s">
        <v>331</v>
      </c>
      <c r="AE59" s="82" t="s">
        <v>332</v>
      </c>
      <c r="AF59" s="82" t="s">
        <v>333</v>
      </c>
      <c r="AG59" s="82" t="s">
        <v>334</v>
      </c>
      <c r="AI59" s="16"/>
      <c r="AJ59" s="16"/>
    </row>
    <row r="60" spans="1:36" ht="20" customHeight="1" x14ac:dyDescent="0.25">
      <c r="A60" s="5" t="str">
        <f>HYPERLINK("#'Acknowledgements'!A1", "Acknowledgements")</f>
        <v>Acknowledgements</v>
      </c>
      <c r="W60" s="15" t="str">
        <f>TEXT(X_Cell_Site_StartDate,"mmmm")</f>
        <v>January</v>
      </c>
      <c r="X60" s="15" t="e" cm="1">
        <f t="array" aca="1" ref="X60:AG71" ca="1">OFFSET(X_Table_PastureBeef_LiveweightGain_Method2, 1,1, 12,10)</f>
        <v>#N/A</v>
      </c>
      <c r="Y60" s="15" t="e">
        <f ca="1"/>
        <v>#N/A</v>
      </c>
      <c r="Z60" s="15" t="e">
        <f ca="1"/>
        <v>#N/A</v>
      </c>
      <c r="AA60" s="15" t="e">
        <f ca="1"/>
        <v>#N/A</v>
      </c>
      <c r="AB60" s="15" t="e">
        <f ca="1"/>
        <v>#N/A</v>
      </c>
      <c r="AC60" s="15" t="e">
        <f ca="1"/>
        <v>#N/A</v>
      </c>
      <c r="AD60" s="15" t="e">
        <f ca="1"/>
        <v>#N/A</v>
      </c>
      <c r="AE60" s="15" t="e">
        <f ca="1"/>
        <v>#N/A</v>
      </c>
      <c r="AF60" s="15" t="e">
        <f ca="1"/>
        <v>#N/A</v>
      </c>
      <c r="AG60" s="15" t="e">
        <f ca="1"/>
        <v>#N/A</v>
      </c>
      <c r="AH60" s="16" t="s">
        <v>344</v>
      </c>
      <c r="AI60" s="16"/>
      <c r="AJ60" s="16"/>
    </row>
    <row r="61" spans="1:36" ht="20" customHeight="1" x14ac:dyDescent="0.25">
      <c r="W61" s="15" t="str">
        <f>TEXT(EDATE(X_Cell_Site_StartDate,1), "mmmm")</f>
        <v>January</v>
      </c>
      <c r="X61" s="15" t="e">
        <f ca="1"/>
        <v>#N/A</v>
      </c>
      <c r="Y61" s="15" t="e">
        <f ca="1"/>
        <v>#N/A</v>
      </c>
      <c r="Z61" s="15" t="e">
        <f ca="1"/>
        <v>#N/A</v>
      </c>
      <c r="AA61" s="15" t="e">
        <f ca="1"/>
        <v>#N/A</v>
      </c>
      <c r="AB61" s="15" t="e">
        <f ca="1"/>
        <v>#N/A</v>
      </c>
      <c r="AC61" s="15" t="e">
        <f ca="1"/>
        <v>#N/A</v>
      </c>
      <c r="AD61" s="15" t="e">
        <f ca="1"/>
        <v>#N/A</v>
      </c>
      <c r="AE61" s="15" t="e">
        <f ca="1"/>
        <v>#N/A</v>
      </c>
      <c r="AF61" s="15" t="e">
        <f ca="1"/>
        <v>#N/A</v>
      </c>
      <c r="AG61" s="15" t="e">
        <f ca="1"/>
        <v>#N/A</v>
      </c>
      <c r="AH61" s="16" t="s">
        <v>344</v>
      </c>
      <c r="AI61" s="16"/>
      <c r="AJ61" s="16"/>
    </row>
    <row r="62" spans="1:36" ht="20" customHeight="1" x14ac:dyDescent="0.25">
      <c r="W62" s="15" t="str">
        <f>TEXT(EDATE(X_Cell_Site_StartDate,2), "mmmm")</f>
        <v>February</v>
      </c>
      <c r="X62" s="15" t="e">
        <f ca="1"/>
        <v>#N/A</v>
      </c>
      <c r="Y62" s="15" t="e">
        <f ca="1"/>
        <v>#N/A</v>
      </c>
      <c r="Z62" s="15" t="e">
        <f ca="1"/>
        <v>#N/A</v>
      </c>
      <c r="AA62" s="15" t="e">
        <f ca="1"/>
        <v>#N/A</v>
      </c>
      <c r="AB62" s="15" t="e">
        <f ca="1"/>
        <v>#N/A</v>
      </c>
      <c r="AC62" s="15" t="e">
        <f ca="1"/>
        <v>#N/A</v>
      </c>
      <c r="AD62" s="15" t="e">
        <f ca="1"/>
        <v>#N/A</v>
      </c>
      <c r="AE62" s="15" t="e">
        <f ca="1"/>
        <v>#N/A</v>
      </c>
      <c r="AF62" s="15" t="e">
        <f ca="1"/>
        <v>#N/A</v>
      </c>
      <c r="AG62" s="15" t="e">
        <f ca="1"/>
        <v>#N/A</v>
      </c>
      <c r="AH62" s="16" t="s">
        <v>344</v>
      </c>
      <c r="AI62" s="16"/>
      <c r="AJ62" s="16"/>
    </row>
    <row r="63" spans="1:36" ht="20" customHeight="1" x14ac:dyDescent="0.25">
      <c r="W63" s="15" t="str">
        <f>TEXT(EDATE(X_Cell_Site_StartDate,3), "mmmm")</f>
        <v>March</v>
      </c>
      <c r="X63" s="15" t="e">
        <f ca="1"/>
        <v>#N/A</v>
      </c>
      <c r="Y63" s="15" t="e">
        <f ca="1"/>
        <v>#N/A</v>
      </c>
      <c r="Z63" s="15" t="e">
        <f ca="1"/>
        <v>#N/A</v>
      </c>
      <c r="AA63" s="15" t="e">
        <f ca="1"/>
        <v>#N/A</v>
      </c>
      <c r="AB63" s="15" t="e">
        <f ca="1"/>
        <v>#N/A</v>
      </c>
      <c r="AC63" s="15" t="e">
        <f ca="1"/>
        <v>#N/A</v>
      </c>
      <c r="AD63" s="15" t="e">
        <f ca="1"/>
        <v>#N/A</v>
      </c>
      <c r="AE63" s="15" t="e">
        <f ca="1"/>
        <v>#N/A</v>
      </c>
      <c r="AF63" s="15" t="e">
        <f ca="1"/>
        <v>#N/A</v>
      </c>
      <c r="AG63" s="15" t="e">
        <f ca="1"/>
        <v>#N/A</v>
      </c>
      <c r="AH63" s="16" t="s">
        <v>344</v>
      </c>
      <c r="AI63" s="16"/>
      <c r="AJ63" s="16"/>
    </row>
    <row r="64" spans="1:36" ht="20" customHeight="1" x14ac:dyDescent="0.25">
      <c r="W64" s="15" t="str">
        <f>TEXT(EDATE(X_Cell_Site_StartDate,4), "mmmm")</f>
        <v>April</v>
      </c>
      <c r="X64" s="15" t="e">
        <f ca="1"/>
        <v>#N/A</v>
      </c>
      <c r="Y64" s="15" t="e">
        <f ca="1"/>
        <v>#N/A</v>
      </c>
      <c r="Z64" s="15" t="e">
        <f ca="1"/>
        <v>#N/A</v>
      </c>
      <c r="AA64" s="15" t="e">
        <f ca="1"/>
        <v>#N/A</v>
      </c>
      <c r="AB64" s="15" t="e">
        <f ca="1"/>
        <v>#N/A</v>
      </c>
      <c r="AC64" s="15" t="e">
        <f ca="1"/>
        <v>#N/A</v>
      </c>
      <c r="AD64" s="15" t="e">
        <f ca="1"/>
        <v>#N/A</v>
      </c>
      <c r="AE64" s="15" t="e">
        <f ca="1"/>
        <v>#N/A</v>
      </c>
      <c r="AF64" s="15" t="e">
        <f ca="1"/>
        <v>#N/A</v>
      </c>
      <c r="AG64" s="15" t="e">
        <f ca="1"/>
        <v>#N/A</v>
      </c>
      <c r="AH64" s="16" t="s">
        <v>344</v>
      </c>
    </row>
    <row r="65" spans="4:36" ht="20" customHeight="1" x14ac:dyDescent="0.25">
      <c r="D65" s="112" t="s">
        <v>395</v>
      </c>
      <c r="W65" s="15" t="str">
        <f>TEXT(EDATE(X_Cell_Site_StartDate,5), "mmmm")</f>
        <v>May</v>
      </c>
      <c r="X65" s="15" t="e">
        <f ca="1"/>
        <v>#N/A</v>
      </c>
      <c r="Y65" s="15" t="e">
        <f ca="1"/>
        <v>#N/A</v>
      </c>
      <c r="Z65" s="15" t="e">
        <f ca="1"/>
        <v>#N/A</v>
      </c>
      <c r="AA65" s="15" t="e">
        <f ca="1"/>
        <v>#N/A</v>
      </c>
      <c r="AB65" s="15" t="e">
        <f ca="1"/>
        <v>#N/A</v>
      </c>
      <c r="AC65" s="15" t="e">
        <f ca="1"/>
        <v>#N/A</v>
      </c>
      <c r="AD65" s="15" t="e">
        <f ca="1"/>
        <v>#N/A</v>
      </c>
      <c r="AE65" s="15" t="e">
        <f ca="1"/>
        <v>#N/A</v>
      </c>
      <c r="AF65" s="15" t="e">
        <f ca="1"/>
        <v>#N/A</v>
      </c>
      <c r="AG65" s="15" t="e">
        <f ca="1"/>
        <v>#N/A</v>
      </c>
      <c r="AH65" s="16" t="s">
        <v>344</v>
      </c>
    </row>
    <row r="66" spans="4:36" ht="20" customHeight="1" x14ac:dyDescent="0.25">
      <c r="D66" s="113" t="s">
        <v>396</v>
      </c>
      <c r="W66" s="15" t="str">
        <f>TEXT(EDATE(X_Cell_Site_StartDate,6), "mmmm")</f>
        <v>June</v>
      </c>
      <c r="X66" s="15" t="e">
        <f ca="1"/>
        <v>#N/A</v>
      </c>
      <c r="Y66" s="15" t="e">
        <f ca="1"/>
        <v>#N/A</v>
      </c>
      <c r="Z66" s="15" t="e">
        <f ca="1"/>
        <v>#N/A</v>
      </c>
      <c r="AA66" s="15" t="e">
        <f ca="1"/>
        <v>#N/A</v>
      </c>
      <c r="AB66" s="15" t="e">
        <f ca="1"/>
        <v>#N/A</v>
      </c>
      <c r="AC66" s="15" t="e">
        <f ca="1"/>
        <v>#N/A</v>
      </c>
      <c r="AD66" s="15" t="e">
        <f ca="1"/>
        <v>#N/A</v>
      </c>
      <c r="AE66" s="15" t="e">
        <f ca="1"/>
        <v>#N/A</v>
      </c>
      <c r="AF66" s="15" t="e">
        <f ca="1"/>
        <v>#N/A</v>
      </c>
      <c r="AG66" s="15" t="e">
        <f ca="1"/>
        <v>#N/A</v>
      </c>
      <c r="AH66" s="16" t="s">
        <v>344</v>
      </c>
    </row>
    <row r="67" spans="4:36" ht="20" customHeight="1" x14ac:dyDescent="0.25">
      <c r="D67" s="114" t="s">
        <v>76</v>
      </c>
      <c r="E67" s="82" t="s">
        <v>326</v>
      </c>
      <c r="F67" s="82" t="s">
        <v>184</v>
      </c>
      <c r="G67" s="82" t="s">
        <v>327</v>
      </c>
      <c r="H67" s="82" t="s">
        <v>328</v>
      </c>
      <c r="I67" s="82" t="s">
        <v>329</v>
      </c>
      <c r="J67" s="82" t="s">
        <v>330</v>
      </c>
      <c r="K67" s="82" t="s">
        <v>331</v>
      </c>
      <c r="L67" s="82" t="s">
        <v>332</v>
      </c>
      <c r="M67" s="82" t="s">
        <v>333</v>
      </c>
      <c r="N67" s="82" t="s">
        <v>334</v>
      </c>
      <c r="W67" s="15" t="str">
        <f>TEXT(EDATE(X_Cell_Site_StartDate,7), "mmmm")</f>
        <v>July</v>
      </c>
      <c r="X67" s="15" t="e">
        <f ca="1"/>
        <v>#N/A</v>
      </c>
      <c r="Y67" s="15" t="e">
        <f ca="1"/>
        <v>#N/A</v>
      </c>
      <c r="Z67" s="15" t="e">
        <f ca="1"/>
        <v>#N/A</v>
      </c>
      <c r="AA67" s="15" t="e">
        <f ca="1"/>
        <v>#N/A</v>
      </c>
      <c r="AB67" s="15" t="e">
        <f ca="1"/>
        <v>#N/A</v>
      </c>
      <c r="AC67" s="15" t="e">
        <f ca="1"/>
        <v>#N/A</v>
      </c>
      <c r="AD67" s="15" t="e">
        <f ca="1"/>
        <v>#N/A</v>
      </c>
      <c r="AE67" s="15" t="e">
        <f ca="1"/>
        <v>#N/A</v>
      </c>
      <c r="AF67" s="15" t="e">
        <f ca="1"/>
        <v>#N/A</v>
      </c>
      <c r="AG67" s="15" t="e">
        <f ca="1"/>
        <v>#N/A</v>
      </c>
      <c r="AH67" s="16" t="s">
        <v>344</v>
      </c>
    </row>
    <row r="68" spans="4:36" ht="20" customHeight="1" x14ac:dyDescent="0.25">
      <c r="D68" s="15" t="str">
        <f>INDEX(X_Table_PastureBeef_LiveweightGain_Method1,2,1)</f>
        <v>Spring</v>
      </c>
      <c r="E68" s="15" t="e" cm="1">
        <f t="array" aca="1" ref="E68:N71" ca="1">OFFSET(X_Table_PastureBeef_LiveweightGain_Method1, 1,1, 4,10)</f>
        <v>#N/A</v>
      </c>
      <c r="F68" s="15" t="e">
        <f ca="1"/>
        <v>#N/A</v>
      </c>
      <c r="G68" s="15" t="e">
        <f ca="1"/>
        <v>#N/A</v>
      </c>
      <c r="H68" s="15" t="e">
        <f ca="1"/>
        <v>#N/A</v>
      </c>
      <c r="I68" s="15" t="e">
        <f ca="1"/>
        <v>#N/A</v>
      </c>
      <c r="J68" s="15" t="e">
        <f ca="1"/>
        <v>#N/A</v>
      </c>
      <c r="K68" s="15" t="e">
        <f ca="1"/>
        <v>#N/A</v>
      </c>
      <c r="L68" s="15" t="e">
        <f ca="1"/>
        <v>#N/A</v>
      </c>
      <c r="M68" s="15" t="e">
        <f ca="1"/>
        <v>#N/A</v>
      </c>
      <c r="N68" s="15" t="e">
        <f ca="1"/>
        <v>#N/A</v>
      </c>
      <c r="O68" s="16" t="s">
        <v>343</v>
      </c>
      <c r="P68" s="16"/>
      <c r="Q68" s="16"/>
      <c r="R68" s="16"/>
      <c r="S68" s="16"/>
      <c r="W68" s="15" t="str">
        <f>TEXT(EDATE(X_Cell_Site_StartDate,8), "mmmm")</f>
        <v>August</v>
      </c>
      <c r="X68" s="15" t="e">
        <f ca="1"/>
        <v>#N/A</v>
      </c>
      <c r="Y68" s="15" t="e">
        <f ca="1"/>
        <v>#N/A</v>
      </c>
      <c r="Z68" s="15" t="e">
        <f ca="1"/>
        <v>#N/A</v>
      </c>
      <c r="AA68" s="15" t="e">
        <f ca="1"/>
        <v>#N/A</v>
      </c>
      <c r="AB68" s="15" t="e">
        <f ca="1"/>
        <v>#N/A</v>
      </c>
      <c r="AC68" s="15" t="e">
        <f ca="1"/>
        <v>#N/A</v>
      </c>
      <c r="AD68" s="15" t="e">
        <f ca="1"/>
        <v>#N/A</v>
      </c>
      <c r="AE68" s="15" t="e">
        <f ca="1"/>
        <v>#N/A</v>
      </c>
      <c r="AF68" s="15" t="e">
        <f ca="1"/>
        <v>#N/A</v>
      </c>
      <c r="AG68" s="15" t="e">
        <f ca="1"/>
        <v>#N/A</v>
      </c>
      <c r="AH68" s="16" t="s">
        <v>344</v>
      </c>
      <c r="AI68" s="16"/>
      <c r="AJ68" s="16"/>
    </row>
    <row r="69" spans="4:36" ht="20" customHeight="1" x14ac:dyDescent="0.25">
      <c r="D69" s="15" t="str">
        <f>INDEX(X_Table_PastureBeef_LiveweightGain_Method1,3,1)</f>
        <v>Summer</v>
      </c>
      <c r="E69" s="15" t="e">
        <f ca="1"/>
        <v>#N/A</v>
      </c>
      <c r="F69" s="15" t="e">
        <f ca="1"/>
        <v>#N/A</v>
      </c>
      <c r="G69" s="15" t="e">
        <f ca="1"/>
        <v>#N/A</v>
      </c>
      <c r="H69" s="15" t="e">
        <f ca="1"/>
        <v>#N/A</v>
      </c>
      <c r="I69" s="15" t="e">
        <f ca="1"/>
        <v>#N/A</v>
      </c>
      <c r="J69" s="15" t="e">
        <f ca="1"/>
        <v>#N/A</v>
      </c>
      <c r="K69" s="15" t="e">
        <f ca="1"/>
        <v>#N/A</v>
      </c>
      <c r="L69" s="15" t="e">
        <f ca="1"/>
        <v>#N/A</v>
      </c>
      <c r="M69" s="15" t="e">
        <f ca="1"/>
        <v>#N/A</v>
      </c>
      <c r="N69" s="15" t="e">
        <f ca="1"/>
        <v>#N/A</v>
      </c>
      <c r="O69" s="16" t="s">
        <v>343</v>
      </c>
      <c r="P69" s="16"/>
      <c r="Q69" s="16"/>
      <c r="R69" s="16"/>
      <c r="S69" s="16"/>
      <c r="W69" s="15" t="str">
        <f>TEXT(EDATE(X_Cell_Site_StartDate,9), "mmmm")</f>
        <v>September</v>
      </c>
      <c r="X69" s="15" t="e">
        <f ca="1"/>
        <v>#N/A</v>
      </c>
      <c r="Y69" s="15" t="e">
        <f ca="1"/>
        <v>#N/A</v>
      </c>
      <c r="Z69" s="15" t="e">
        <f ca="1"/>
        <v>#N/A</v>
      </c>
      <c r="AA69" s="15" t="e">
        <f ca="1"/>
        <v>#N/A</v>
      </c>
      <c r="AB69" s="15" t="e">
        <f ca="1"/>
        <v>#N/A</v>
      </c>
      <c r="AC69" s="15" t="e">
        <f ca="1"/>
        <v>#N/A</v>
      </c>
      <c r="AD69" s="15" t="e">
        <f ca="1"/>
        <v>#N/A</v>
      </c>
      <c r="AE69" s="15" t="e">
        <f ca="1"/>
        <v>#N/A</v>
      </c>
      <c r="AF69" s="15" t="e">
        <f ca="1"/>
        <v>#N/A</v>
      </c>
      <c r="AG69" s="15" t="e">
        <f ca="1"/>
        <v>#N/A</v>
      </c>
      <c r="AH69" s="16" t="s">
        <v>344</v>
      </c>
      <c r="AI69" s="16"/>
      <c r="AJ69" s="16"/>
    </row>
    <row r="70" spans="4:36" ht="20" customHeight="1" x14ac:dyDescent="0.25">
      <c r="D70" s="15" t="str">
        <f>INDEX(X_Table_PastureBeef_LiveweightGain_Method1,4,1)</f>
        <v>Autumn</v>
      </c>
      <c r="E70" s="15" t="e">
        <f ca="1"/>
        <v>#N/A</v>
      </c>
      <c r="F70" s="15" t="e">
        <f ca="1"/>
        <v>#N/A</v>
      </c>
      <c r="G70" s="15" t="e">
        <f ca="1"/>
        <v>#N/A</v>
      </c>
      <c r="H70" s="15" t="e">
        <f ca="1"/>
        <v>#N/A</v>
      </c>
      <c r="I70" s="15" t="e">
        <f ca="1"/>
        <v>#N/A</v>
      </c>
      <c r="J70" s="15" t="e">
        <f ca="1"/>
        <v>#N/A</v>
      </c>
      <c r="K70" s="15" t="e">
        <f ca="1"/>
        <v>#N/A</v>
      </c>
      <c r="L70" s="15" t="e">
        <f ca="1"/>
        <v>#N/A</v>
      </c>
      <c r="M70" s="15" t="e">
        <f ca="1"/>
        <v>#N/A</v>
      </c>
      <c r="N70" s="15" t="e">
        <f ca="1"/>
        <v>#N/A</v>
      </c>
      <c r="O70" s="16" t="s">
        <v>343</v>
      </c>
      <c r="P70" s="16"/>
      <c r="Q70" s="16"/>
      <c r="R70" s="16"/>
      <c r="S70" s="16"/>
      <c r="W70" s="15" t="str">
        <f>TEXT(EDATE(X_Cell_Site_StartDate,10), "mmmm")</f>
        <v>October</v>
      </c>
      <c r="X70" s="15" t="e">
        <f ca="1"/>
        <v>#N/A</v>
      </c>
      <c r="Y70" s="15" t="e">
        <f ca="1"/>
        <v>#N/A</v>
      </c>
      <c r="Z70" s="15" t="e">
        <f ca="1"/>
        <v>#N/A</v>
      </c>
      <c r="AA70" s="15" t="e">
        <f ca="1"/>
        <v>#N/A</v>
      </c>
      <c r="AB70" s="15" t="e">
        <f ca="1"/>
        <v>#N/A</v>
      </c>
      <c r="AC70" s="15" t="e">
        <f ca="1"/>
        <v>#N/A</v>
      </c>
      <c r="AD70" s="15" t="e">
        <f ca="1"/>
        <v>#N/A</v>
      </c>
      <c r="AE70" s="15" t="e">
        <f ca="1"/>
        <v>#N/A</v>
      </c>
      <c r="AF70" s="15" t="e">
        <f ca="1"/>
        <v>#N/A</v>
      </c>
      <c r="AG70" s="15" t="e">
        <f ca="1"/>
        <v>#N/A</v>
      </c>
      <c r="AH70" s="16" t="s">
        <v>344</v>
      </c>
      <c r="AI70" s="16"/>
      <c r="AJ70" s="16"/>
    </row>
    <row r="71" spans="4:36" ht="20" customHeight="1" x14ac:dyDescent="0.25">
      <c r="D71" s="15" t="str">
        <f>INDEX(X_Table_PastureBeef_LiveweightGain_Method1,5,1)</f>
        <v>Winter</v>
      </c>
      <c r="E71" s="15" t="e">
        <f ca="1"/>
        <v>#N/A</v>
      </c>
      <c r="F71" s="15" t="e">
        <f ca="1"/>
        <v>#N/A</v>
      </c>
      <c r="G71" s="15" t="e">
        <f ca="1"/>
        <v>#N/A</v>
      </c>
      <c r="H71" s="15" t="e">
        <f ca="1"/>
        <v>#N/A</v>
      </c>
      <c r="I71" s="15" t="e">
        <f ca="1"/>
        <v>#N/A</v>
      </c>
      <c r="J71" s="15" t="e">
        <f ca="1"/>
        <v>#N/A</v>
      </c>
      <c r="K71" s="15" t="e">
        <f ca="1"/>
        <v>#N/A</v>
      </c>
      <c r="L71" s="15" t="e">
        <f ca="1"/>
        <v>#N/A</v>
      </c>
      <c r="M71" s="15" t="e">
        <f ca="1"/>
        <v>#N/A</v>
      </c>
      <c r="N71" s="15" t="e">
        <f ca="1"/>
        <v>#N/A</v>
      </c>
      <c r="O71" s="16" t="s">
        <v>343</v>
      </c>
      <c r="P71" s="16"/>
      <c r="Q71" s="16"/>
      <c r="R71" s="16"/>
      <c r="S71" s="16"/>
      <c r="W71" s="15" t="str">
        <f>TEXT(EDATE(X_Cell_Site_StartDate,11), "mmmm")</f>
        <v>November</v>
      </c>
      <c r="X71" s="15" t="e">
        <f ca="1"/>
        <v>#N/A</v>
      </c>
      <c r="Y71" s="15" t="e">
        <f ca="1"/>
        <v>#N/A</v>
      </c>
      <c r="Z71" s="15" t="e">
        <f ca="1"/>
        <v>#N/A</v>
      </c>
      <c r="AA71" s="15" t="e">
        <f ca="1"/>
        <v>#N/A</v>
      </c>
      <c r="AB71" s="15" t="e">
        <f ca="1"/>
        <v>#N/A</v>
      </c>
      <c r="AC71" s="15" t="e">
        <f ca="1"/>
        <v>#N/A</v>
      </c>
      <c r="AD71" s="15" t="e">
        <f ca="1"/>
        <v>#N/A</v>
      </c>
      <c r="AE71" s="15" t="e">
        <f ca="1"/>
        <v>#N/A</v>
      </c>
      <c r="AF71" s="15" t="e">
        <f ca="1"/>
        <v>#N/A</v>
      </c>
      <c r="AG71" s="15" t="e">
        <f ca="1"/>
        <v>#N/A</v>
      </c>
      <c r="AH71" s="16" t="s">
        <v>344</v>
      </c>
      <c r="AI71" s="16"/>
      <c r="AJ71" s="16"/>
    </row>
    <row r="72" spans="4:36" ht="20" customHeight="1" x14ac:dyDescent="0.25">
      <c r="AI72" s="16"/>
      <c r="AJ72" s="16"/>
    </row>
    <row r="73" spans="4:36" ht="20" customHeight="1" x14ac:dyDescent="0.25">
      <c r="W73" s="112" t="s">
        <v>397</v>
      </c>
      <c r="AI73" s="16"/>
      <c r="AJ73" s="16"/>
    </row>
    <row r="74" spans="4:36" ht="20" customHeight="1" x14ac:dyDescent="0.25">
      <c r="W74" s="113" t="s">
        <v>398</v>
      </c>
      <c r="AI74" s="16"/>
      <c r="AJ74" s="16"/>
    </row>
    <row r="75" spans="4:36" ht="20" customHeight="1" x14ac:dyDescent="0.25">
      <c r="W75" s="114" t="s">
        <v>75</v>
      </c>
      <c r="X75" s="114" t="s">
        <v>326</v>
      </c>
      <c r="Y75" s="114" t="s">
        <v>184</v>
      </c>
      <c r="Z75" s="114" t="s">
        <v>327</v>
      </c>
      <c r="AA75" s="114" t="s">
        <v>328</v>
      </c>
      <c r="AB75" s="114" t="s">
        <v>329</v>
      </c>
      <c r="AC75" s="114" t="s">
        <v>330</v>
      </c>
      <c r="AD75" s="114" t="s">
        <v>331</v>
      </c>
      <c r="AE75" s="114" t="s">
        <v>332</v>
      </c>
      <c r="AF75" s="114" t="s">
        <v>333</v>
      </c>
      <c r="AG75" s="114" t="s">
        <v>334</v>
      </c>
      <c r="AI75" s="16"/>
      <c r="AJ75" s="16"/>
    </row>
    <row r="76" spans="4:36" ht="20" customHeight="1" x14ac:dyDescent="0.25">
      <c r="W76" s="15" t="str">
        <f>TEXT(X_Cell_Site_StartDate,"mmmm")</f>
        <v>January</v>
      </c>
      <c r="X76" s="15" t="e" cm="1">
        <f t="array" aca="1" ref="X76" ca="1">EntericMethane_PastureBeef_Equations.VEERG_3_2_1_1__3_FeedIntakeForGrazingBeef(X44,X60,Z28)</f>
        <v>#N/A</v>
      </c>
      <c r="Y76" s="15" t="e" cm="1">
        <f t="array" aca="1" ref="Y76" ca="1">EntericMethane_PastureBeef_Equations.VEERG_3_2_1_1__3_FeedIntakeForGrazingBeef(Y44,Y60,AA28)</f>
        <v>#N/A</v>
      </c>
      <c r="Z76" s="15" t="e" cm="1">
        <f t="array" aca="1" ref="Z76" ca="1">EntericMethane_PastureBeef_Equations.VEERG_3_2_1_1__3_FeedIntakeForGrazingBeef(Z44,Z60,AB28)</f>
        <v>#N/A</v>
      </c>
      <c r="AA76" s="15" t="e" cm="1">
        <f t="array" aca="1" ref="AA76" ca="1">EntericMethane_PastureBeef_Equations.VEERG_3_2_1_1__3_FeedIntakeForGrazingBeef(AA44,AA60,AC28)</f>
        <v>#N/A</v>
      </c>
      <c r="AB76" s="15" t="e" cm="1">
        <f t="array" aca="1" ref="AB76" ca="1">EntericMethane_PastureBeef_Equations.VEERG_3_2_1_1__3_FeedIntakeForGrazingBeef(AB44,AB60,AD28)</f>
        <v>#N/A</v>
      </c>
      <c r="AC76" s="15" t="e" cm="1">
        <f t="array" aca="1" ref="AC76" ca="1">EntericMethane_PastureBeef_Equations.VEERG_3_2_1_1__3_FeedIntakeForGrazingBeef(AC44,AC60,AE28)</f>
        <v>#N/A</v>
      </c>
      <c r="AD76" s="15" t="e" cm="1">
        <f t="array" aca="1" ref="AD76" ca="1">EntericMethane_PastureBeef_Equations.VEERG_3_2_1_1__3_FeedIntakeForGrazingBeef(AD44,AD60,AF28)</f>
        <v>#N/A</v>
      </c>
      <c r="AE76" s="15" t="e" cm="1">
        <f t="array" aca="1" ref="AE76" ca="1">EntericMethane_PastureBeef_Equations.VEERG_3_2_1_1__3_FeedIntakeForGrazingBeef(AE44,AE60,AG28)</f>
        <v>#N/A</v>
      </c>
      <c r="AF76" s="15" t="e" cm="1">
        <f t="array" aca="1" ref="AF76" ca="1">EntericMethane_PastureBeef_Equations.VEERG_3_2_1_1__3_FeedIntakeForGrazingBeef(AF44,AF60,AH28)</f>
        <v>#N/A</v>
      </c>
      <c r="AG76" s="15" t="e" cm="1">
        <f t="array" aca="1" ref="AG76" ca="1">EntericMethane_PastureBeef_Equations.VEERG_3_2_1_1__3_FeedIntakeForGrazingBeef(AG44,AG60,AI28)</f>
        <v>#N/A</v>
      </c>
      <c r="AH76" s="16" t="str">
        <f t="shared" ref="AH76:AH87" si="2">$E$43</f>
        <v>kg DM/head/day</v>
      </c>
      <c r="AI76" s="16"/>
      <c r="AJ76" s="16"/>
    </row>
    <row r="77" spans="4:36" ht="20" customHeight="1" x14ac:dyDescent="0.25">
      <c r="W77" s="15" t="str">
        <f>TEXT(EDATE(X_Cell_Site_StartDate,1), "mmmm")</f>
        <v>January</v>
      </c>
      <c r="X77" s="15" t="e" cm="1">
        <f t="array" aca="1" ref="X77" ca="1">EntericMethane_PastureBeef_Equations.VEERG_3_2_1_1__3_FeedIntakeForGrazingBeef(X45,X61,Z29)</f>
        <v>#N/A</v>
      </c>
      <c r="Y77" s="15" t="e" cm="1">
        <f t="array" aca="1" ref="Y77" ca="1">EntericMethane_PastureBeef_Equations.VEERG_3_2_1_1__3_FeedIntakeForGrazingBeef(Y45,Y61,AA29)</f>
        <v>#N/A</v>
      </c>
      <c r="Z77" s="15" t="e" cm="1">
        <f t="array" aca="1" ref="Z77" ca="1">EntericMethane_PastureBeef_Equations.VEERG_3_2_1_1__3_FeedIntakeForGrazingBeef(Z45,Z61,AB29)</f>
        <v>#N/A</v>
      </c>
      <c r="AA77" s="15" t="e" cm="1">
        <f t="array" aca="1" ref="AA77" ca="1">EntericMethane_PastureBeef_Equations.VEERG_3_2_1_1__3_FeedIntakeForGrazingBeef(AA45,AA61,AC29)</f>
        <v>#N/A</v>
      </c>
      <c r="AB77" s="15" t="e" cm="1">
        <f t="array" aca="1" ref="AB77" ca="1">EntericMethane_PastureBeef_Equations.VEERG_3_2_1_1__3_FeedIntakeForGrazingBeef(AB45,AB61,AD29)</f>
        <v>#N/A</v>
      </c>
      <c r="AC77" s="15" t="e" cm="1">
        <f t="array" aca="1" ref="AC77" ca="1">EntericMethane_PastureBeef_Equations.VEERG_3_2_1_1__3_FeedIntakeForGrazingBeef(AC45,AC61,AE29)</f>
        <v>#N/A</v>
      </c>
      <c r="AD77" s="15" t="e" cm="1">
        <f t="array" aca="1" ref="AD77" ca="1">EntericMethane_PastureBeef_Equations.VEERG_3_2_1_1__3_FeedIntakeForGrazingBeef(AD45,AD61,AF29)</f>
        <v>#N/A</v>
      </c>
      <c r="AE77" s="15" t="e" cm="1">
        <f t="array" aca="1" ref="AE77" ca="1">EntericMethane_PastureBeef_Equations.VEERG_3_2_1_1__3_FeedIntakeForGrazingBeef(AE45,AE61,AG29)</f>
        <v>#N/A</v>
      </c>
      <c r="AF77" s="15" t="e" cm="1">
        <f t="array" aca="1" ref="AF77" ca="1">EntericMethane_PastureBeef_Equations.VEERG_3_2_1_1__3_FeedIntakeForGrazingBeef(AF45,AF61,AH29)</f>
        <v>#N/A</v>
      </c>
      <c r="AG77" s="15" t="e" cm="1">
        <f t="array" aca="1" ref="AG77" ca="1">EntericMethane_PastureBeef_Equations.VEERG_3_2_1_1__3_FeedIntakeForGrazingBeef(AG45,AG61,AI29)</f>
        <v>#N/A</v>
      </c>
      <c r="AH77" s="16" t="str">
        <f t="shared" si="2"/>
        <v>kg DM/head/day</v>
      </c>
      <c r="AI77" s="16"/>
      <c r="AJ77" s="16"/>
    </row>
    <row r="78" spans="4:36" ht="20" customHeight="1" x14ac:dyDescent="0.25">
      <c r="W78" s="15" t="str">
        <f>TEXT(EDATE(X_Cell_Site_StartDate,2), "mmmm")</f>
        <v>February</v>
      </c>
      <c r="X78" s="15" t="e" cm="1">
        <f t="array" aca="1" ref="X78" ca="1">EntericMethane_PastureBeef_Equations.VEERG_3_2_1_1__3_FeedIntakeForGrazingBeef(X46,X62,Z30)</f>
        <v>#N/A</v>
      </c>
      <c r="Y78" s="15" t="e" cm="1">
        <f t="array" aca="1" ref="Y78" ca="1">EntericMethane_PastureBeef_Equations.VEERG_3_2_1_1__3_FeedIntakeForGrazingBeef(Y46,Y62,AA30)</f>
        <v>#N/A</v>
      </c>
      <c r="Z78" s="15" t="e" cm="1">
        <f t="array" aca="1" ref="Z78" ca="1">EntericMethane_PastureBeef_Equations.VEERG_3_2_1_1__3_FeedIntakeForGrazingBeef(Z46,Z62,AB30)</f>
        <v>#N/A</v>
      </c>
      <c r="AA78" s="15" t="e" cm="1">
        <f t="array" aca="1" ref="AA78" ca="1">EntericMethane_PastureBeef_Equations.VEERG_3_2_1_1__3_FeedIntakeForGrazingBeef(AA46,AA62,AC30)</f>
        <v>#N/A</v>
      </c>
      <c r="AB78" s="15" t="e" cm="1">
        <f t="array" aca="1" ref="AB78" ca="1">EntericMethane_PastureBeef_Equations.VEERG_3_2_1_1__3_FeedIntakeForGrazingBeef(AB46,AB62,AD30)</f>
        <v>#N/A</v>
      </c>
      <c r="AC78" s="15" t="e" cm="1">
        <f t="array" aca="1" ref="AC78" ca="1">EntericMethane_PastureBeef_Equations.VEERG_3_2_1_1__3_FeedIntakeForGrazingBeef(AC46,AC62,AE30)</f>
        <v>#N/A</v>
      </c>
      <c r="AD78" s="15" t="e" cm="1">
        <f t="array" aca="1" ref="AD78" ca="1">EntericMethane_PastureBeef_Equations.VEERG_3_2_1_1__3_FeedIntakeForGrazingBeef(AD46,AD62,AF30)</f>
        <v>#N/A</v>
      </c>
      <c r="AE78" s="15" t="e" cm="1">
        <f t="array" aca="1" ref="AE78" ca="1">EntericMethane_PastureBeef_Equations.VEERG_3_2_1_1__3_FeedIntakeForGrazingBeef(AE46,AE62,AG30)</f>
        <v>#N/A</v>
      </c>
      <c r="AF78" s="15" t="e" cm="1">
        <f t="array" aca="1" ref="AF78" ca="1">EntericMethane_PastureBeef_Equations.VEERG_3_2_1_1__3_FeedIntakeForGrazingBeef(AF46,AF62,AH30)</f>
        <v>#N/A</v>
      </c>
      <c r="AG78" s="15" t="e" cm="1">
        <f t="array" aca="1" ref="AG78" ca="1">EntericMethane_PastureBeef_Equations.VEERG_3_2_1_1__3_FeedIntakeForGrazingBeef(AG46,AG62,AI30)</f>
        <v>#N/A</v>
      </c>
      <c r="AH78" s="16" t="str">
        <f t="shared" si="2"/>
        <v>kg DM/head/day</v>
      </c>
      <c r="AI78" s="16"/>
      <c r="AJ78" s="16"/>
    </row>
    <row r="79" spans="4:36" ht="20" customHeight="1" x14ac:dyDescent="0.25">
      <c r="W79" s="15" t="str">
        <f>TEXT(EDATE(X_Cell_Site_StartDate,3), "mmmm")</f>
        <v>March</v>
      </c>
      <c r="X79" s="15" t="e" cm="1">
        <f t="array" aca="1" ref="X79" ca="1">EntericMethane_PastureBeef_Equations.VEERG_3_2_1_1__3_FeedIntakeForGrazingBeef(X47,X63,Z31)</f>
        <v>#N/A</v>
      </c>
      <c r="Y79" s="15" t="e" cm="1">
        <f t="array" aca="1" ref="Y79" ca="1">EntericMethane_PastureBeef_Equations.VEERG_3_2_1_1__3_FeedIntakeForGrazingBeef(Y47,Y63,AA31)</f>
        <v>#N/A</v>
      </c>
      <c r="Z79" s="15" t="e" cm="1">
        <f t="array" aca="1" ref="Z79" ca="1">EntericMethane_PastureBeef_Equations.VEERG_3_2_1_1__3_FeedIntakeForGrazingBeef(Z47,Z63,AB31)</f>
        <v>#N/A</v>
      </c>
      <c r="AA79" s="15" t="e" cm="1">
        <f t="array" aca="1" ref="AA79" ca="1">EntericMethane_PastureBeef_Equations.VEERG_3_2_1_1__3_FeedIntakeForGrazingBeef(AA47,AA63,AC31)</f>
        <v>#N/A</v>
      </c>
      <c r="AB79" s="15" t="e" cm="1">
        <f t="array" aca="1" ref="AB79" ca="1">EntericMethane_PastureBeef_Equations.VEERG_3_2_1_1__3_FeedIntakeForGrazingBeef(AB47,AB63,AD31)</f>
        <v>#N/A</v>
      </c>
      <c r="AC79" s="15" t="e" cm="1">
        <f t="array" aca="1" ref="AC79" ca="1">EntericMethane_PastureBeef_Equations.VEERG_3_2_1_1__3_FeedIntakeForGrazingBeef(AC47,AC63,AE31)</f>
        <v>#N/A</v>
      </c>
      <c r="AD79" s="15" t="e" cm="1">
        <f t="array" aca="1" ref="AD79" ca="1">EntericMethane_PastureBeef_Equations.VEERG_3_2_1_1__3_FeedIntakeForGrazingBeef(AD47,AD63,AF31)</f>
        <v>#N/A</v>
      </c>
      <c r="AE79" s="15" t="e" cm="1">
        <f t="array" aca="1" ref="AE79" ca="1">EntericMethane_PastureBeef_Equations.VEERG_3_2_1_1__3_FeedIntakeForGrazingBeef(AE47,AE63,AG31)</f>
        <v>#N/A</v>
      </c>
      <c r="AF79" s="15" t="e" cm="1">
        <f t="array" aca="1" ref="AF79" ca="1">EntericMethane_PastureBeef_Equations.VEERG_3_2_1_1__3_FeedIntakeForGrazingBeef(AF47,AF63,AH31)</f>
        <v>#N/A</v>
      </c>
      <c r="AG79" s="15" t="e" cm="1">
        <f t="array" aca="1" ref="AG79" ca="1">EntericMethane_PastureBeef_Equations.VEERG_3_2_1_1__3_FeedIntakeForGrazingBeef(AG47,AG63,AI31)</f>
        <v>#N/A</v>
      </c>
      <c r="AH79" s="16" t="str">
        <f t="shared" si="2"/>
        <v>kg DM/head/day</v>
      </c>
      <c r="AI79" s="16"/>
      <c r="AJ79" s="16"/>
    </row>
    <row r="80" spans="4:36" ht="20" customHeight="1" x14ac:dyDescent="0.25">
      <c r="W80" s="15" t="str">
        <f>TEXT(EDATE(X_Cell_Site_StartDate,4), "mmmm")</f>
        <v>April</v>
      </c>
      <c r="X80" s="15" t="e" cm="1">
        <f t="array" aca="1" ref="X80" ca="1">EntericMethane_PastureBeef_Equations.VEERG_3_2_1_1__3_FeedIntakeForGrazingBeef(X48,X64,Z32)</f>
        <v>#N/A</v>
      </c>
      <c r="Y80" s="15" t="e" cm="1">
        <f t="array" aca="1" ref="Y80" ca="1">EntericMethane_PastureBeef_Equations.VEERG_3_2_1_1__3_FeedIntakeForGrazingBeef(Y48,Y64,AA32)</f>
        <v>#N/A</v>
      </c>
      <c r="Z80" s="15" t="e" cm="1">
        <f t="array" aca="1" ref="Z80" ca="1">EntericMethane_PastureBeef_Equations.VEERG_3_2_1_1__3_FeedIntakeForGrazingBeef(Z48,Z64,AB32)</f>
        <v>#N/A</v>
      </c>
      <c r="AA80" s="15" t="e" cm="1">
        <f t="array" aca="1" ref="AA80" ca="1">EntericMethane_PastureBeef_Equations.VEERG_3_2_1_1__3_FeedIntakeForGrazingBeef(AA48,AA64,AC32)</f>
        <v>#N/A</v>
      </c>
      <c r="AB80" s="15" t="e" cm="1">
        <f t="array" aca="1" ref="AB80" ca="1">EntericMethane_PastureBeef_Equations.VEERG_3_2_1_1__3_FeedIntakeForGrazingBeef(AB48,AB64,AD32)</f>
        <v>#N/A</v>
      </c>
      <c r="AC80" s="15" t="e" cm="1">
        <f t="array" aca="1" ref="AC80" ca="1">EntericMethane_PastureBeef_Equations.VEERG_3_2_1_1__3_FeedIntakeForGrazingBeef(AC48,AC64,AE32)</f>
        <v>#N/A</v>
      </c>
      <c r="AD80" s="15" t="e" cm="1">
        <f t="array" aca="1" ref="AD80" ca="1">EntericMethane_PastureBeef_Equations.VEERG_3_2_1_1__3_FeedIntakeForGrazingBeef(AD48,AD64,AF32)</f>
        <v>#N/A</v>
      </c>
      <c r="AE80" s="15" t="e" cm="1">
        <f t="array" aca="1" ref="AE80" ca="1">EntericMethane_PastureBeef_Equations.VEERG_3_2_1_1__3_FeedIntakeForGrazingBeef(AE48,AE64,AG32)</f>
        <v>#N/A</v>
      </c>
      <c r="AF80" s="15" t="e" cm="1">
        <f t="array" aca="1" ref="AF80" ca="1">EntericMethane_PastureBeef_Equations.VEERG_3_2_1_1__3_FeedIntakeForGrazingBeef(AF48,AF64,AH32)</f>
        <v>#N/A</v>
      </c>
      <c r="AG80" s="15" t="e" cm="1">
        <f t="array" aca="1" ref="AG80" ca="1">EntericMethane_PastureBeef_Equations.VEERG_3_2_1_1__3_FeedIntakeForGrazingBeef(AG48,AG64,AI32)</f>
        <v>#N/A</v>
      </c>
      <c r="AH80" s="16" t="str">
        <f t="shared" si="2"/>
        <v>kg DM/head/day</v>
      </c>
    </row>
    <row r="81" spans="4:36" ht="20" customHeight="1" x14ac:dyDescent="0.25">
      <c r="D81" s="112" t="s">
        <v>399</v>
      </c>
      <c r="W81" s="15" t="str">
        <f>TEXT(EDATE(X_Cell_Site_StartDate,5), "mmmm")</f>
        <v>May</v>
      </c>
      <c r="X81" s="15" t="e" cm="1">
        <f t="array" aca="1" ref="X81" ca="1">EntericMethane_PastureBeef_Equations.VEERG_3_2_1_1__3_FeedIntakeForGrazingBeef(X49,X65,Z33)</f>
        <v>#N/A</v>
      </c>
      <c r="Y81" s="15" t="e" cm="1">
        <f t="array" aca="1" ref="Y81" ca="1">EntericMethane_PastureBeef_Equations.VEERG_3_2_1_1__3_FeedIntakeForGrazingBeef(Y49,Y65,AA33)</f>
        <v>#N/A</v>
      </c>
      <c r="Z81" s="15" t="e" cm="1">
        <f t="array" aca="1" ref="Z81" ca="1">EntericMethane_PastureBeef_Equations.VEERG_3_2_1_1__3_FeedIntakeForGrazingBeef(Z49,Z65,AB33)</f>
        <v>#N/A</v>
      </c>
      <c r="AA81" s="15" t="e" cm="1">
        <f t="array" aca="1" ref="AA81" ca="1">EntericMethane_PastureBeef_Equations.VEERG_3_2_1_1__3_FeedIntakeForGrazingBeef(AA49,AA65,AC33)</f>
        <v>#N/A</v>
      </c>
      <c r="AB81" s="15" t="e" cm="1">
        <f t="array" aca="1" ref="AB81" ca="1">EntericMethane_PastureBeef_Equations.VEERG_3_2_1_1__3_FeedIntakeForGrazingBeef(AB49,AB65,AD33)</f>
        <v>#N/A</v>
      </c>
      <c r="AC81" s="15" t="e" cm="1">
        <f t="array" aca="1" ref="AC81" ca="1">EntericMethane_PastureBeef_Equations.VEERG_3_2_1_1__3_FeedIntakeForGrazingBeef(AC49,AC65,AE33)</f>
        <v>#N/A</v>
      </c>
      <c r="AD81" s="15" t="e" cm="1">
        <f t="array" aca="1" ref="AD81" ca="1">EntericMethane_PastureBeef_Equations.VEERG_3_2_1_1__3_FeedIntakeForGrazingBeef(AD49,AD65,AF33)</f>
        <v>#N/A</v>
      </c>
      <c r="AE81" s="15" t="e" cm="1">
        <f t="array" aca="1" ref="AE81" ca="1">EntericMethane_PastureBeef_Equations.VEERG_3_2_1_1__3_FeedIntakeForGrazingBeef(AE49,AE65,AG33)</f>
        <v>#N/A</v>
      </c>
      <c r="AF81" s="15" t="e" cm="1">
        <f t="array" aca="1" ref="AF81" ca="1">EntericMethane_PastureBeef_Equations.VEERG_3_2_1_1__3_FeedIntakeForGrazingBeef(AF49,AF65,AH33)</f>
        <v>#N/A</v>
      </c>
      <c r="AG81" s="15" t="e" cm="1">
        <f t="array" aca="1" ref="AG81" ca="1">EntericMethane_PastureBeef_Equations.VEERG_3_2_1_1__3_FeedIntakeForGrazingBeef(AG49,AG65,AI33)</f>
        <v>#N/A</v>
      </c>
      <c r="AH81" s="16" t="str">
        <f t="shared" si="2"/>
        <v>kg DM/head/day</v>
      </c>
    </row>
    <row r="82" spans="4:36" ht="20" customHeight="1" x14ac:dyDescent="0.25">
      <c r="D82" s="113" t="s">
        <v>400</v>
      </c>
      <c r="W82" s="15" t="str">
        <f>TEXT(EDATE(X_Cell_Site_StartDate,6), "mmmm")</f>
        <v>June</v>
      </c>
      <c r="X82" s="15" t="e" cm="1">
        <f t="array" aca="1" ref="X82" ca="1">EntericMethane_PastureBeef_Equations.VEERG_3_2_1_1__3_FeedIntakeForGrazingBeef(X50,X66,Z34)</f>
        <v>#N/A</v>
      </c>
      <c r="Y82" s="15" t="e" cm="1">
        <f t="array" aca="1" ref="Y82" ca="1">EntericMethane_PastureBeef_Equations.VEERG_3_2_1_1__3_FeedIntakeForGrazingBeef(Y50,Y66,AA34)</f>
        <v>#N/A</v>
      </c>
      <c r="Z82" s="15" t="e" cm="1">
        <f t="array" aca="1" ref="Z82" ca="1">EntericMethane_PastureBeef_Equations.VEERG_3_2_1_1__3_FeedIntakeForGrazingBeef(Z50,Z66,AB34)</f>
        <v>#N/A</v>
      </c>
      <c r="AA82" s="15" t="e" cm="1">
        <f t="array" aca="1" ref="AA82" ca="1">EntericMethane_PastureBeef_Equations.VEERG_3_2_1_1__3_FeedIntakeForGrazingBeef(AA50,AA66,AC34)</f>
        <v>#N/A</v>
      </c>
      <c r="AB82" s="15" t="e" cm="1">
        <f t="array" aca="1" ref="AB82" ca="1">EntericMethane_PastureBeef_Equations.VEERG_3_2_1_1__3_FeedIntakeForGrazingBeef(AB50,AB66,AD34)</f>
        <v>#N/A</v>
      </c>
      <c r="AC82" s="15" t="e" cm="1">
        <f t="array" aca="1" ref="AC82" ca="1">EntericMethane_PastureBeef_Equations.VEERG_3_2_1_1__3_FeedIntakeForGrazingBeef(AC50,AC66,AE34)</f>
        <v>#N/A</v>
      </c>
      <c r="AD82" s="15" t="e" cm="1">
        <f t="array" aca="1" ref="AD82" ca="1">EntericMethane_PastureBeef_Equations.VEERG_3_2_1_1__3_FeedIntakeForGrazingBeef(AD50,AD66,AF34)</f>
        <v>#N/A</v>
      </c>
      <c r="AE82" s="15" t="e" cm="1">
        <f t="array" aca="1" ref="AE82" ca="1">EntericMethane_PastureBeef_Equations.VEERG_3_2_1_1__3_FeedIntakeForGrazingBeef(AE50,AE66,AG34)</f>
        <v>#N/A</v>
      </c>
      <c r="AF82" s="15" t="e" cm="1">
        <f t="array" aca="1" ref="AF82" ca="1">EntericMethane_PastureBeef_Equations.VEERG_3_2_1_1__3_FeedIntakeForGrazingBeef(AF50,AF66,AH34)</f>
        <v>#N/A</v>
      </c>
      <c r="AG82" s="15" t="e" cm="1">
        <f t="array" aca="1" ref="AG82" ca="1">EntericMethane_PastureBeef_Equations.VEERG_3_2_1_1__3_FeedIntakeForGrazingBeef(AG50,AG66,AI34)</f>
        <v>#N/A</v>
      </c>
      <c r="AH82" s="16" t="str">
        <f t="shared" si="2"/>
        <v>kg DM/head/day</v>
      </c>
    </row>
    <row r="83" spans="4:36" ht="20" customHeight="1" x14ac:dyDescent="0.25">
      <c r="D83" s="114" t="s">
        <v>76</v>
      </c>
      <c r="E83" s="114" t="s">
        <v>326</v>
      </c>
      <c r="F83" s="114" t="s">
        <v>184</v>
      </c>
      <c r="G83" s="114" t="s">
        <v>327</v>
      </c>
      <c r="H83" s="114" t="s">
        <v>328</v>
      </c>
      <c r="I83" s="114" t="s">
        <v>329</v>
      </c>
      <c r="J83" s="114" t="s">
        <v>330</v>
      </c>
      <c r="K83" s="114" t="s">
        <v>331</v>
      </c>
      <c r="L83" s="114" t="s">
        <v>332</v>
      </c>
      <c r="M83" s="114" t="s">
        <v>333</v>
      </c>
      <c r="N83" s="114" t="s">
        <v>334</v>
      </c>
      <c r="W83" s="15" t="str">
        <f>TEXT(EDATE(X_Cell_Site_StartDate,7), "mmmm")</f>
        <v>July</v>
      </c>
      <c r="X83" s="15" t="e" cm="1">
        <f t="array" aca="1" ref="X83" ca="1">EntericMethane_PastureBeef_Equations.VEERG_3_2_1_1__3_FeedIntakeForGrazingBeef(X51,X67,Z35)</f>
        <v>#N/A</v>
      </c>
      <c r="Y83" s="15" t="e" cm="1">
        <f t="array" aca="1" ref="Y83" ca="1">EntericMethane_PastureBeef_Equations.VEERG_3_2_1_1__3_FeedIntakeForGrazingBeef(Y51,Y67,AA35)</f>
        <v>#N/A</v>
      </c>
      <c r="Z83" s="15" t="e" cm="1">
        <f t="array" aca="1" ref="Z83" ca="1">EntericMethane_PastureBeef_Equations.VEERG_3_2_1_1__3_FeedIntakeForGrazingBeef(Z51,Z67,AB35)</f>
        <v>#N/A</v>
      </c>
      <c r="AA83" s="15" t="e" cm="1">
        <f t="array" aca="1" ref="AA83" ca="1">EntericMethane_PastureBeef_Equations.VEERG_3_2_1_1__3_FeedIntakeForGrazingBeef(AA51,AA67,AC35)</f>
        <v>#N/A</v>
      </c>
      <c r="AB83" s="15" t="e" cm="1">
        <f t="array" aca="1" ref="AB83" ca="1">EntericMethane_PastureBeef_Equations.VEERG_3_2_1_1__3_FeedIntakeForGrazingBeef(AB51,AB67,AD35)</f>
        <v>#N/A</v>
      </c>
      <c r="AC83" s="15" t="e" cm="1">
        <f t="array" aca="1" ref="AC83" ca="1">EntericMethane_PastureBeef_Equations.VEERG_3_2_1_1__3_FeedIntakeForGrazingBeef(AC51,AC67,AE35)</f>
        <v>#N/A</v>
      </c>
      <c r="AD83" s="15" t="e" cm="1">
        <f t="array" aca="1" ref="AD83" ca="1">EntericMethane_PastureBeef_Equations.VEERG_3_2_1_1__3_FeedIntakeForGrazingBeef(AD51,AD67,AF35)</f>
        <v>#N/A</v>
      </c>
      <c r="AE83" s="15" t="e" cm="1">
        <f t="array" aca="1" ref="AE83" ca="1">EntericMethane_PastureBeef_Equations.VEERG_3_2_1_1__3_FeedIntakeForGrazingBeef(AE51,AE67,AG35)</f>
        <v>#N/A</v>
      </c>
      <c r="AF83" s="15" t="e" cm="1">
        <f t="array" aca="1" ref="AF83" ca="1">EntericMethane_PastureBeef_Equations.VEERG_3_2_1_1__3_FeedIntakeForGrazingBeef(AF51,AF67,AH35)</f>
        <v>#N/A</v>
      </c>
      <c r="AG83" s="15" t="e" cm="1">
        <f t="array" aca="1" ref="AG83" ca="1">EntericMethane_PastureBeef_Equations.VEERG_3_2_1_1__3_FeedIntakeForGrazingBeef(AG51,AG67,AI35)</f>
        <v>#N/A</v>
      </c>
      <c r="AH83" s="16" t="str">
        <f t="shared" si="2"/>
        <v>kg DM/head/day</v>
      </c>
    </row>
    <row r="84" spans="4:36" ht="20" customHeight="1" x14ac:dyDescent="0.25">
      <c r="D84" s="15" t="s">
        <v>335</v>
      </c>
      <c r="E84" s="15" t="e" cm="1">
        <f t="array" aca="1" ref="E84" ca="1">EntericMethane_PastureBeef_Equations.VEERG_3_2_1_1__3_FeedIntakeForGrazingBeef(E52,E68,I30)</f>
        <v>#N/A</v>
      </c>
      <c r="F84" s="15" t="e" cm="1">
        <f t="array" aca="1" ref="F84" ca="1">EntericMethane_PastureBeef_Equations.VEERG_3_2_1_1__3_FeedIntakeForGrazingBeef(F52,F68,J30)</f>
        <v>#N/A</v>
      </c>
      <c r="G84" s="15" t="e" cm="1">
        <f t="array" aca="1" ref="G84" ca="1">EntericMethane_PastureBeef_Equations.VEERG_3_2_1_1__3_FeedIntakeForGrazingBeef(G52,G68,K30)</f>
        <v>#N/A</v>
      </c>
      <c r="H84" s="15" t="e" cm="1">
        <f t="array" aca="1" ref="H84" ca="1">EntericMethane_PastureBeef_Equations.VEERG_3_2_1_1__3_FeedIntakeForGrazingBeef(H52,H68,L30)</f>
        <v>#N/A</v>
      </c>
      <c r="I84" s="15" t="e" cm="1">
        <f t="array" aca="1" ref="I84" ca="1">EntericMethane_PastureBeef_Equations.VEERG_3_2_1_1__3_FeedIntakeForGrazingBeef(I52,I68,M30)</f>
        <v>#N/A</v>
      </c>
      <c r="J84" s="15" t="e" cm="1">
        <f t="array" aca="1" ref="J84" ca="1">EntericMethane_PastureBeef_Equations.VEERG_3_2_1_1__3_FeedIntakeForGrazingBeef(J52,J68,N30)</f>
        <v>#N/A</v>
      </c>
      <c r="K84" s="15" t="e" cm="1">
        <f t="array" aca="1" ref="K84" ca="1">EntericMethane_PastureBeef_Equations.VEERG_3_2_1_1__3_FeedIntakeForGrazingBeef(K52,K68,O30)</f>
        <v>#N/A</v>
      </c>
      <c r="L84" s="15" t="e" cm="1">
        <f t="array" aca="1" ref="L84" ca="1">EntericMethane_PastureBeef_Equations.VEERG_3_2_1_1__3_FeedIntakeForGrazingBeef(L52,L68,P30)</f>
        <v>#N/A</v>
      </c>
      <c r="M84" s="15" t="e" cm="1">
        <f t="array" aca="1" ref="M84" ca="1">EntericMethane_PastureBeef_Equations.VEERG_3_2_1_1__3_FeedIntakeForGrazingBeef(M52,M68,Q30)</f>
        <v>#N/A</v>
      </c>
      <c r="N84" s="15" t="e" cm="1">
        <f t="array" aca="1" ref="N84" ca="1">EntericMethane_PastureBeef_Equations.VEERG_3_2_1_1__3_FeedIntakeForGrazingBeef(N52,N68,R30)</f>
        <v>#N/A</v>
      </c>
      <c r="O84" s="16" t="str">
        <f>$E$43</f>
        <v>kg DM/head/day</v>
      </c>
      <c r="P84" s="16"/>
      <c r="Q84" s="16"/>
      <c r="R84" s="16"/>
      <c r="S84" s="16"/>
      <c r="W84" s="15" t="str">
        <f>TEXT(EDATE(X_Cell_Site_StartDate,8), "mmmm")</f>
        <v>August</v>
      </c>
      <c r="X84" s="15" t="e" cm="1">
        <f t="array" aca="1" ref="X84" ca="1">EntericMethane_PastureBeef_Equations.VEERG_3_2_1_1__3_FeedIntakeForGrazingBeef(X52,X68,Z36)</f>
        <v>#N/A</v>
      </c>
      <c r="Y84" s="15" t="e" cm="1">
        <f t="array" aca="1" ref="Y84" ca="1">EntericMethane_PastureBeef_Equations.VEERG_3_2_1_1__3_FeedIntakeForGrazingBeef(Y52,Y68,AA36)</f>
        <v>#N/A</v>
      </c>
      <c r="Z84" s="15" t="e" cm="1">
        <f t="array" aca="1" ref="Z84" ca="1">EntericMethane_PastureBeef_Equations.VEERG_3_2_1_1__3_FeedIntakeForGrazingBeef(Z52,Z68,AB36)</f>
        <v>#N/A</v>
      </c>
      <c r="AA84" s="15" t="e" cm="1">
        <f t="array" aca="1" ref="AA84" ca="1">EntericMethane_PastureBeef_Equations.VEERG_3_2_1_1__3_FeedIntakeForGrazingBeef(AA52,AA68,AC36)</f>
        <v>#N/A</v>
      </c>
      <c r="AB84" s="15" t="e" cm="1">
        <f t="array" aca="1" ref="AB84" ca="1">EntericMethane_PastureBeef_Equations.VEERG_3_2_1_1__3_FeedIntakeForGrazingBeef(AB52,AB68,AD36)</f>
        <v>#N/A</v>
      </c>
      <c r="AC84" s="15" t="e" cm="1">
        <f t="array" aca="1" ref="AC84" ca="1">EntericMethane_PastureBeef_Equations.VEERG_3_2_1_1__3_FeedIntakeForGrazingBeef(AC52,AC68,AE36)</f>
        <v>#N/A</v>
      </c>
      <c r="AD84" s="15" t="e" cm="1">
        <f t="array" aca="1" ref="AD84" ca="1">EntericMethane_PastureBeef_Equations.VEERG_3_2_1_1__3_FeedIntakeForGrazingBeef(AD52,AD68,AF36)</f>
        <v>#N/A</v>
      </c>
      <c r="AE84" s="15" t="e" cm="1">
        <f t="array" aca="1" ref="AE84" ca="1">EntericMethane_PastureBeef_Equations.VEERG_3_2_1_1__3_FeedIntakeForGrazingBeef(AE52,AE68,AG36)</f>
        <v>#N/A</v>
      </c>
      <c r="AF84" s="15" t="e" cm="1">
        <f t="array" aca="1" ref="AF84" ca="1">EntericMethane_PastureBeef_Equations.VEERG_3_2_1_1__3_FeedIntakeForGrazingBeef(AF52,AF68,AH36)</f>
        <v>#N/A</v>
      </c>
      <c r="AG84" s="15" t="e" cm="1">
        <f t="array" aca="1" ref="AG84" ca="1">EntericMethane_PastureBeef_Equations.VEERG_3_2_1_1__3_FeedIntakeForGrazingBeef(AG52,AG68,AI36)</f>
        <v>#N/A</v>
      </c>
      <c r="AH84" s="16" t="str">
        <f t="shared" si="2"/>
        <v>kg DM/head/day</v>
      </c>
      <c r="AI84" s="16"/>
      <c r="AJ84" s="16"/>
    </row>
    <row r="85" spans="4:36" ht="20" customHeight="1" x14ac:dyDescent="0.25">
      <c r="D85" s="15" t="s">
        <v>336</v>
      </c>
      <c r="E85" s="15" t="e" cm="1">
        <f t="array" aca="1" ref="E85" ca="1">EntericMethane_PastureBeef_Equations.VEERG_3_2_1_1__3_FeedIntakeForGrazingBeef(E53,E69,I31)</f>
        <v>#N/A</v>
      </c>
      <c r="F85" s="15" t="e" cm="1">
        <f t="array" aca="1" ref="F85" ca="1">EntericMethane_PastureBeef_Equations.VEERG_3_2_1_1__3_FeedIntakeForGrazingBeef(F53,F69,J31)</f>
        <v>#N/A</v>
      </c>
      <c r="G85" s="15" t="e" cm="1">
        <f t="array" aca="1" ref="G85" ca="1">EntericMethane_PastureBeef_Equations.VEERG_3_2_1_1__3_FeedIntakeForGrazingBeef(G53,G69,K31)</f>
        <v>#N/A</v>
      </c>
      <c r="H85" s="15" t="e" cm="1">
        <f t="array" aca="1" ref="H85" ca="1">EntericMethane_PastureBeef_Equations.VEERG_3_2_1_1__3_FeedIntakeForGrazingBeef(H53,H69,L31)</f>
        <v>#N/A</v>
      </c>
      <c r="I85" s="15" t="e" cm="1">
        <f t="array" aca="1" ref="I85" ca="1">EntericMethane_PastureBeef_Equations.VEERG_3_2_1_1__3_FeedIntakeForGrazingBeef(I53,I69,M31)</f>
        <v>#N/A</v>
      </c>
      <c r="J85" s="15" t="e" cm="1">
        <f t="array" aca="1" ref="J85" ca="1">EntericMethane_PastureBeef_Equations.VEERG_3_2_1_1__3_FeedIntakeForGrazingBeef(J53,J69,N31)</f>
        <v>#N/A</v>
      </c>
      <c r="K85" s="15" t="e" cm="1">
        <f t="array" aca="1" ref="K85" ca="1">EntericMethane_PastureBeef_Equations.VEERG_3_2_1_1__3_FeedIntakeForGrazingBeef(K53,K69,O31)</f>
        <v>#N/A</v>
      </c>
      <c r="L85" s="15" t="e" cm="1">
        <f t="array" aca="1" ref="L85" ca="1">EntericMethane_PastureBeef_Equations.VEERG_3_2_1_1__3_FeedIntakeForGrazingBeef(L53,L69,P31)</f>
        <v>#N/A</v>
      </c>
      <c r="M85" s="15" t="e" cm="1">
        <f t="array" aca="1" ref="M85" ca="1">EntericMethane_PastureBeef_Equations.VEERG_3_2_1_1__3_FeedIntakeForGrazingBeef(M53,M69,Q31)</f>
        <v>#N/A</v>
      </c>
      <c r="N85" s="15" t="e" cm="1">
        <f t="array" aca="1" ref="N85" ca="1">EntericMethane_PastureBeef_Equations.VEERG_3_2_1_1__3_FeedIntakeForGrazingBeef(N53,N69,R31)</f>
        <v>#N/A</v>
      </c>
      <c r="O85" s="16" t="str">
        <f>$E$43</f>
        <v>kg DM/head/day</v>
      </c>
      <c r="P85" s="16"/>
      <c r="Q85" s="16"/>
      <c r="R85" s="16"/>
      <c r="S85" s="16"/>
      <c r="W85" s="15" t="str">
        <f>TEXT(EDATE(X_Cell_Site_StartDate,9), "mmmm")</f>
        <v>September</v>
      </c>
      <c r="X85" s="15" t="e" cm="1">
        <f t="array" aca="1" ref="X85" ca="1">EntericMethane_PastureBeef_Equations.VEERG_3_2_1_1__3_FeedIntakeForGrazingBeef(X53,X69,Z37)</f>
        <v>#N/A</v>
      </c>
      <c r="Y85" s="15" t="e" cm="1">
        <f t="array" aca="1" ref="Y85" ca="1">EntericMethane_PastureBeef_Equations.VEERG_3_2_1_1__3_FeedIntakeForGrazingBeef(Y53,Y69,AA37)</f>
        <v>#N/A</v>
      </c>
      <c r="Z85" s="15" t="e" cm="1">
        <f t="array" aca="1" ref="Z85" ca="1">EntericMethane_PastureBeef_Equations.VEERG_3_2_1_1__3_FeedIntakeForGrazingBeef(Z53,Z69,AB37)</f>
        <v>#N/A</v>
      </c>
      <c r="AA85" s="15" t="e" cm="1">
        <f t="array" aca="1" ref="AA85" ca="1">EntericMethane_PastureBeef_Equations.VEERG_3_2_1_1__3_FeedIntakeForGrazingBeef(AA53,AA69,AC37)</f>
        <v>#N/A</v>
      </c>
      <c r="AB85" s="15" t="e" cm="1">
        <f t="array" aca="1" ref="AB85" ca="1">EntericMethane_PastureBeef_Equations.VEERG_3_2_1_1__3_FeedIntakeForGrazingBeef(AB53,AB69,AD37)</f>
        <v>#N/A</v>
      </c>
      <c r="AC85" s="15" t="e" cm="1">
        <f t="array" aca="1" ref="AC85" ca="1">EntericMethane_PastureBeef_Equations.VEERG_3_2_1_1__3_FeedIntakeForGrazingBeef(AC53,AC69,AE37)</f>
        <v>#N/A</v>
      </c>
      <c r="AD85" s="15" t="e" cm="1">
        <f t="array" aca="1" ref="AD85" ca="1">EntericMethane_PastureBeef_Equations.VEERG_3_2_1_1__3_FeedIntakeForGrazingBeef(AD53,AD69,AF37)</f>
        <v>#N/A</v>
      </c>
      <c r="AE85" s="15" t="e" cm="1">
        <f t="array" aca="1" ref="AE85" ca="1">EntericMethane_PastureBeef_Equations.VEERG_3_2_1_1__3_FeedIntakeForGrazingBeef(AE53,AE69,AG37)</f>
        <v>#N/A</v>
      </c>
      <c r="AF85" s="15" t="e" cm="1">
        <f t="array" aca="1" ref="AF85" ca="1">EntericMethane_PastureBeef_Equations.VEERG_3_2_1_1__3_FeedIntakeForGrazingBeef(AF53,AF69,AH37)</f>
        <v>#N/A</v>
      </c>
      <c r="AG85" s="15" t="e" cm="1">
        <f t="array" aca="1" ref="AG85" ca="1">EntericMethane_PastureBeef_Equations.VEERG_3_2_1_1__3_FeedIntakeForGrazingBeef(AG53,AG69,AI37)</f>
        <v>#N/A</v>
      </c>
      <c r="AH85" s="16" t="str">
        <f t="shared" si="2"/>
        <v>kg DM/head/day</v>
      </c>
      <c r="AI85" s="16"/>
      <c r="AJ85" s="16"/>
    </row>
    <row r="86" spans="4:36" ht="20" customHeight="1" x14ac:dyDescent="0.25">
      <c r="D86" s="15" t="s">
        <v>337</v>
      </c>
      <c r="E86" s="15" t="e" cm="1">
        <f t="array" aca="1" ref="E86" ca="1">EntericMethane_PastureBeef_Equations.VEERG_3_2_1_1__3_FeedIntakeForGrazingBeef(E54,E70,I32)</f>
        <v>#N/A</v>
      </c>
      <c r="F86" s="15" t="e" cm="1">
        <f t="array" aca="1" ref="F86" ca="1">EntericMethane_PastureBeef_Equations.VEERG_3_2_1_1__3_FeedIntakeForGrazingBeef(F54,F70,J32)</f>
        <v>#N/A</v>
      </c>
      <c r="G86" s="15" t="e" cm="1">
        <f t="array" aca="1" ref="G86" ca="1">EntericMethane_PastureBeef_Equations.VEERG_3_2_1_1__3_FeedIntakeForGrazingBeef(G54,G70,K32)</f>
        <v>#N/A</v>
      </c>
      <c r="H86" s="15" t="e" cm="1">
        <f t="array" aca="1" ref="H86" ca="1">EntericMethane_PastureBeef_Equations.VEERG_3_2_1_1__3_FeedIntakeForGrazingBeef(H54,H70,L32)</f>
        <v>#N/A</v>
      </c>
      <c r="I86" s="15" t="e" cm="1">
        <f t="array" aca="1" ref="I86" ca="1">EntericMethane_PastureBeef_Equations.VEERG_3_2_1_1__3_FeedIntakeForGrazingBeef(I54,I70,M32)</f>
        <v>#N/A</v>
      </c>
      <c r="J86" s="15" t="e" cm="1">
        <f t="array" aca="1" ref="J86" ca="1">EntericMethane_PastureBeef_Equations.VEERG_3_2_1_1__3_FeedIntakeForGrazingBeef(J54,J70,N32)</f>
        <v>#N/A</v>
      </c>
      <c r="K86" s="15" t="e" cm="1">
        <f t="array" aca="1" ref="K86" ca="1">EntericMethane_PastureBeef_Equations.VEERG_3_2_1_1__3_FeedIntakeForGrazingBeef(K54,K70,O32)</f>
        <v>#N/A</v>
      </c>
      <c r="L86" s="15" t="e" cm="1">
        <f t="array" aca="1" ref="L86" ca="1">EntericMethane_PastureBeef_Equations.VEERG_3_2_1_1__3_FeedIntakeForGrazingBeef(L54,L70,P32)</f>
        <v>#N/A</v>
      </c>
      <c r="M86" s="15" t="e" cm="1">
        <f t="array" aca="1" ref="M86" ca="1">EntericMethane_PastureBeef_Equations.VEERG_3_2_1_1__3_FeedIntakeForGrazingBeef(M54,M70,Q32)</f>
        <v>#N/A</v>
      </c>
      <c r="N86" s="15" t="e" cm="1">
        <f t="array" aca="1" ref="N86" ca="1">EntericMethane_PastureBeef_Equations.VEERG_3_2_1_1__3_FeedIntakeForGrazingBeef(N54,N70,R32)</f>
        <v>#N/A</v>
      </c>
      <c r="O86" s="16" t="str">
        <f>$E$43</f>
        <v>kg DM/head/day</v>
      </c>
      <c r="P86" s="16"/>
      <c r="Q86" s="16"/>
      <c r="R86" s="16"/>
      <c r="S86" s="16"/>
      <c r="W86" s="15" t="str">
        <f>TEXT(EDATE(X_Cell_Site_StartDate,10), "mmmm")</f>
        <v>October</v>
      </c>
      <c r="X86" s="15" t="e" cm="1">
        <f t="array" aca="1" ref="X86" ca="1">EntericMethane_PastureBeef_Equations.VEERG_3_2_1_1__3_FeedIntakeForGrazingBeef(X54,X70,Z38)</f>
        <v>#N/A</v>
      </c>
      <c r="Y86" s="15" t="e" cm="1">
        <f t="array" aca="1" ref="Y86" ca="1">EntericMethane_PastureBeef_Equations.VEERG_3_2_1_1__3_FeedIntakeForGrazingBeef(Y54,Y70,AA38)</f>
        <v>#N/A</v>
      </c>
      <c r="Z86" s="15" t="e" cm="1">
        <f t="array" aca="1" ref="Z86" ca="1">EntericMethane_PastureBeef_Equations.VEERG_3_2_1_1__3_FeedIntakeForGrazingBeef(Z54,Z70,AB38)</f>
        <v>#N/A</v>
      </c>
      <c r="AA86" s="15" t="e" cm="1">
        <f t="array" aca="1" ref="AA86" ca="1">EntericMethane_PastureBeef_Equations.VEERG_3_2_1_1__3_FeedIntakeForGrazingBeef(AA54,AA70,AC38)</f>
        <v>#N/A</v>
      </c>
      <c r="AB86" s="15" t="e" cm="1">
        <f t="array" aca="1" ref="AB86" ca="1">EntericMethane_PastureBeef_Equations.VEERG_3_2_1_1__3_FeedIntakeForGrazingBeef(AB54,AB70,AD38)</f>
        <v>#N/A</v>
      </c>
      <c r="AC86" s="15" t="e" cm="1">
        <f t="array" aca="1" ref="AC86" ca="1">EntericMethane_PastureBeef_Equations.VEERG_3_2_1_1__3_FeedIntakeForGrazingBeef(AC54,AC70,AE38)</f>
        <v>#N/A</v>
      </c>
      <c r="AD86" s="15" t="e" cm="1">
        <f t="array" aca="1" ref="AD86" ca="1">EntericMethane_PastureBeef_Equations.VEERG_3_2_1_1__3_FeedIntakeForGrazingBeef(AD54,AD70,AF38)</f>
        <v>#N/A</v>
      </c>
      <c r="AE86" s="15" t="e" cm="1">
        <f t="array" aca="1" ref="AE86" ca="1">EntericMethane_PastureBeef_Equations.VEERG_3_2_1_1__3_FeedIntakeForGrazingBeef(AE54,AE70,AG38)</f>
        <v>#N/A</v>
      </c>
      <c r="AF86" s="15" t="e" cm="1">
        <f t="array" aca="1" ref="AF86" ca="1">EntericMethane_PastureBeef_Equations.VEERG_3_2_1_1__3_FeedIntakeForGrazingBeef(AF54,AF70,AH38)</f>
        <v>#N/A</v>
      </c>
      <c r="AG86" s="15" t="e" cm="1">
        <f t="array" aca="1" ref="AG86" ca="1">EntericMethane_PastureBeef_Equations.VEERG_3_2_1_1__3_FeedIntakeForGrazingBeef(AG54,AG70,AI38)</f>
        <v>#N/A</v>
      </c>
      <c r="AH86" s="16" t="str">
        <f t="shared" si="2"/>
        <v>kg DM/head/day</v>
      </c>
      <c r="AI86" s="16"/>
      <c r="AJ86" s="16"/>
    </row>
    <row r="87" spans="4:36" ht="20" customHeight="1" x14ac:dyDescent="0.25">
      <c r="D87" s="15" t="s">
        <v>338</v>
      </c>
      <c r="E87" s="15" t="e" cm="1">
        <f t="array" aca="1" ref="E87" ca="1">EntericMethane_PastureBeef_Equations.VEERG_3_2_1_1__3_FeedIntakeForGrazingBeef(E55,E71,I33)</f>
        <v>#N/A</v>
      </c>
      <c r="F87" s="15" t="e" cm="1">
        <f t="array" aca="1" ref="F87" ca="1">EntericMethane_PastureBeef_Equations.VEERG_3_2_1_1__3_FeedIntakeForGrazingBeef(F55,F71,J33)</f>
        <v>#N/A</v>
      </c>
      <c r="G87" s="15" t="e" cm="1">
        <f t="array" aca="1" ref="G87" ca="1">EntericMethane_PastureBeef_Equations.VEERG_3_2_1_1__3_FeedIntakeForGrazingBeef(G55,G71,K33)</f>
        <v>#N/A</v>
      </c>
      <c r="H87" s="15" t="e" cm="1">
        <f t="array" aca="1" ref="H87" ca="1">EntericMethane_PastureBeef_Equations.VEERG_3_2_1_1__3_FeedIntakeForGrazingBeef(H55,H71,L33)</f>
        <v>#N/A</v>
      </c>
      <c r="I87" s="15" t="e" cm="1">
        <f t="array" aca="1" ref="I87" ca="1">EntericMethane_PastureBeef_Equations.VEERG_3_2_1_1__3_FeedIntakeForGrazingBeef(I55,I71,M33)</f>
        <v>#N/A</v>
      </c>
      <c r="J87" s="15" t="e" cm="1">
        <f t="array" aca="1" ref="J87" ca="1">EntericMethane_PastureBeef_Equations.VEERG_3_2_1_1__3_FeedIntakeForGrazingBeef(J55,J71,N33)</f>
        <v>#N/A</v>
      </c>
      <c r="K87" s="15" t="e" cm="1">
        <f t="array" aca="1" ref="K87" ca="1">EntericMethane_PastureBeef_Equations.VEERG_3_2_1_1__3_FeedIntakeForGrazingBeef(K55,K71,O33)</f>
        <v>#N/A</v>
      </c>
      <c r="L87" s="15" t="e" cm="1">
        <f t="array" aca="1" ref="L87" ca="1">EntericMethane_PastureBeef_Equations.VEERG_3_2_1_1__3_FeedIntakeForGrazingBeef(L55,L71,P33)</f>
        <v>#N/A</v>
      </c>
      <c r="M87" s="15" t="e" cm="1">
        <f t="array" aca="1" ref="M87" ca="1">EntericMethane_PastureBeef_Equations.VEERG_3_2_1_1__3_FeedIntakeForGrazingBeef(M55,M71,Q33)</f>
        <v>#N/A</v>
      </c>
      <c r="N87" s="15" t="e" cm="1">
        <f t="array" aca="1" ref="N87" ca="1">EntericMethane_PastureBeef_Equations.VEERG_3_2_1_1__3_FeedIntakeForGrazingBeef(N55,N71,R33)</f>
        <v>#N/A</v>
      </c>
      <c r="O87" s="16" t="str">
        <f>$E$43</f>
        <v>kg DM/head/day</v>
      </c>
      <c r="P87" s="16"/>
      <c r="Q87" s="16"/>
      <c r="R87" s="16"/>
      <c r="S87" s="16"/>
      <c r="W87" s="15" t="str">
        <f>TEXT(EDATE(X_Cell_Site_StartDate,11), "mmmm")</f>
        <v>November</v>
      </c>
      <c r="X87" s="15" t="e" cm="1">
        <f t="array" aca="1" ref="X87" ca="1">EntericMethane_PastureBeef_Equations.VEERG_3_2_1_1__3_FeedIntakeForGrazingBeef(X55,X71,Z39)</f>
        <v>#N/A</v>
      </c>
      <c r="Y87" s="15" t="e" cm="1">
        <f t="array" aca="1" ref="Y87" ca="1">EntericMethane_PastureBeef_Equations.VEERG_3_2_1_1__3_FeedIntakeForGrazingBeef(Y55,Y71,AA39)</f>
        <v>#N/A</v>
      </c>
      <c r="Z87" s="15" t="e" cm="1">
        <f t="array" aca="1" ref="Z87" ca="1">EntericMethane_PastureBeef_Equations.VEERG_3_2_1_1__3_FeedIntakeForGrazingBeef(Z55,Z71,AB39)</f>
        <v>#N/A</v>
      </c>
      <c r="AA87" s="15" t="e" cm="1">
        <f t="array" aca="1" ref="AA87" ca="1">EntericMethane_PastureBeef_Equations.VEERG_3_2_1_1__3_FeedIntakeForGrazingBeef(AA55,AA71,AC39)</f>
        <v>#N/A</v>
      </c>
      <c r="AB87" s="15" t="e" cm="1">
        <f t="array" aca="1" ref="AB87" ca="1">EntericMethane_PastureBeef_Equations.VEERG_3_2_1_1__3_FeedIntakeForGrazingBeef(AB55,AB71,AD39)</f>
        <v>#N/A</v>
      </c>
      <c r="AC87" s="15" t="e" cm="1">
        <f t="array" aca="1" ref="AC87" ca="1">EntericMethane_PastureBeef_Equations.VEERG_3_2_1_1__3_FeedIntakeForGrazingBeef(AC55,AC71,AE39)</f>
        <v>#N/A</v>
      </c>
      <c r="AD87" s="15" t="e" cm="1">
        <f t="array" aca="1" ref="AD87" ca="1">EntericMethane_PastureBeef_Equations.VEERG_3_2_1_1__3_FeedIntakeForGrazingBeef(AD55,AD71,AF39)</f>
        <v>#N/A</v>
      </c>
      <c r="AE87" s="15" t="e" cm="1">
        <f t="array" aca="1" ref="AE87" ca="1">EntericMethane_PastureBeef_Equations.VEERG_3_2_1_1__3_FeedIntakeForGrazingBeef(AE55,AE71,AG39)</f>
        <v>#N/A</v>
      </c>
      <c r="AF87" s="15" t="e" cm="1">
        <f t="array" aca="1" ref="AF87" ca="1">EntericMethane_PastureBeef_Equations.VEERG_3_2_1_1__3_FeedIntakeForGrazingBeef(AF55,AF71,AH39)</f>
        <v>#N/A</v>
      </c>
      <c r="AG87" s="15" t="e" cm="1">
        <f t="array" aca="1" ref="AG87" ca="1">EntericMethane_PastureBeef_Equations.VEERG_3_2_1_1__3_FeedIntakeForGrazingBeef(AG55,AG71,AI39)</f>
        <v>#N/A</v>
      </c>
      <c r="AH87" s="16" t="str">
        <f t="shared" si="2"/>
        <v>kg DM/head/day</v>
      </c>
      <c r="AI87" s="16"/>
      <c r="AJ87" s="16"/>
    </row>
    <row r="88" spans="4:36" ht="20" customHeight="1" x14ac:dyDescent="0.25">
      <c r="AI88" s="16"/>
      <c r="AJ88" s="16"/>
    </row>
    <row r="89" spans="4:36" ht="20" customHeight="1" x14ac:dyDescent="0.25">
      <c r="AI89" s="16"/>
      <c r="AJ89" s="16"/>
    </row>
    <row r="90" spans="4:36" ht="20" customHeight="1" x14ac:dyDescent="0.25">
      <c r="AI90" s="16"/>
      <c r="AJ90" s="16"/>
    </row>
    <row r="91" spans="4:36" ht="20" customHeight="1" x14ac:dyDescent="0.25">
      <c r="AI91" s="16"/>
      <c r="AJ91" s="16"/>
    </row>
    <row r="92" spans="4:36" ht="20" customHeight="1" x14ac:dyDescent="0.25">
      <c r="AI92" s="16"/>
      <c r="AJ92" s="16"/>
    </row>
    <row r="93" spans="4:36" ht="20" customHeight="1" x14ac:dyDescent="0.25">
      <c r="AI93" s="16"/>
      <c r="AJ93" s="16"/>
    </row>
    <row r="94" spans="4:36" ht="20" customHeight="1" x14ac:dyDescent="0.25">
      <c r="AI94" s="16"/>
      <c r="AJ94" s="16"/>
    </row>
    <row r="95" spans="4:36" ht="20" customHeight="1" x14ac:dyDescent="0.25">
      <c r="AI95" s="16"/>
      <c r="AJ95" s="16"/>
    </row>
    <row r="96" spans="4:36" ht="20" customHeight="1" x14ac:dyDescent="0.25"/>
    <row r="97" spans="3:37" ht="20" customHeight="1" x14ac:dyDescent="0.25"/>
    <row r="98" spans="3:37" ht="20" customHeight="1" x14ac:dyDescent="0.25">
      <c r="C98" s="87"/>
      <c r="D98" s="87"/>
      <c r="E98" s="87"/>
      <c r="F98" s="87"/>
      <c r="G98" s="87"/>
      <c r="H98" s="87"/>
      <c r="I98" s="87"/>
      <c r="J98" s="87"/>
      <c r="K98" s="87"/>
      <c r="L98" s="87"/>
      <c r="M98" s="87"/>
      <c r="N98" s="87"/>
      <c r="O98" s="87"/>
      <c r="P98" s="87"/>
      <c r="Q98" s="87"/>
      <c r="R98" s="87"/>
      <c r="S98" s="87"/>
      <c r="T98" s="87"/>
      <c r="V98" s="87"/>
      <c r="W98" s="87"/>
      <c r="X98" s="87"/>
      <c r="Y98" s="87"/>
      <c r="Z98" s="87"/>
      <c r="AA98" s="87"/>
      <c r="AB98" s="87"/>
      <c r="AC98" s="87"/>
      <c r="AD98" s="87"/>
      <c r="AE98" s="87"/>
      <c r="AF98" s="87"/>
      <c r="AG98" s="87"/>
      <c r="AH98" s="87"/>
      <c r="AI98" s="87"/>
      <c r="AJ98" s="87"/>
      <c r="AK98" s="87"/>
    </row>
    <row r="99" spans="3:37" ht="20" customHeight="1" x14ac:dyDescent="0.25">
      <c r="D99" s="2" t="str" cm="1">
        <f t="array" ref="D99">MMS_PastureBeef_Methane_Equations.VEERG_4_2_1_1__3_VolatileSolidProductionFromGrazingBeef_Title()</f>
        <v>Volatile solid production from grazing beef</v>
      </c>
    </row>
    <row r="100" spans="3:37" ht="20" customHeight="1" x14ac:dyDescent="0.25">
      <c r="D100" s="17" t="str" cm="1">
        <f t="array" ref="D100">MMS_PastureBeef_Methane_Equations.VEERG_4_2_1_1__3_VolatileSolidProductionFromGrazingBeef_Source()</f>
        <v>VEERG 2026: 4.2.1.1, Equation (3)</v>
      </c>
    </row>
    <row r="101" spans="3:37" ht="20" customHeight="1" x14ac:dyDescent="0.25">
      <c r="D101" s="103" t="s">
        <v>372</v>
      </c>
      <c r="E101" s="103" t="str" cm="1">
        <f t="array" aca="1" ref="E101" ca="1">Common_InputFunctions.Utility_DisplayFunctionName($E$131)</f>
        <v>=MMS_PastureBeef_Methane_Equations.VEERG_4_2_1_1__3_VolatileSolidProductionFromGrazingBeef</v>
      </c>
    </row>
    <row r="102" spans="3:37" ht="20" customHeight="1" x14ac:dyDescent="0.25"/>
    <row r="103" spans="3:37" ht="20" customHeight="1" x14ac:dyDescent="0.25"/>
    <row r="104" spans="3:37" ht="20" customHeight="1" x14ac:dyDescent="0.25"/>
    <row r="105" spans="3:37" ht="20" customHeight="1" x14ac:dyDescent="0.25">
      <c r="D105" s="77" t="s">
        <v>374</v>
      </c>
      <c r="E105" s="1" t="str" cm="1">
        <f t="array" ref="E105">MMS_PastureBeef_Methane_Equations.VEERG_4_2_1_1__3_VolatileSolidProductionFromGrazingBeef_Variable()</f>
        <v>VS_jkl</v>
      </c>
    </row>
    <row r="106" spans="3:37" ht="20" customHeight="1" x14ac:dyDescent="0.25">
      <c r="D106" s="77" t="s">
        <v>121</v>
      </c>
      <c r="E106" s="9" t="str" cm="1">
        <f t="array" ref="E106">MMS_PastureBeef_Methane_Equations.VEERG_4_2_1_1__3_VolatileSolidProductionFromGrazingBeef_Unit()</f>
        <v>kg/head/day</v>
      </c>
    </row>
    <row r="107" spans="3:37" ht="20" customHeight="1" x14ac:dyDescent="0.25"/>
    <row r="108" spans="3:37" ht="20" customHeight="1" x14ac:dyDescent="0.25">
      <c r="D108" s="105" t="str" cm="1">
        <f t="array" ref="D108:E110">_xlfn.CHOOSECOLS(MMS_PastureBeef_Methane_Equations.VEERG_4_2_1_1__3_VolatileSolidProductionFromGrazingBeef_Arguments(), 1, 2)</f>
        <v>I_jkl</v>
      </c>
      <c r="E108" s="106" t="str">
        <v>dry matter intake as calculated in Chapter 3 Section 3.2.1</v>
      </c>
      <c r="F108" s="108"/>
      <c r="G108" s="105" t="str" cm="1">
        <f t="array" ref="G108:H110">_xlfn.CHOOSECOLS(MMS_PastureBeef_Methane_Equations.VEERG_4_2_1_1__3_VolatileSolidProductionFromGrazingBeef_Arguments(), 3,4)</f>
        <v>kg/head/day</v>
      </c>
      <c r="H108" s="110" t="str">
        <v>Calculated from 3.2.1.1, (3)</v>
      </c>
      <c r="I108" s="111" t="str" cm="1">
        <f t="array" aca="1" ref="I108" ca="1">HYPERLINK(Common_InputFunctions.Utility_SourceHyperlink($D$81), $D$81)</f>
        <v>M1_Table_I_j_k_l</v>
      </c>
    </row>
    <row r="109" spans="3:37" ht="20" customHeight="1" x14ac:dyDescent="0.25">
      <c r="D109" s="105" t="str">
        <v>DMD_jkl</v>
      </c>
      <c r="E109" s="106" t="str">
        <v>dry matter digestibility expressed as a fraction</v>
      </c>
      <c r="F109" s="108"/>
      <c r="G109" s="105" t="str">
        <v>fraction</v>
      </c>
      <c r="H109" s="109" t="str">
        <v>Input</v>
      </c>
      <c r="I109" s="111" t="str" cm="1">
        <f t="array" aca="1" ref="I109" ca="1">HYPERLINK(Common_InputFunctions.Utility_SourceHyperlink($D$112), $D$112)</f>
        <v>M1_Table_DMD_j_k_l</v>
      </c>
    </row>
    <row r="110" spans="3:37" ht="20" customHeight="1" x14ac:dyDescent="0.25">
      <c r="D110" s="105" t="str">
        <v>A</v>
      </c>
      <c r="E110" s="106" t="str">
        <v>ash content of feed intake expressed as a fraction</v>
      </c>
      <c r="F110" s="108"/>
      <c r="G110" s="105" t="str">
        <v>fraction</v>
      </c>
      <c r="H110" s="110" t="str">
        <v>Constant</v>
      </c>
      <c r="I110" s="105">
        <f>SourceData_PastureBeef_AshContentOfFeedIntake_Data</f>
        <v>0.08</v>
      </c>
    </row>
    <row r="111" spans="3:37" ht="20" customHeight="1" x14ac:dyDescent="0.25"/>
    <row r="112" spans="3:37" ht="20" customHeight="1" x14ac:dyDescent="0.25">
      <c r="D112" s="112" t="s">
        <v>401</v>
      </c>
      <c r="W112" s="112" t="s">
        <v>402</v>
      </c>
    </row>
    <row r="113" spans="4:36" ht="20" customHeight="1" x14ac:dyDescent="0.25">
      <c r="D113" s="113" t="s">
        <v>403</v>
      </c>
      <c r="W113" s="113" t="s">
        <v>404</v>
      </c>
    </row>
    <row r="114" spans="4:36" ht="20" customHeight="1" x14ac:dyDescent="0.25">
      <c r="D114" s="114" t="s">
        <v>76</v>
      </c>
      <c r="E114" s="82" t="s">
        <v>326</v>
      </c>
      <c r="F114" s="82" t="s">
        <v>184</v>
      </c>
      <c r="G114" s="82" t="s">
        <v>327</v>
      </c>
      <c r="H114" s="82" t="s">
        <v>328</v>
      </c>
      <c r="I114" s="82" t="s">
        <v>329</v>
      </c>
      <c r="J114" s="82" t="s">
        <v>330</v>
      </c>
      <c r="K114" s="82" t="s">
        <v>331</v>
      </c>
      <c r="L114" s="82" t="s">
        <v>332</v>
      </c>
      <c r="M114" s="82" t="s">
        <v>333</v>
      </c>
      <c r="N114" s="82" t="s">
        <v>334</v>
      </c>
      <c r="W114" s="114" t="s">
        <v>75</v>
      </c>
      <c r="X114" s="82" t="s">
        <v>326</v>
      </c>
      <c r="Y114" s="82" t="s">
        <v>184</v>
      </c>
      <c r="Z114" s="82" t="s">
        <v>327</v>
      </c>
      <c r="AA114" s="82" t="s">
        <v>328</v>
      </c>
      <c r="AB114" s="82" t="s">
        <v>329</v>
      </c>
      <c r="AC114" s="82" t="s">
        <v>330</v>
      </c>
      <c r="AD114" s="82" t="s">
        <v>331</v>
      </c>
      <c r="AE114" s="82" t="s">
        <v>332</v>
      </c>
      <c r="AF114" s="82" t="s">
        <v>333</v>
      </c>
      <c r="AG114" s="82" t="s">
        <v>334</v>
      </c>
    </row>
    <row r="115" spans="4:36" ht="20" customHeight="1" x14ac:dyDescent="0.25">
      <c r="D115" s="15" t="s">
        <v>335</v>
      </c>
      <c r="E115" s="15" t="e" cm="1">
        <f t="array" aca="1" ref="E115:N118" ca="1">OFFSET(X_Table_PastureBeef_DryMatterDigestibility_Method1, 1,1, 4,10)</f>
        <v>#N/A</v>
      </c>
      <c r="F115" s="15" t="e">
        <f ca="1"/>
        <v>#N/A</v>
      </c>
      <c r="G115" s="15" t="e">
        <f ca="1"/>
        <v>#N/A</v>
      </c>
      <c r="H115" s="15" t="e">
        <f ca="1"/>
        <v>#N/A</v>
      </c>
      <c r="I115" s="15" t="e">
        <f ca="1"/>
        <v>#N/A</v>
      </c>
      <c r="J115" s="15" t="e">
        <f ca="1"/>
        <v>#N/A</v>
      </c>
      <c r="K115" s="15" t="e">
        <f ca="1"/>
        <v>#N/A</v>
      </c>
      <c r="L115" s="15" t="e">
        <f ca="1"/>
        <v>#N/A</v>
      </c>
      <c r="M115" s="15" t="e">
        <f ca="1"/>
        <v>#N/A</v>
      </c>
      <c r="N115" s="15" t="e">
        <f ca="1"/>
        <v>#N/A</v>
      </c>
      <c r="O115" s="16" t="s">
        <v>346</v>
      </c>
      <c r="P115" s="16"/>
      <c r="Q115" s="16"/>
      <c r="R115" s="16"/>
      <c r="S115" s="16"/>
      <c r="W115" s="15" t="str">
        <f>TEXT(X_Cell_Site_StartDate,"mmmm")</f>
        <v>January</v>
      </c>
      <c r="X115" s="15" t="e" cm="1">
        <f t="array" aca="1" ref="X115:AG126" ca="1">OFFSET(X_Table_PastureBeef_DryMatterDigestibility_Method2, 1,1, 12,10)</f>
        <v>#N/A</v>
      </c>
      <c r="Y115" s="15" t="e">
        <f ca="1"/>
        <v>#N/A</v>
      </c>
      <c r="Z115" s="15" t="e">
        <f ca="1"/>
        <v>#N/A</v>
      </c>
      <c r="AA115" s="15" t="e">
        <f ca="1"/>
        <v>#N/A</v>
      </c>
      <c r="AB115" s="15" t="e">
        <f ca="1"/>
        <v>#N/A</v>
      </c>
      <c r="AC115" s="15" t="e">
        <f ca="1"/>
        <v>#N/A</v>
      </c>
      <c r="AD115" s="15" t="e">
        <f ca="1"/>
        <v>#N/A</v>
      </c>
      <c r="AE115" s="15" t="e">
        <f ca="1"/>
        <v>#N/A</v>
      </c>
      <c r="AF115" s="15" t="e">
        <f ca="1"/>
        <v>#N/A</v>
      </c>
      <c r="AG115" s="15" t="e">
        <f ca="1"/>
        <v>#N/A</v>
      </c>
      <c r="AH115" s="16" t="s">
        <v>346</v>
      </c>
      <c r="AI115" s="16"/>
      <c r="AJ115" s="16"/>
    </row>
    <row r="116" spans="4:36" ht="20" customHeight="1" x14ac:dyDescent="0.25">
      <c r="D116" s="15" t="s">
        <v>336</v>
      </c>
      <c r="E116" s="15" t="e">
        <f ca="1"/>
        <v>#N/A</v>
      </c>
      <c r="F116" s="15" t="e">
        <f ca="1"/>
        <v>#N/A</v>
      </c>
      <c r="G116" s="15" t="e">
        <f ca="1"/>
        <v>#N/A</v>
      </c>
      <c r="H116" s="15" t="e">
        <f ca="1"/>
        <v>#N/A</v>
      </c>
      <c r="I116" s="15" t="e">
        <f ca="1"/>
        <v>#N/A</v>
      </c>
      <c r="J116" s="15" t="e">
        <f ca="1"/>
        <v>#N/A</v>
      </c>
      <c r="K116" s="15" t="e">
        <f ca="1"/>
        <v>#N/A</v>
      </c>
      <c r="L116" s="15" t="e">
        <f ca="1"/>
        <v>#N/A</v>
      </c>
      <c r="M116" s="15" t="e">
        <f ca="1"/>
        <v>#N/A</v>
      </c>
      <c r="N116" s="15" t="e">
        <f ca="1"/>
        <v>#N/A</v>
      </c>
      <c r="O116" s="16" t="s">
        <v>346</v>
      </c>
      <c r="P116" s="16"/>
      <c r="Q116" s="16"/>
      <c r="R116" s="16"/>
      <c r="S116" s="16"/>
      <c r="W116" s="15" t="str">
        <f>TEXT(EDATE(X_Cell_Site_StartDate,1), "mmmm")</f>
        <v>January</v>
      </c>
      <c r="X116" s="15" t="e">
        <f ca="1"/>
        <v>#N/A</v>
      </c>
      <c r="Y116" s="15" t="e">
        <f ca="1"/>
        <v>#N/A</v>
      </c>
      <c r="Z116" s="15" t="e">
        <f ca="1"/>
        <v>#N/A</v>
      </c>
      <c r="AA116" s="15" t="e">
        <f ca="1"/>
        <v>#N/A</v>
      </c>
      <c r="AB116" s="15" t="e">
        <f ca="1"/>
        <v>#N/A</v>
      </c>
      <c r="AC116" s="15" t="e">
        <f ca="1"/>
        <v>#N/A</v>
      </c>
      <c r="AD116" s="15" t="e">
        <f ca="1"/>
        <v>#N/A</v>
      </c>
      <c r="AE116" s="15" t="e">
        <f ca="1"/>
        <v>#N/A</v>
      </c>
      <c r="AF116" s="15" t="e">
        <f ca="1"/>
        <v>#N/A</v>
      </c>
      <c r="AG116" s="15" t="e">
        <f ca="1"/>
        <v>#N/A</v>
      </c>
      <c r="AH116" s="16" t="s">
        <v>346</v>
      </c>
      <c r="AI116" s="16"/>
      <c r="AJ116" s="16"/>
    </row>
    <row r="117" spans="4:36" ht="20" customHeight="1" x14ac:dyDescent="0.25">
      <c r="D117" s="15" t="s">
        <v>337</v>
      </c>
      <c r="E117" s="15" t="e">
        <f ca="1"/>
        <v>#N/A</v>
      </c>
      <c r="F117" s="15" t="e">
        <f ca="1"/>
        <v>#N/A</v>
      </c>
      <c r="G117" s="15" t="e">
        <f ca="1"/>
        <v>#N/A</v>
      </c>
      <c r="H117" s="15" t="e">
        <f ca="1"/>
        <v>#N/A</v>
      </c>
      <c r="I117" s="15" t="e">
        <f ca="1"/>
        <v>#N/A</v>
      </c>
      <c r="J117" s="15" t="e">
        <f ca="1"/>
        <v>#N/A</v>
      </c>
      <c r="K117" s="15" t="e">
        <f ca="1"/>
        <v>#N/A</v>
      </c>
      <c r="L117" s="15" t="e">
        <f ca="1"/>
        <v>#N/A</v>
      </c>
      <c r="M117" s="15" t="e">
        <f ca="1"/>
        <v>#N/A</v>
      </c>
      <c r="N117" s="15" t="e">
        <f ca="1"/>
        <v>#N/A</v>
      </c>
      <c r="O117" s="16" t="s">
        <v>346</v>
      </c>
      <c r="P117" s="16"/>
      <c r="Q117" s="16"/>
      <c r="R117" s="16"/>
      <c r="S117" s="16"/>
      <c r="W117" s="15" t="str">
        <f>TEXT(EDATE(X_Cell_Site_StartDate,2), "mmmm")</f>
        <v>February</v>
      </c>
      <c r="X117" s="15" t="e">
        <f ca="1"/>
        <v>#N/A</v>
      </c>
      <c r="Y117" s="15" t="e">
        <f ca="1"/>
        <v>#N/A</v>
      </c>
      <c r="Z117" s="15" t="e">
        <f ca="1"/>
        <v>#N/A</v>
      </c>
      <c r="AA117" s="15" t="e">
        <f ca="1"/>
        <v>#N/A</v>
      </c>
      <c r="AB117" s="15" t="e">
        <f ca="1"/>
        <v>#N/A</v>
      </c>
      <c r="AC117" s="15" t="e">
        <f ca="1"/>
        <v>#N/A</v>
      </c>
      <c r="AD117" s="15" t="e">
        <f ca="1"/>
        <v>#N/A</v>
      </c>
      <c r="AE117" s="15" t="e">
        <f ca="1"/>
        <v>#N/A</v>
      </c>
      <c r="AF117" s="15" t="e">
        <f ca="1"/>
        <v>#N/A</v>
      </c>
      <c r="AG117" s="15" t="e">
        <f ca="1"/>
        <v>#N/A</v>
      </c>
      <c r="AH117" s="16" t="s">
        <v>346</v>
      </c>
      <c r="AI117" s="16"/>
      <c r="AJ117" s="16"/>
    </row>
    <row r="118" spans="4:36" ht="20" customHeight="1" x14ac:dyDescent="0.25">
      <c r="D118" s="15" t="s">
        <v>338</v>
      </c>
      <c r="E118" s="15" t="e">
        <f ca="1"/>
        <v>#N/A</v>
      </c>
      <c r="F118" s="15" t="e">
        <f ca="1"/>
        <v>#N/A</v>
      </c>
      <c r="G118" s="15" t="e">
        <f ca="1"/>
        <v>#N/A</v>
      </c>
      <c r="H118" s="15" t="e">
        <f ca="1"/>
        <v>#N/A</v>
      </c>
      <c r="I118" s="15" t="e">
        <f ca="1"/>
        <v>#N/A</v>
      </c>
      <c r="J118" s="15" t="e">
        <f ca="1"/>
        <v>#N/A</v>
      </c>
      <c r="K118" s="15" t="e">
        <f ca="1"/>
        <v>#N/A</v>
      </c>
      <c r="L118" s="15" t="e">
        <f ca="1"/>
        <v>#N/A</v>
      </c>
      <c r="M118" s="15" t="e">
        <f ca="1"/>
        <v>#N/A</v>
      </c>
      <c r="N118" s="15" t="e">
        <f ca="1"/>
        <v>#N/A</v>
      </c>
      <c r="O118" s="16" t="s">
        <v>346</v>
      </c>
      <c r="P118" s="16"/>
      <c r="Q118" s="16"/>
      <c r="R118" s="16"/>
      <c r="S118" s="16"/>
      <c r="W118" s="15" t="str">
        <f>TEXT(EDATE(X_Cell_Site_StartDate,3), "mmmm")</f>
        <v>March</v>
      </c>
      <c r="X118" s="15" t="e">
        <f ca="1"/>
        <v>#N/A</v>
      </c>
      <c r="Y118" s="15" t="e">
        <f ca="1"/>
        <v>#N/A</v>
      </c>
      <c r="Z118" s="15" t="e">
        <f ca="1"/>
        <v>#N/A</v>
      </c>
      <c r="AA118" s="15" t="e">
        <f ca="1"/>
        <v>#N/A</v>
      </c>
      <c r="AB118" s="15" t="e">
        <f ca="1"/>
        <v>#N/A</v>
      </c>
      <c r="AC118" s="15" t="e">
        <f ca="1"/>
        <v>#N/A</v>
      </c>
      <c r="AD118" s="15" t="e">
        <f ca="1"/>
        <v>#N/A</v>
      </c>
      <c r="AE118" s="15" t="e">
        <f ca="1"/>
        <v>#N/A</v>
      </c>
      <c r="AF118" s="15" t="e">
        <f ca="1"/>
        <v>#N/A</v>
      </c>
      <c r="AG118" s="15" t="e">
        <f ca="1"/>
        <v>#N/A</v>
      </c>
      <c r="AH118" s="16" t="s">
        <v>346</v>
      </c>
      <c r="AI118" s="16"/>
      <c r="AJ118" s="16"/>
    </row>
    <row r="119" spans="4:36" ht="20" customHeight="1" x14ac:dyDescent="0.25">
      <c r="W119" s="15" t="str">
        <f>TEXT(EDATE(X_Cell_Site_StartDate,4), "mmmm")</f>
        <v>April</v>
      </c>
      <c r="X119" s="15" t="e">
        <f ca="1"/>
        <v>#N/A</v>
      </c>
      <c r="Y119" s="15" t="e">
        <f ca="1"/>
        <v>#N/A</v>
      </c>
      <c r="Z119" s="15" t="e">
        <f ca="1"/>
        <v>#N/A</v>
      </c>
      <c r="AA119" s="15" t="e">
        <f ca="1"/>
        <v>#N/A</v>
      </c>
      <c r="AB119" s="15" t="e">
        <f ca="1"/>
        <v>#N/A</v>
      </c>
      <c r="AC119" s="15" t="e">
        <f ca="1"/>
        <v>#N/A</v>
      </c>
      <c r="AD119" s="15" t="e">
        <f ca="1"/>
        <v>#N/A</v>
      </c>
      <c r="AE119" s="15" t="e">
        <f ca="1"/>
        <v>#N/A</v>
      </c>
      <c r="AF119" s="15" t="e">
        <f ca="1"/>
        <v>#N/A</v>
      </c>
      <c r="AG119" s="15" t="e">
        <f ca="1"/>
        <v>#N/A</v>
      </c>
      <c r="AH119" s="16" t="s">
        <v>346</v>
      </c>
      <c r="AI119" s="16"/>
      <c r="AJ119" s="16"/>
    </row>
    <row r="120" spans="4:36" ht="20" customHeight="1" x14ac:dyDescent="0.25">
      <c r="W120" s="15" t="str">
        <f>TEXT(EDATE(X_Cell_Site_StartDate,5), "mmmm")</f>
        <v>May</v>
      </c>
      <c r="X120" s="15" t="e">
        <f ca="1"/>
        <v>#N/A</v>
      </c>
      <c r="Y120" s="15" t="e">
        <f ca="1"/>
        <v>#N/A</v>
      </c>
      <c r="Z120" s="15" t="e">
        <f ca="1"/>
        <v>#N/A</v>
      </c>
      <c r="AA120" s="15" t="e">
        <f ca="1"/>
        <v>#N/A</v>
      </c>
      <c r="AB120" s="15" t="e">
        <f ca="1"/>
        <v>#N/A</v>
      </c>
      <c r="AC120" s="15" t="e">
        <f ca="1"/>
        <v>#N/A</v>
      </c>
      <c r="AD120" s="15" t="e">
        <f ca="1"/>
        <v>#N/A</v>
      </c>
      <c r="AE120" s="15" t="e">
        <f ca="1"/>
        <v>#N/A</v>
      </c>
      <c r="AF120" s="15" t="e">
        <f ca="1"/>
        <v>#N/A</v>
      </c>
      <c r="AG120" s="15" t="e">
        <f ca="1"/>
        <v>#N/A</v>
      </c>
      <c r="AH120" s="16" t="s">
        <v>346</v>
      </c>
      <c r="AI120" s="16"/>
      <c r="AJ120" s="16"/>
    </row>
    <row r="121" spans="4:36" ht="20" customHeight="1" x14ac:dyDescent="0.25">
      <c r="W121" s="15" t="str">
        <f>TEXT(EDATE(X_Cell_Site_StartDate,6), "mmmm")</f>
        <v>June</v>
      </c>
      <c r="X121" s="15" t="e">
        <f ca="1"/>
        <v>#N/A</v>
      </c>
      <c r="Y121" s="15" t="e">
        <f ca="1"/>
        <v>#N/A</v>
      </c>
      <c r="Z121" s="15" t="e">
        <f ca="1"/>
        <v>#N/A</v>
      </c>
      <c r="AA121" s="15" t="e">
        <f ca="1"/>
        <v>#N/A</v>
      </c>
      <c r="AB121" s="15" t="e">
        <f ca="1"/>
        <v>#N/A</v>
      </c>
      <c r="AC121" s="15" t="e">
        <f ca="1"/>
        <v>#N/A</v>
      </c>
      <c r="AD121" s="15" t="e">
        <f ca="1"/>
        <v>#N/A</v>
      </c>
      <c r="AE121" s="15" t="e">
        <f ca="1"/>
        <v>#N/A</v>
      </c>
      <c r="AF121" s="15" t="e">
        <f ca="1"/>
        <v>#N/A</v>
      </c>
      <c r="AG121" s="15" t="e">
        <f ca="1"/>
        <v>#N/A</v>
      </c>
      <c r="AH121" s="16" t="s">
        <v>346</v>
      </c>
      <c r="AI121" s="16"/>
      <c r="AJ121" s="16"/>
    </row>
    <row r="122" spans="4:36" ht="20" customHeight="1" x14ac:dyDescent="0.25">
      <c r="W122" s="15" t="str">
        <f>TEXT(EDATE(X_Cell_Site_StartDate,7), "mmmm")</f>
        <v>July</v>
      </c>
      <c r="X122" s="15" t="e">
        <f ca="1"/>
        <v>#N/A</v>
      </c>
      <c r="Y122" s="15" t="e">
        <f ca="1"/>
        <v>#N/A</v>
      </c>
      <c r="Z122" s="15" t="e">
        <f ca="1"/>
        <v>#N/A</v>
      </c>
      <c r="AA122" s="15" t="e">
        <f ca="1"/>
        <v>#N/A</v>
      </c>
      <c r="AB122" s="15" t="e">
        <f ca="1"/>
        <v>#N/A</v>
      </c>
      <c r="AC122" s="15" t="e">
        <f ca="1"/>
        <v>#N/A</v>
      </c>
      <c r="AD122" s="15" t="e">
        <f ca="1"/>
        <v>#N/A</v>
      </c>
      <c r="AE122" s="15" t="e">
        <f ca="1"/>
        <v>#N/A</v>
      </c>
      <c r="AF122" s="15" t="e">
        <f ca="1"/>
        <v>#N/A</v>
      </c>
      <c r="AG122" s="15" t="e">
        <f ca="1"/>
        <v>#N/A</v>
      </c>
      <c r="AH122" s="16" t="s">
        <v>346</v>
      </c>
      <c r="AI122" s="16"/>
      <c r="AJ122" s="16"/>
    </row>
    <row r="123" spans="4:36" ht="20" customHeight="1" x14ac:dyDescent="0.25">
      <c r="W123" s="15" t="str">
        <f>TEXT(EDATE(X_Cell_Site_StartDate,8), "mmmm")</f>
        <v>August</v>
      </c>
      <c r="X123" s="15" t="e">
        <f ca="1"/>
        <v>#N/A</v>
      </c>
      <c r="Y123" s="15" t="e">
        <f ca="1"/>
        <v>#N/A</v>
      </c>
      <c r="Z123" s="15" t="e">
        <f ca="1"/>
        <v>#N/A</v>
      </c>
      <c r="AA123" s="15" t="e">
        <f ca="1"/>
        <v>#N/A</v>
      </c>
      <c r="AB123" s="15" t="e">
        <f ca="1"/>
        <v>#N/A</v>
      </c>
      <c r="AC123" s="15" t="e">
        <f ca="1"/>
        <v>#N/A</v>
      </c>
      <c r="AD123" s="15" t="e">
        <f ca="1"/>
        <v>#N/A</v>
      </c>
      <c r="AE123" s="15" t="e">
        <f ca="1"/>
        <v>#N/A</v>
      </c>
      <c r="AF123" s="15" t="e">
        <f ca="1"/>
        <v>#N/A</v>
      </c>
      <c r="AG123" s="15" t="e">
        <f ca="1"/>
        <v>#N/A</v>
      </c>
      <c r="AH123" s="16" t="s">
        <v>346</v>
      </c>
      <c r="AI123" s="16"/>
      <c r="AJ123" s="16"/>
    </row>
    <row r="124" spans="4:36" ht="20" customHeight="1" x14ac:dyDescent="0.25">
      <c r="W124" s="15" t="str">
        <f>TEXT(EDATE(X_Cell_Site_StartDate,9), "mmmm")</f>
        <v>September</v>
      </c>
      <c r="X124" s="15" t="e">
        <f ca="1"/>
        <v>#N/A</v>
      </c>
      <c r="Y124" s="15" t="e">
        <f ca="1"/>
        <v>#N/A</v>
      </c>
      <c r="Z124" s="15" t="e">
        <f ca="1"/>
        <v>#N/A</v>
      </c>
      <c r="AA124" s="15" t="e">
        <f ca="1"/>
        <v>#N/A</v>
      </c>
      <c r="AB124" s="15" t="e">
        <f ca="1"/>
        <v>#N/A</v>
      </c>
      <c r="AC124" s="15" t="e">
        <f ca="1"/>
        <v>#N/A</v>
      </c>
      <c r="AD124" s="15" t="e">
        <f ca="1"/>
        <v>#N/A</v>
      </c>
      <c r="AE124" s="15" t="e">
        <f ca="1"/>
        <v>#N/A</v>
      </c>
      <c r="AF124" s="15" t="e">
        <f ca="1"/>
        <v>#N/A</v>
      </c>
      <c r="AG124" s="15" t="e">
        <f ca="1"/>
        <v>#N/A</v>
      </c>
      <c r="AH124" s="16" t="s">
        <v>346</v>
      </c>
      <c r="AI124" s="16"/>
      <c r="AJ124" s="16"/>
    </row>
    <row r="125" spans="4:36" ht="20" customHeight="1" x14ac:dyDescent="0.25">
      <c r="W125" s="15" t="str">
        <f>TEXT(EDATE(X_Cell_Site_StartDate,10), "mmmm")</f>
        <v>October</v>
      </c>
      <c r="X125" s="15" t="e">
        <f ca="1"/>
        <v>#N/A</v>
      </c>
      <c r="Y125" s="15" t="e">
        <f ca="1"/>
        <v>#N/A</v>
      </c>
      <c r="Z125" s="15" t="e">
        <f ca="1"/>
        <v>#N/A</v>
      </c>
      <c r="AA125" s="15" t="e">
        <f ca="1"/>
        <v>#N/A</v>
      </c>
      <c r="AB125" s="15" t="e">
        <f ca="1"/>
        <v>#N/A</v>
      </c>
      <c r="AC125" s="15" t="e">
        <f ca="1"/>
        <v>#N/A</v>
      </c>
      <c r="AD125" s="15" t="e">
        <f ca="1"/>
        <v>#N/A</v>
      </c>
      <c r="AE125" s="15" t="e">
        <f ca="1"/>
        <v>#N/A</v>
      </c>
      <c r="AF125" s="15" t="e">
        <f ca="1"/>
        <v>#N/A</v>
      </c>
      <c r="AG125" s="15" t="e">
        <f ca="1"/>
        <v>#N/A</v>
      </c>
      <c r="AH125" s="16" t="s">
        <v>346</v>
      </c>
      <c r="AI125" s="16"/>
      <c r="AJ125" s="16"/>
    </row>
    <row r="126" spans="4:36" ht="20" customHeight="1" x14ac:dyDescent="0.25">
      <c r="W126" s="15" t="str">
        <f>TEXT(EDATE(X_Cell_Site_StartDate,11), "mmmm")</f>
        <v>November</v>
      </c>
      <c r="X126" s="15" t="e">
        <f ca="1"/>
        <v>#N/A</v>
      </c>
      <c r="Y126" s="15" t="e">
        <f ca="1"/>
        <v>#N/A</v>
      </c>
      <c r="Z126" s="15" t="e">
        <f ca="1"/>
        <v>#N/A</v>
      </c>
      <c r="AA126" s="15" t="e">
        <f ca="1"/>
        <v>#N/A</v>
      </c>
      <c r="AB126" s="15" t="e">
        <f ca="1"/>
        <v>#N/A</v>
      </c>
      <c r="AC126" s="15" t="e">
        <f ca="1"/>
        <v>#N/A</v>
      </c>
      <c r="AD126" s="15" t="e">
        <f ca="1"/>
        <v>#N/A</v>
      </c>
      <c r="AE126" s="15" t="e">
        <f ca="1"/>
        <v>#N/A</v>
      </c>
      <c r="AF126" s="15" t="e">
        <f ca="1"/>
        <v>#N/A</v>
      </c>
      <c r="AG126" s="15" t="e">
        <f ca="1"/>
        <v>#N/A</v>
      </c>
      <c r="AH126" s="16" t="s">
        <v>346</v>
      </c>
      <c r="AI126" s="16"/>
      <c r="AJ126" s="16"/>
    </row>
    <row r="127" spans="4:36" ht="20" customHeight="1" x14ac:dyDescent="0.25"/>
    <row r="128" spans="4:36" ht="20" customHeight="1" x14ac:dyDescent="0.25">
      <c r="D128" s="112" t="s">
        <v>405</v>
      </c>
      <c r="W128" s="112" t="s">
        <v>406</v>
      </c>
    </row>
    <row r="129" spans="4:36" ht="20" customHeight="1" x14ac:dyDescent="0.25">
      <c r="D129" s="113" t="s">
        <v>407</v>
      </c>
      <c r="W129" s="113" t="s">
        <v>408</v>
      </c>
    </row>
    <row r="130" spans="4:36" ht="20" customHeight="1" x14ac:dyDescent="0.25">
      <c r="D130" s="114" t="s">
        <v>76</v>
      </c>
      <c r="E130" s="114" t="s">
        <v>326</v>
      </c>
      <c r="F130" s="114" t="s">
        <v>184</v>
      </c>
      <c r="G130" s="114" t="s">
        <v>327</v>
      </c>
      <c r="H130" s="114" t="s">
        <v>328</v>
      </c>
      <c r="I130" s="114" t="s">
        <v>329</v>
      </c>
      <c r="J130" s="114" t="s">
        <v>330</v>
      </c>
      <c r="K130" s="114" t="s">
        <v>331</v>
      </c>
      <c r="L130" s="114" t="s">
        <v>332</v>
      </c>
      <c r="M130" s="114" t="s">
        <v>333</v>
      </c>
      <c r="N130" s="114" t="s">
        <v>334</v>
      </c>
      <c r="W130" s="114" t="s">
        <v>75</v>
      </c>
      <c r="X130" s="114" t="s">
        <v>326</v>
      </c>
      <c r="Y130" s="114" t="s">
        <v>184</v>
      </c>
      <c r="Z130" s="114" t="s">
        <v>327</v>
      </c>
      <c r="AA130" s="114" t="s">
        <v>328</v>
      </c>
      <c r="AB130" s="114" t="s">
        <v>329</v>
      </c>
      <c r="AC130" s="114" t="s">
        <v>330</v>
      </c>
      <c r="AD130" s="114" t="s">
        <v>331</v>
      </c>
      <c r="AE130" s="114" t="s">
        <v>332</v>
      </c>
      <c r="AF130" s="114" t="s">
        <v>333</v>
      </c>
      <c r="AG130" s="114" t="s">
        <v>334</v>
      </c>
    </row>
    <row r="131" spans="4:36" ht="20" customHeight="1" x14ac:dyDescent="0.25">
      <c r="D131" s="15" t="s">
        <v>335</v>
      </c>
      <c r="E131" s="15" t="e" cm="1">
        <f t="array" aca="1" ref="E131" ca="1">MMS_PastureBeef_Methane_Equations.VEERG_4_2_1_1__3_VolatileSolidProductionFromGrazingBeef(E84,E115,$I$110)</f>
        <v>#N/A</v>
      </c>
      <c r="F131" s="15" t="e" cm="1">
        <f t="array" aca="1" ref="F131" ca="1">MMS_PastureBeef_Methane_Equations.VEERG_4_2_1_1__3_VolatileSolidProductionFromGrazingBeef(F84,F115,$I$110)</f>
        <v>#N/A</v>
      </c>
      <c r="G131" s="15" t="e" cm="1">
        <f t="array" aca="1" ref="G131" ca="1">MMS_PastureBeef_Methane_Equations.VEERG_4_2_1_1__3_VolatileSolidProductionFromGrazingBeef(G84,G115,$I$110)</f>
        <v>#N/A</v>
      </c>
      <c r="H131" s="15" t="e" cm="1">
        <f t="array" aca="1" ref="H131" ca="1">MMS_PastureBeef_Methane_Equations.VEERG_4_2_1_1__3_VolatileSolidProductionFromGrazingBeef(H84,H115,$I$110)</f>
        <v>#N/A</v>
      </c>
      <c r="I131" s="15" t="e" cm="1">
        <f t="array" aca="1" ref="I131" ca="1">MMS_PastureBeef_Methane_Equations.VEERG_4_2_1_1__3_VolatileSolidProductionFromGrazingBeef(I84,I115,$I$110)</f>
        <v>#N/A</v>
      </c>
      <c r="J131" s="15" t="e" cm="1">
        <f t="array" aca="1" ref="J131" ca="1">MMS_PastureBeef_Methane_Equations.VEERG_4_2_1_1__3_VolatileSolidProductionFromGrazingBeef(J84,J115,$I$110)</f>
        <v>#N/A</v>
      </c>
      <c r="K131" s="15" t="e" cm="1">
        <f t="array" aca="1" ref="K131" ca="1">MMS_PastureBeef_Methane_Equations.VEERG_4_2_1_1__3_VolatileSolidProductionFromGrazingBeef(K84,K115,$I$110)</f>
        <v>#N/A</v>
      </c>
      <c r="L131" s="15" t="e" cm="1">
        <f t="array" aca="1" ref="L131" ca="1">MMS_PastureBeef_Methane_Equations.VEERG_4_2_1_1__3_VolatileSolidProductionFromGrazingBeef(L84,L115,$I$110)</f>
        <v>#N/A</v>
      </c>
      <c r="M131" s="15" t="e" cm="1">
        <f t="array" aca="1" ref="M131" ca="1">MMS_PastureBeef_Methane_Equations.VEERG_4_2_1_1__3_VolatileSolidProductionFromGrazingBeef(M84,M115,$I$110)</f>
        <v>#N/A</v>
      </c>
      <c r="N131" s="15" t="e" cm="1">
        <f t="array" aca="1" ref="N131" ca="1">MMS_PastureBeef_Methane_Equations.VEERG_4_2_1_1__3_VolatileSolidProductionFromGrazingBeef(N84,N115,$I$110)</f>
        <v>#N/A</v>
      </c>
      <c r="O131" s="16" t="str">
        <f>$E$106</f>
        <v>kg/head/day</v>
      </c>
      <c r="P131" s="16"/>
      <c r="Q131" s="16"/>
      <c r="R131" s="16"/>
      <c r="S131" s="16"/>
      <c r="W131" s="15" t="str">
        <f>W115</f>
        <v>January</v>
      </c>
      <c r="X131" s="15" t="e" cm="1">
        <f t="array" aca="1" ref="X131" ca="1">MMS_PastureBeef_Methane_Equations.VEERG_4_2_1_1__3_VolatileSolidProductionFromGrazingBeef(X76,X115,$I$110)</f>
        <v>#N/A</v>
      </c>
      <c r="Y131" s="15" t="e" cm="1">
        <f t="array" aca="1" ref="Y131" ca="1">MMS_PastureBeef_Methane_Equations.VEERG_4_2_1_1__3_VolatileSolidProductionFromGrazingBeef(Y76,Y115,$I$110)</f>
        <v>#N/A</v>
      </c>
      <c r="Z131" s="15" t="e" cm="1">
        <f t="array" aca="1" ref="Z131" ca="1">MMS_PastureBeef_Methane_Equations.VEERG_4_2_1_1__3_VolatileSolidProductionFromGrazingBeef(Z76,Z115,$I$110)</f>
        <v>#N/A</v>
      </c>
      <c r="AA131" s="15" t="e" cm="1">
        <f t="array" aca="1" ref="AA131" ca="1">MMS_PastureBeef_Methane_Equations.VEERG_4_2_1_1__3_VolatileSolidProductionFromGrazingBeef(AA76,AA115,$I$110)</f>
        <v>#N/A</v>
      </c>
      <c r="AB131" s="15" t="e" cm="1">
        <f t="array" aca="1" ref="AB131" ca="1">MMS_PastureBeef_Methane_Equations.VEERG_4_2_1_1__3_VolatileSolidProductionFromGrazingBeef(AB76,AB115,$I$110)</f>
        <v>#N/A</v>
      </c>
      <c r="AC131" s="15" t="e" cm="1">
        <f t="array" aca="1" ref="AC131" ca="1">MMS_PastureBeef_Methane_Equations.VEERG_4_2_1_1__3_VolatileSolidProductionFromGrazingBeef(AC76,AC115,$I$110)</f>
        <v>#N/A</v>
      </c>
      <c r="AD131" s="15" t="e" cm="1">
        <f t="array" aca="1" ref="AD131" ca="1">MMS_PastureBeef_Methane_Equations.VEERG_4_2_1_1__3_VolatileSolidProductionFromGrazingBeef(AD76,AD115,$I$110)</f>
        <v>#N/A</v>
      </c>
      <c r="AE131" s="15" t="e" cm="1">
        <f t="array" aca="1" ref="AE131" ca="1">MMS_PastureBeef_Methane_Equations.VEERG_4_2_1_1__3_VolatileSolidProductionFromGrazingBeef(AE76,AE115,$I$110)</f>
        <v>#N/A</v>
      </c>
      <c r="AF131" s="15" t="e" cm="1">
        <f t="array" aca="1" ref="AF131" ca="1">MMS_PastureBeef_Methane_Equations.VEERG_4_2_1_1__3_VolatileSolidProductionFromGrazingBeef(AF76,AF115,$I$110)</f>
        <v>#N/A</v>
      </c>
      <c r="AG131" s="15" t="e" cm="1">
        <f t="array" aca="1" ref="AG131" ca="1">MMS_PastureBeef_Methane_Equations.VEERG_4_2_1_1__3_VolatileSolidProductionFromGrazingBeef(AG76,AG115,$I$110)</f>
        <v>#N/A</v>
      </c>
      <c r="AH131" s="16" t="str">
        <f t="shared" ref="AH131:AH142" si="3">$E$106</f>
        <v>kg/head/day</v>
      </c>
      <c r="AI131" s="16"/>
      <c r="AJ131" s="16"/>
    </row>
    <row r="132" spans="4:36" ht="20" customHeight="1" x14ac:dyDescent="0.25">
      <c r="D132" s="15" t="s">
        <v>336</v>
      </c>
      <c r="E132" s="15" t="e" cm="1">
        <f t="array" aca="1" ref="E132" ca="1">MMS_PastureBeef_Methane_Equations.VEERG_4_2_1_1__3_VolatileSolidProductionFromGrazingBeef(E85,E116,$I$110)</f>
        <v>#N/A</v>
      </c>
      <c r="F132" s="15" t="e" cm="1">
        <f t="array" aca="1" ref="F132" ca="1">MMS_PastureBeef_Methane_Equations.VEERG_4_2_1_1__3_VolatileSolidProductionFromGrazingBeef(F85,F116,$I$110)</f>
        <v>#N/A</v>
      </c>
      <c r="G132" s="15" t="e" cm="1">
        <f t="array" aca="1" ref="G132" ca="1">MMS_PastureBeef_Methane_Equations.VEERG_4_2_1_1__3_VolatileSolidProductionFromGrazingBeef(G85,G116,$I$110)</f>
        <v>#N/A</v>
      </c>
      <c r="H132" s="15" t="e" cm="1">
        <f t="array" aca="1" ref="H132" ca="1">MMS_PastureBeef_Methane_Equations.VEERG_4_2_1_1__3_VolatileSolidProductionFromGrazingBeef(H85,H116,$I$110)</f>
        <v>#N/A</v>
      </c>
      <c r="I132" s="15" t="e" cm="1">
        <f t="array" aca="1" ref="I132" ca="1">MMS_PastureBeef_Methane_Equations.VEERG_4_2_1_1__3_VolatileSolidProductionFromGrazingBeef(I85,I116,$I$110)</f>
        <v>#N/A</v>
      </c>
      <c r="J132" s="15" t="e" cm="1">
        <f t="array" aca="1" ref="J132" ca="1">MMS_PastureBeef_Methane_Equations.VEERG_4_2_1_1__3_VolatileSolidProductionFromGrazingBeef(J85,J116,$I$110)</f>
        <v>#N/A</v>
      </c>
      <c r="K132" s="15" t="e" cm="1">
        <f t="array" aca="1" ref="K132" ca="1">MMS_PastureBeef_Methane_Equations.VEERG_4_2_1_1__3_VolatileSolidProductionFromGrazingBeef(K85,K116,$I$110)</f>
        <v>#N/A</v>
      </c>
      <c r="L132" s="15" t="e" cm="1">
        <f t="array" aca="1" ref="L132" ca="1">MMS_PastureBeef_Methane_Equations.VEERG_4_2_1_1__3_VolatileSolidProductionFromGrazingBeef(L85,L116,$I$110)</f>
        <v>#N/A</v>
      </c>
      <c r="M132" s="15" t="e" cm="1">
        <f t="array" aca="1" ref="M132" ca="1">MMS_PastureBeef_Methane_Equations.VEERG_4_2_1_1__3_VolatileSolidProductionFromGrazingBeef(M85,M116,$I$110)</f>
        <v>#N/A</v>
      </c>
      <c r="N132" s="15" t="e" cm="1">
        <f t="array" aca="1" ref="N132" ca="1">MMS_PastureBeef_Methane_Equations.VEERG_4_2_1_1__3_VolatileSolidProductionFromGrazingBeef(N85,N116,$I$110)</f>
        <v>#N/A</v>
      </c>
      <c r="O132" s="16" t="str">
        <f t="shared" ref="O132:O134" si="4">$E$106</f>
        <v>kg/head/day</v>
      </c>
      <c r="P132" s="16"/>
      <c r="Q132" s="16"/>
      <c r="R132" s="16"/>
      <c r="S132" s="16"/>
      <c r="W132" s="15" t="str">
        <f t="shared" ref="W132:W142" si="5">W116</f>
        <v>January</v>
      </c>
      <c r="X132" s="15" t="e" cm="1">
        <f t="array" aca="1" ref="X132" ca="1">MMS_PastureBeef_Methane_Equations.VEERG_4_2_1_1__3_VolatileSolidProductionFromGrazingBeef(X77,X116,$I$110)</f>
        <v>#N/A</v>
      </c>
      <c r="Y132" s="15" t="e" cm="1">
        <f t="array" aca="1" ref="Y132" ca="1">MMS_PastureBeef_Methane_Equations.VEERG_4_2_1_1__3_VolatileSolidProductionFromGrazingBeef(Y77,Y116,$I$110)</f>
        <v>#N/A</v>
      </c>
      <c r="Z132" s="15" t="e" cm="1">
        <f t="array" aca="1" ref="Z132" ca="1">MMS_PastureBeef_Methane_Equations.VEERG_4_2_1_1__3_VolatileSolidProductionFromGrazingBeef(Z77,Z116,$I$110)</f>
        <v>#N/A</v>
      </c>
      <c r="AA132" s="15" t="e" cm="1">
        <f t="array" aca="1" ref="AA132" ca="1">MMS_PastureBeef_Methane_Equations.VEERG_4_2_1_1__3_VolatileSolidProductionFromGrazingBeef(AA77,AA116,$I$110)</f>
        <v>#N/A</v>
      </c>
      <c r="AB132" s="15" t="e" cm="1">
        <f t="array" aca="1" ref="AB132" ca="1">MMS_PastureBeef_Methane_Equations.VEERG_4_2_1_1__3_VolatileSolidProductionFromGrazingBeef(AB77,AB116,$I$110)</f>
        <v>#N/A</v>
      </c>
      <c r="AC132" s="15" t="e" cm="1">
        <f t="array" aca="1" ref="AC132" ca="1">MMS_PastureBeef_Methane_Equations.VEERG_4_2_1_1__3_VolatileSolidProductionFromGrazingBeef(AC77,AC116,$I$110)</f>
        <v>#N/A</v>
      </c>
      <c r="AD132" s="15" t="e" cm="1">
        <f t="array" aca="1" ref="AD132" ca="1">MMS_PastureBeef_Methane_Equations.VEERG_4_2_1_1__3_VolatileSolidProductionFromGrazingBeef(AD77,AD116,$I$110)</f>
        <v>#N/A</v>
      </c>
      <c r="AE132" s="15" t="e" cm="1">
        <f t="array" aca="1" ref="AE132" ca="1">MMS_PastureBeef_Methane_Equations.VEERG_4_2_1_1__3_VolatileSolidProductionFromGrazingBeef(AE77,AE116,$I$110)</f>
        <v>#N/A</v>
      </c>
      <c r="AF132" s="15" t="e" cm="1">
        <f t="array" aca="1" ref="AF132" ca="1">MMS_PastureBeef_Methane_Equations.VEERG_4_2_1_1__3_VolatileSolidProductionFromGrazingBeef(AF77,AF116,$I$110)</f>
        <v>#N/A</v>
      </c>
      <c r="AG132" s="15" t="e" cm="1">
        <f t="array" aca="1" ref="AG132" ca="1">MMS_PastureBeef_Methane_Equations.VEERG_4_2_1_1__3_VolatileSolidProductionFromGrazingBeef(AG77,AG116,$I$110)</f>
        <v>#N/A</v>
      </c>
      <c r="AH132" s="16" t="str">
        <f t="shared" si="3"/>
        <v>kg/head/day</v>
      </c>
      <c r="AI132" s="16"/>
      <c r="AJ132" s="16"/>
    </row>
    <row r="133" spans="4:36" ht="20" customHeight="1" x14ac:dyDescent="0.25">
      <c r="D133" s="15" t="s">
        <v>337</v>
      </c>
      <c r="E133" s="15" t="e" cm="1">
        <f t="array" aca="1" ref="E133" ca="1">MMS_PastureBeef_Methane_Equations.VEERG_4_2_1_1__3_VolatileSolidProductionFromGrazingBeef(E86,E117,$I$110)</f>
        <v>#N/A</v>
      </c>
      <c r="F133" s="15" t="e" cm="1">
        <f t="array" aca="1" ref="F133" ca="1">MMS_PastureBeef_Methane_Equations.VEERG_4_2_1_1__3_VolatileSolidProductionFromGrazingBeef(F86,F117,$I$110)</f>
        <v>#N/A</v>
      </c>
      <c r="G133" s="15" t="e" cm="1">
        <f t="array" aca="1" ref="G133" ca="1">MMS_PastureBeef_Methane_Equations.VEERG_4_2_1_1__3_VolatileSolidProductionFromGrazingBeef(G86,G117,$I$110)</f>
        <v>#N/A</v>
      </c>
      <c r="H133" s="15" t="e" cm="1">
        <f t="array" aca="1" ref="H133" ca="1">MMS_PastureBeef_Methane_Equations.VEERG_4_2_1_1__3_VolatileSolidProductionFromGrazingBeef(H86,H117,$I$110)</f>
        <v>#N/A</v>
      </c>
      <c r="I133" s="15" t="e" cm="1">
        <f t="array" aca="1" ref="I133" ca="1">MMS_PastureBeef_Methane_Equations.VEERG_4_2_1_1__3_VolatileSolidProductionFromGrazingBeef(I86,I117,$I$110)</f>
        <v>#N/A</v>
      </c>
      <c r="J133" s="15" t="e" cm="1">
        <f t="array" aca="1" ref="J133" ca="1">MMS_PastureBeef_Methane_Equations.VEERG_4_2_1_1__3_VolatileSolidProductionFromGrazingBeef(J86,J117,$I$110)</f>
        <v>#N/A</v>
      </c>
      <c r="K133" s="15" t="e" cm="1">
        <f t="array" aca="1" ref="K133" ca="1">MMS_PastureBeef_Methane_Equations.VEERG_4_2_1_1__3_VolatileSolidProductionFromGrazingBeef(K86,K117,$I$110)</f>
        <v>#N/A</v>
      </c>
      <c r="L133" s="15" t="e" cm="1">
        <f t="array" aca="1" ref="L133" ca="1">MMS_PastureBeef_Methane_Equations.VEERG_4_2_1_1__3_VolatileSolidProductionFromGrazingBeef(L86,L117,$I$110)</f>
        <v>#N/A</v>
      </c>
      <c r="M133" s="15" t="e" cm="1">
        <f t="array" aca="1" ref="M133" ca="1">MMS_PastureBeef_Methane_Equations.VEERG_4_2_1_1__3_VolatileSolidProductionFromGrazingBeef(M86,M117,$I$110)</f>
        <v>#N/A</v>
      </c>
      <c r="N133" s="15" t="e" cm="1">
        <f t="array" aca="1" ref="N133" ca="1">MMS_PastureBeef_Methane_Equations.VEERG_4_2_1_1__3_VolatileSolidProductionFromGrazingBeef(N86,N117,$I$110)</f>
        <v>#N/A</v>
      </c>
      <c r="O133" s="16" t="str">
        <f t="shared" si="4"/>
        <v>kg/head/day</v>
      </c>
      <c r="P133" s="16"/>
      <c r="Q133" s="16"/>
      <c r="R133" s="16"/>
      <c r="S133" s="16"/>
      <c r="W133" s="15" t="str">
        <f t="shared" si="5"/>
        <v>February</v>
      </c>
      <c r="X133" s="15" t="e" cm="1">
        <f t="array" aca="1" ref="X133" ca="1">MMS_PastureBeef_Methane_Equations.VEERG_4_2_1_1__3_VolatileSolidProductionFromGrazingBeef(X78,X117,$I$110)</f>
        <v>#N/A</v>
      </c>
      <c r="Y133" s="15" t="e" cm="1">
        <f t="array" aca="1" ref="Y133" ca="1">MMS_PastureBeef_Methane_Equations.VEERG_4_2_1_1__3_VolatileSolidProductionFromGrazingBeef(Y78,Y117,$I$110)</f>
        <v>#N/A</v>
      </c>
      <c r="Z133" s="15" t="e" cm="1">
        <f t="array" aca="1" ref="Z133" ca="1">MMS_PastureBeef_Methane_Equations.VEERG_4_2_1_1__3_VolatileSolidProductionFromGrazingBeef(Z78,Z117,$I$110)</f>
        <v>#N/A</v>
      </c>
      <c r="AA133" s="15" t="e" cm="1">
        <f t="array" aca="1" ref="AA133" ca="1">MMS_PastureBeef_Methane_Equations.VEERG_4_2_1_1__3_VolatileSolidProductionFromGrazingBeef(AA78,AA117,$I$110)</f>
        <v>#N/A</v>
      </c>
      <c r="AB133" s="15" t="e" cm="1">
        <f t="array" aca="1" ref="AB133" ca="1">MMS_PastureBeef_Methane_Equations.VEERG_4_2_1_1__3_VolatileSolidProductionFromGrazingBeef(AB78,AB117,$I$110)</f>
        <v>#N/A</v>
      </c>
      <c r="AC133" s="15" t="e" cm="1">
        <f t="array" aca="1" ref="AC133" ca="1">MMS_PastureBeef_Methane_Equations.VEERG_4_2_1_1__3_VolatileSolidProductionFromGrazingBeef(AC78,AC117,$I$110)</f>
        <v>#N/A</v>
      </c>
      <c r="AD133" s="15" t="e" cm="1">
        <f t="array" aca="1" ref="AD133" ca="1">MMS_PastureBeef_Methane_Equations.VEERG_4_2_1_1__3_VolatileSolidProductionFromGrazingBeef(AD78,AD117,$I$110)</f>
        <v>#N/A</v>
      </c>
      <c r="AE133" s="15" t="e" cm="1">
        <f t="array" aca="1" ref="AE133" ca="1">MMS_PastureBeef_Methane_Equations.VEERG_4_2_1_1__3_VolatileSolidProductionFromGrazingBeef(AE78,AE117,$I$110)</f>
        <v>#N/A</v>
      </c>
      <c r="AF133" s="15" t="e" cm="1">
        <f t="array" aca="1" ref="AF133" ca="1">MMS_PastureBeef_Methane_Equations.VEERG_4_2_1_1__3_VolatileSolidProductionFromGrazingBeef(AF78,AF117,$I$110)</f>
        <v>#N/A</v>
      </c>
      <c r="AG133" s="15" t="e" cm="1">
        <f t="array" aca="1" ref="AG133" ca="1">MMS_PastureBeef_Methane_Equations.VEERG_4_2_1_1__3_VolatileSolidProductionFromGrazingBeef(AG78,AG117,$I$110)</f>
        <v>#N/A</v>
      </c>
      <c r="AH133" s="16" t="str">
        <f t="shared" si="3"/>
        <v>kg/head/day</v>
      </c>
      <c r="AI133" s="16"/>
      <c r="AJ133" s="16"/>
    </row>
    <row r="134" spans="4:36" ht="20" customHeight="1" x14ac:dyDescent="0.25">
      <c r="D134" s="15" t="s">
        <v>338</v>
      </c>
      <c r="E134" s="15" t="e" cm="1">
        <f t="array" aca="1" ref="E134" ca="1">MMS_PastureBeef_Methane_Equations.VEERG_4_2_1_1__3_VolatileSolidProductionFromGrazingBeef(E87,E118,$I$110)</f>
        <v>#N/A</v>
      </c>
      <c r="F134" s="15" t="e" cm="1">
        <f t="array" aca="1" ref="F134" ca="1">MMS_PastureBeef_Methane_Equations.VEERG_4_2_1_1__3_VolatileSolidProductionFromGrazingBeef(F87,F118,$I$110)</f>
        <v>#N/A</v>
      </c>
      <c r="G134" s="15" t="e" cm="1">
        <f t="array" aca="1" ref="G134" ca="1">MMS_PastureBeef_Methane_Equations.VEERG_4_2_1_1__3_VolatileSolidProductionFromGrazingBeef(G87,G118,$I$110)</f>
        <v>#N/A</v>
      </c>
      <c r="H134" s="15" t="e" cm="1">
        <f t="array" aca="1" ref="H134" ca="1">MMS_PastureBeef_Methane_Equations.VEERG_4_2_1_1__3_VolatileSolidProductionFromGrazingBeef(H87,H118,$I$110)</f>
        <v>#N/A</v>
      </c>
      <c r="I134" s="15" t="e" cm="1">
        <f t="array" aca="1" ref="I134" ca="1">MMS_PastureBeef_Methane_Equations.VEERG_4_2_1_1__3_VolatileSolidProductionFromGrazingBeef(I87,I118,$I$110)</f>
        <v>#N/A</v>
      </c>
      <c r="J134" s="15" t="e" cm="1">
        <f t="array" aca="1" ref="J134" ca="1">MMS_PastureBeef_Methane_Equations.VEERG_4_2_1_1__3_VolatileSolidProductionFromGrazingBeef(J87,J118,$I$110)</f>
        <v>#N/A</v>
      </c>
      <c r="K134" s="15" t="e" cm="1">
        <f t="array" aca="1" ref="K134" ca="1">MMS_PastureBeef_Methane_Equations.VEERG_4_2_1_1__3_VolatileSolidProductionFromGrazingBeef(K87,K118,$I$110)</f>
        <v>#N/A</v>
      </c>
      <c r="L134" s="15" t="e" cm="1">
        <f t="array" aca="1" ref="L134" ca="1">MMS_PastureBeef_Methane_Equations.VEERG_4_2_1_1__3_VolatileSolidProductionFromGrazingBeef(L87,L118,$I$110)</f>
        <v>#N/A</v>
      </c>
      <c r="M134" s="15" t="e" cm="1">
        <f t="array" aca="1" ref="M134" ca="1">MMS_PastureBeef_Methane_Equations.VEERG_4_2_1_1__3_VolatileSolidProductionFromGrazingBeef(M87,M118,$I$110)</f>
        <v>#N/A</v>
      </c>
      <c r="N134" s="15" t="e" cm="1">
        <f t="array" aca="1" ref="N134" ca="1">MMS_PastureBeef_Methane_Equations.VEERG_4_2_1_1__3_VolatileSolidProductionFromGrazingBeef(N87,N118,$I$110)</f>
        <v>#N/A</v>
      </c>
      <c r="O134" s="16" t="str">
        <f t="shared" si="4"/>
        <v>kg/head/day</v>
      </c>
      <c r="P134" s="16"/>
      <c r="Q134" s="16"/>
      <c r="R134" s="16"/>
      <c r="S134" s="16"/>
      <c r="W134" s="15" t="str">
        <f t="shared" si="5"/>
        <v>March</v>
      </c>
      <c r="X134" s="15" t="e" cm="1">
        <f t="array" aca="1" ref="X134" ca="1">MMS_PastureBeef_Methane_Equations.VEERG_4_2_1_1__3_VolatileSolidProductionFromGrazingBeef(X79,X118,$I$110)</f>
        <v>#N/A</v>
      </c>
      <c r="Y134" s="15" t="e" cm="1">
        <f t="array" aca="1" ref="Y134" ca="1">MMS_PastureBeef_Methane_Equations.VEERG_4_2_1_1__3_VolatileSolidProductionFromGrazingBeef(Y79,Y118,$I$110)</f>
        <v>#N/A</v>
      </c>
      <c r="Z134" s="15" t="e" cm="1">
        <f t="array" aca="1" ref="Z134" ca="1">MMS_PastureBeef_Methane_Equations.VEERG_4_2_1_1__3_VolatileSolidProductionFromGrazingBeef(Z79,Z118,$I$110)</f>
        <v>#N/A</v>
      </c>
      <c r="AA134" s="15" t="e" cm="1">
        <f t="array" aca="1" ref="AA134" ca="1">MMS_PastureBeef_Methane_Equations.VEERG_4_2_1_1__3_VolatileSolidProductionFromGrazingBeef(AA79,AA118,$I$110)</f>
        <v>#N/A</v>
      </c>
      <c r="AB134" s="15" t="e" cm="1">
        <f t="array" aca="1" ref="AB134" ca="1">MMS_PastureBeef_Methane_Equations.VEERG_4_2_1_1__3_VolatileSolidProductionFromGrazingBeef(AB79,AB118,$I$110)</f>
        <v>#N/A</v>
      </c>
      <c r="AC134" s="15" t="e" cm="1">
        <f t="array" aca="1" ref="AC134" ca="1">MMS_PastureBeef_Methane_Equations.VEERG_4_2_1_1__3_VolatileSolidProductionFromGrazingBeef(AC79,AC118,$I$110)</f>
        <v>#N/A</v>
      </c>
      <c r="AD134" s="15" t="e" cm="1">
        <f t="array" aca="1" ref="AD134" ca="1">MMS_PastureBeef_Methane_Equations.VEERG_4_2_1_1__3_VolatileSolidProductionFromGrazingBeef(AD79,AD118,$I$110)</f>
        <v>#N/A</v>
      </c>
      <c r="AE134" s="15" t="e" cm="1">
        <f t="array" aca="1" ref="AE134" ca="1">MMS_PastureBeef_Methane_Equations.VEERG_4_2_1_1__3_VolatileSolidProductionFromGrazingBeef(AE79,AE118,$I$110)</f>
        <v>#N/A</v>
      </c>
      <c r="AF134" s="15" t="e" cm="1">
        <f t="array" aca="1" ref="AF134" ca="1">MMS_PastureBeef_Methane_Equations.VEERG_4_2_1_1__3_VolatileSolidProductionFromGrazingBeef(AF79,AF118,$I$110)</f>
        <v>#N/A</v>
      </c>
      <c r="AG134" s="15" t="e" cm="1">
        <f t="array" aca="1" ref="AG134" ca="1">MMS_PastureBeef_Methane_Equations.VEERG_4_2_1_1__3_VolatileSolidProductionFromGrazingBeef(AG79,AG118,$I$110)</f>
        <v>#N/A</v>
      </c>
      <c r="AH134" s="16" t="str">
        <f t="shared" si="3"/>
        <v>kg/head/day</v>
      </c>
      <c r="AI134" s="16"/>
      <c r="AJ134" s="16"/>
    </row>
    <row r="135" spans="4:36" ht="20" customHeight="1" x14ac:dyDescent="0.25">
      <c r="W135" s="15" t="str">
        <f t="shared" si="5"/>
        <v>April</v>
      </c>
      <c r="X135" s="15" t="e" cm="1">
        <f t="array" aca="1" ref="X135" ca="1">MMS_PastureBeef_Methane_Equations.VEERG_4_2_1_1__3_VolatileSolidProductionFromGrazingBeef(X80,X119,$I$110)</f>
        <v>#N/A</v>
      </c>
      <c r="Y135" s="15" t="e" cm="1">
        <f t="array" aca="1" ref="Y135" ca="1">MMS_PastureBeef_Methane_Equations.VEERG_4_2_1_1__3_VolatileSolidProductionFromGrazingBeef(Y80,Y119,$I$110)</f>
        <v>#N/A</v>
      </c>
      <c r="Z135" s="15" t="e" cm="1">
        <f t="array" aca="1" ref="Z135" ca="1">MMS_PastureBeef_Methane_Equations.VEERG_4_2_1_1__3_VolatileSolidProductionFromGrazingBeef(Z80,Z119,$I$110)</f>
        <v>#N/A</v>
      </c>
      <c r="AA135" s="15" t="e" cm="1">
        <f t="array" aca="1" ref="AA135" ca="1">MMS_PastureBeef_Methane_Equations.VEERG_4_2_1_1__3_VolatileSolidProductionFromGrazingBeef(AA80,AA119,$I$110)</f>
        <v>#N/A</v>
      </c>
      <c r="AB135" s="15" t="e" cm="1">
        <f t="array" aca="1" ref="AB135" ca="1">MMS_PastureBeef_Methane_Equations.VEERG_4_2_1_1__3_VolatileSolidProductionFromGrazingBeef(AB80,AB119,$I$110)</f>
        <v>#N/A</v>
      </c>
      <c r="AC135" s="15" t="e" cm="1">
        <f t="array" aca="1" ref="AC135" ca="1">MMS_PastureBeef_Methane_Equations.VEERG_4_2_1_1__3_VolatileSolidProductionFromGrazingBeef(AC80,AC119,$I$110)</f>
        <v>#N/A</v>
      </c>
      <c r="AD135" s="15" t="e" cm="1">
        <f t="array" aca="1" ref="AD135" ca="1">MMS_PastureBeef_Methane_Equations.VEERG_4_2_1_1__3_VolatileSolidProductionFromGrazingBeef(AD80,AD119,$I$110)</f>
        <v>#N/A</v>
      </c>
      <c r="AE135" s="15" t="e" cm="1">
        <f t="array" aca="1" ref="AE135" ca="1">MMS_PastureBeef_Methane_Equations.VEERG_4_2_1_1__3_VolatileSolidProductionFromGrazingBeef(AE80,AE119,$I$110)</f>
        <v>#N/A</v>
      </c>
      <c r="AF135" s="15" t="e" cm="1">
        <f t="array" aca="1" ref="AF135" ca="1">MMS_PastureBeef_Methane_Equations.VEERG_4_2_1_1__3_VolatileSolidProductionFromGrazingBeef(AF80,AF119,$I$110)</f>
        <v>#N/A</v>
      </c>
      <c r="AG135" s="15" t="e" cm="1">
        <f t="array" aca="1" ref="AG135" ca="1">MMS_PastureBeef_Methane_Equations.VEERG_4_2_1_1__3_VolatileSolidProductionFromGrazingBeef(AG80,AG119,$I$110)</f>
        <v>#N/A</v>
      </c>
      <c r="AH135" s="16" t="str">
        <f t="shared" si="3"/>
        <v>kg/head/day</v>
      </c>
      <c r="AI135" s="16"/>
      <c r="AJ135" s="16"/>
    </row>
    <row r="136" spans="4:36" ht="20" customHeight="1" x14ac:dyDescent="0.25">
      <c r="W136" s="15" t="str">
        <f t="shared" si="5"/>
        <v>May</v>
      </c>
      <c r="X136" s="15" t="e" cm="1">
        <f t="array" aca="1" ref="X136" ca="1">MMS_PastureBeef_Methane_Equations.VEERG_4_2_1_1__3_VolatileSolidProductionFromGrazingBeef(X81,X120,$I$110)</f>
        <v>#N/A</v>
      </c>
      <c r="Y136" s="15" t="e" cm="1">
        <f t="array" aca="1" ref="Y136" ca="1">MMS_PastureBeef_Methane_Equations.VEERG_4_2_1_1__3_VolatileSolidProductionFromGrazingBeef(Y81,Y120,$I$110)</f>
        <v>#N/A</v>
      </c>
      <c r="Z136" s="15" t="e" cm="1">
        <f t="array" aca="1" ref="Z136" ca="1">MMS_PastureBeef_Methane_Equations.VEERG_4_2_1_1__3_VolatileSolidProductionFromGrazingBeef(Z81,Z120,$I$110)</f>
        <v>#N/A</v>
      </c>
      <c r="AA136" s="15" t="e" cm="1">
        <f t="array" aca="1" ref="AA136" ca="1">MMS_PastureBeef_Methane_Equations.VEERG_4_2_1_1__3_VolatileSolidProductionFromGrazingBeef(AA81,AA120,$I$110)</f>
        <v>#N/A</v>
      </c>
      <c r="AB136" s="15" t="e" cm="1">
        <f t="array" aca="1" ref="AB136" ca="1">MMS_PastureBeef_Methane_Equations.VEERG_4_2_1_1__3_VolatileSolidProductionFromGrazingBeef(AB81,AB120,$I$110)</f>
        <v>#N/A</v>
      </c>
      <c r="AC136" s="15" t="e" cm="1">
        <f t="array" aca="1" ref="AC136" ca="1">MMS_PastureBeef_Methane_Equations.VEERG_4_2_1_1__3_VolatileSolidProductionFromGrazingBeef(AC81,AC120,$I$110)</f>
        <v>#N/A</v>
      </c>
      <c r="AD136" s="15" t="e" cm="1">
        <f t="array" aca="1" ref="AD136" ca="1">MMS_PastureBeef_Methane_Equations.VEERG_4_2_1_1__3_VolatileSolidProductionFromGrazingBeef(AD81,AD120,$I$110)</f>
        <v>#N/A</v>
      </c>
      <c r="AE136" s="15" t="e" cm="1">
        <f t="array" aca="1" ref="AE136" ca="1">MMS_PastureBeef_Methane_Equations.VEERG_4_2_1_1__3_VolatileSolidProductionFromGrazingBeef(AE81,AE120,$I$110)</f>
        <v>#N/A</v>
      </c>
      <c r="AF136" s="15" t="e" cm="1">
        <f t="array" aca="1" ref="AF136" ca="1">MMS_PastureBeef_Methane_Equations.VEERG_4_2_1_1__3_VolatileSolidProductionFromGrazingBeef(AF81,AF120,$I$110)</f>
        <v>#N/A</v>
      </c>
      <c r="AG136" s="15" t="e" cm="1">
        <f t="array" aca="1" ref="AG136" ca="1">MMS_PastureBeef_Methane_Equations.VEERG_4_2_1_1__3_VolatileSolidProductionFromGrazingBeef(AG81,AG120,$I$110)</f>
        <v>#N/A</v>
      </c>
      <c r="AH136" s="16" t="str">
        <f t="shared" si="3"/>
        <v>kg/head/day</v>
      </c>
      <c r="AI136" s="16"/>
      <c r="AJ136" s="16"/>
    </row>
    <row r="137" spans="4:36" ht="20" customHeight="1" x14ac:dyDescent="0.25">
      <c r="W137" s="15" t="str">
        <f t="shared" si="5"/>
        <v>June</v>
      </c>
      <c r="X137" s="15" t="e" cm="1">
        <f t="array" aca="1" ref="X137" ca="1">MMS_PastureBeef_Methane_Equations.VEERG_4_2_1_1__3_VolatileSolidProductionFromGrazingBeef(X82,X121,$I$110)</f>
        <v>#N/A</v>
      </c>
      <c r="Y137" s="15" t="e" cm="1">
        <f t="array" aca="1" ref="Y137" ca="1">MMS_PastureBeef_Methane_Equations.VEERG_4_2_1_1__3_VolatileSolidProductionFromGrazingBeef(Y82,Y121,$I$110)</f>
        <v>#N/A</v>
      </c>
      <c r="Z137" s="15" t="e" cm="1">
        <f t="array" aca="1" ref="Z137" ca="1">MMS_PastureBeef_Methane_Equations.VEERG_4_2_1_1__3_VolatileSolidProductionFromGrazingBeef(Z82,Z121,$I$110)</f>
        <v>#N/A</v>
      </c>
      <c r="AA137" s="15" t="e" cm="1">
        <f t="array" aca="1" ref="AA137" ca="1">MMS_PastureBeef_Methane_Equations.VEERG_4_2_1_1__3_VolatileSolidProductionFromGrazingBeef(AA82,AA121,$I$110)</f>
        <v>#N/A</v>
      </c>
      <c r="AB137" s="15" t="e" cm="1">
        <f t="array" aca="1" ref="AB137" ca="1">MMS_PastureBeef_Methane_Equations.VEERG_4_2_1_1__3_VolatileSolidProductionFromGrazingBeef(AB82,AB121,$I$110)</f>
        <v>#N/A</v>
      </c>
      <c r="AC137" s="15" t="e" cm="1">
        <f t="array" aca="1" ref="AC137" ca="1">MMS_PastureBeef_Methane_Equations.VEERG_4_2_1_1__3_VolatileSolidProductionFromGrazingBeef(AC82,AC121,$I$110)</f>
        <v>#N/A</v>
      </c>
      <c r="AD137" s="15" t="e" cm="1">
        <f t="array" aca="1" ref="AD137" ca="1">MMS_PastureBeef_Methane_Equations.VEERG_4_2_1_1__3_VolatileSolidProductionFromGrazingBeef(AD82,AD121,$I$110)</f>
        <v>#N/A</v>
      </c>
      <c r="AE137" s="15" t="e" cm="1">
        <f t="array" aca="1" ref="AE137" ca="1">MMS_PastureBeef_Methane_Equations.VEERG_4_2_1_1__3_VolatileSolidProductionFromGrazingBeef(AE82,AE121,$I$110)</f>
        <v>#N/A</v>
      </c>
      <c r="AF137" s="15" t="e" cm="1">
        <f t="array" aca="1" ref="AF137" ca="1">MMS_PastureBeef_Methane_Equations.VEERG_4_2_1_1__3_VolatileSolidProductionFromGrazingBeef(AF82,AF121,$I$110)</f>
        <v>#N/A</v>
      </c>
      <c r="AG137" s="15" t="e" cm="1">
        <f t="array" aca="1" ref="AG137" ca="1">MMS_PastureBeef_Methane_Equations.VEERG_4_2_1_1__3_VolatileSolidProductionFromGrazingBeef(AG82,AG121,$I$110)</f>
        <v>#N/A</v>
      </c>
      <c r="AH137" s="16" t="str">
        <f t="shared" si="3"/>
        <v>kg/head/day</v>
      </c>
      <c r="AI137" s="16"/>
      <c r="AJ137" s="16"/>
    </row>
    <row r="138" spans="4:36" ht="20" customHeight="1" x14ac:dyDescent="0.25">
      <c r="W138" s="15" t="str">
        <f t="shared" si="5"/>
        <v>July</v>
      </c>
      <c r="X138" s="15" t="e" cm="1">
        <f t="array" aca="1" ref="X138" ca="1">MMS_PastureBeef_Methane_Equations.VEERG_4_2_1_1__3_VolatileSolidProductionFromGrazingBeef(X83,X122,$I$110)</f>
        <v>#N/A</v>
      </c>
      <c r="Y138" s="15" t="e" cm="1">
        <f t="array" aca="1" ref="Y138" ca="1">MMS_PastureBeef_Methane_Equations.VEERG_4_2_1_1__3_VolatileSolidProductionFromGrazingBeef(Y83,Y122,$I$110)</f>
        <v>#N/A</v>
      </c>
      <c r="Z138" s="15" t="e" cm="1">
        <f t="array" aca="1" ref="Z138" ca="1">MMS_PastureBeef_Methane_Equations.VEERG_4_2_1_1__3_VolatileSolidProductionFromGrazingBeef(Z83,Z122,$I$110)</f>
        <v>#N/A</v>
      </c>
      <c r="AA138" s="15" t="e" cm="1">
        <f t="array" aca="1" ref="AA138" ca="1">MMS_PastureBeef_Methane_Equations.VEERG_4_2_1_1__3_VolatileSolidProductionFromGrazingBeef(AA83,AA122,$I$110)</f>
        <v>#N/A</v>
      </c>
      <c r="AB138" s="15" t="e" cm="1">
        <f t="array" aca="1" ref="AB138" ca="1">MMS_PastureBeef_Methane_Equations.VEERG_4_2_1_1__3_VolatileSolidProductionFromGrazingBeef(AB83,AB122,$I$110)</f>
        <v>#N/A</v>
      </c>
      <c r="AC138" s="15" t="e" cm="1">
        <f t="array" aca="1" ref="AC138" ca="1">MMS_PastureBeef_Methane_Equations.VEERG_4_2_1_1__3_VolatileSolidProductionFromGrazingBeef(AC83,AC122,$I$110)</f>
        <v>#N/A</v>
      </c>
      <c r="AD138" s="15" t="e" cm="1">
        <f t="array" aca="1" ref="AD138" ca="1">MMS_PastureBeef_Methane_Equations.VEERG_4_2_1_1__3_VolatileSolidProductionFromGrazingBeef(AD83,AD122,$I$110)</f>
        <v>#N/A</v>
      </c>
      <c r="AE138" s="15" t="e" cm="1">
        <f t="array" aca="1" ref="AE138" ca="1">MMS_PastureBeef_Methane_Equations.VEERG_4_2_1_1__3_VolatileSolidProductionFromGrazingBeef(AE83,AE122,$I$110)</f>
        <v>#N/A</v>
      </c>
      <c r="AF138" s="15" t="e" cm="1">
        <f t="array" aca="1" ref="AF138" ca="1">MMS_PastureBeef_Methane_Equations.VEERG_4_2_1_1__3_VolatileSolidProductionFromGrazingBeef(AF83,AF122,$I$110)</f>
        <v>#N/A</v>
      </c>
      <c r="AG138" s="15" t="e" cm="1">
        <f t="array" aca="1" ref="AG138" ca="1">MMS_PastureBeef_Methane_Equations.VEERG_4_2_1_1__3_VolatileSolidProductionFromGrazingBeef(AG83,AG122,$I$110)</f>
        <v>#N/A</v>
      </c>
      <c r="AH138" s="16" t="str">
        <f t="shared" si="3"/>
        <v>kg/head/day</v>
      </c>
      <c r="AI138" s="16"/>
      <c r="AJ138" s="16"/>
    </row>
    <row r="139" spans="4:36" ht="20" customHeight="1" x14ac:dyDescent="0.25">
      <c r="W139" s="15" t="str">
        <f t="shared" si="5"/>
        <v>August</v>
      </c>
      <c r="X139" s="15" t="e" cm="1">
        <f t="array" aca="1" ref="X139" ca="1">MMS_PastureBeef_Methane_Equations.VEERG_4_2_1_1__3_VolatileSolidProductionFromGrazingBeef(X84,X123,$I$110)</f>
        <v>#N/A</v>
      </c>
      <c r="Y139" s="15" t="e" cm="1">
        <f t="array" aca="1" ref="Y139" ca="1">MMS_PastureBeef_Methane_Equations.VEERG_4_2_1_1__3_VolatileSolidProductionFromGrazingBeef(Y84,Y123,$I$110)</f>
        <v>#N/A</v>
      </c>
      <c r="Z139" s="15" t="e" cm="1">
        <f t="array" aca="1" ref="Z139" ca="1">MMS_PastureBeef_Methane_Equations.VEERG_4_2_1_1__3_VolatileSolidProductionFromGrazingBeef(Z84,Z123,$I$110)</f>
        <v>#N/A</v>
      </c>
      <c r="AA139" s="15" t="e" cm="1">
        <f t="array" aca="1" ref="AA139" ca="1">MMS_PastureBeef_Methane_Equations.VEERG_4_2_1_1__3_VolatileSolidProductionFromGrazingBeef(AA84,AA123,$I$110)</f>
        <v>#N/A</v>
      </c>
      <c r="AB139" s="15" t="e" cm="1">
        <f t="array" aca="1" ref="AB139" ca="1">MMS_PastureBeef_Methane_Equations.VEERG_4_2_1_1__3_VolatileSolidProductionFromGrazingBeef(AB84,AB123,$I$110)</f>
        <v>#N/A</v>
      </c>
      <c r="AC139" s="15" t="e" cm="1">
        <f t="array" aca="1" ref="AC139" ca="1">MMS_PastureBeef_Methane_Equations.VEERG_4_2_1_1__3_VolatileSolidProductionFromGrazingBeef(AC84,AC123,$I$110)</f>
        <v>#N/A</v>
      </c>
      <c r="AD139" s="15" t="e" cm="1">
        <f t="array" aca="1" ref="AD139" ca="1">MMS_PastureBeef_Methane_Equations.VEERG_4_2_1_1__3_VolatileSolidProductionFromGrazingBeef(AD84,AD123,$I$110)</f>
        <v>#N/A</v>
      </c>
      <c r="AE139" s="15" t="e" cm="1">
        <f t="array" aca="1" ref="AE139" ca="1">MMS_PastureBeef_Methane_Equations.VEERG_4_2_1_1__3_VolatileSolidProductionFromGrazingBeef(AE84,AE123,$I$110)</f>
        <v>#N/A</v>
      </c>
      <c r="AF139" s="15" t="e" cm="1">
        <f t="array" aca="1" ref="AF139" ca="1">MMS_PastureBeef_Methane_Equations.VEERG_4_2_1_1__3_VolatileSolidProductionFromGrazingBeef(AF84,AF123,$I$110)</f>
        <v>#N/A</v>
      </c>
      <c r="AG139" s="15" t="e" cm="1">
        <f t="array" aca="1" ref="AG139" ca="1">MMS_PastureBeef_Methane_Equations.VEERG_4_2_1_1__3_VolatileSolidProductionFromGrazingBeef(AG84,AG123,$I$110)</f>
        <v>#N/A</v>
      </c>
      <c r="AH139" s="16" t="str">
        <f t="shared" si="3"/>
        <v>kg/head/day</v>
      </c>
      <c r="AI139" s="16"/>
      <c r="AJ139" s="16"/>
    </row>
    <row r="140" spans="4:36" ht="20" customHeight="1" x14ac:dyDescent="0.25">
      <c r="W140" s="15" t="str">
        <f t="shared" si="5"/>
        <v>September</v>
      </c>
      <c r="X140" s="15" t="e" cm="1">
        <f t="array" aca="1" ref="X140" ca="1">MMS_PastureBeef_Methane_Equations.VEERG_4_2_1_1__3_VolatileSolidProductionFromGrazingBeef(X85,X124,$I$110)</f>
        <v>#N/A</v>
      </c>
      <c r="Y140" s="15" t="e" cm="1">
        <f t="array" aca="1" ref="Y140" ca="1">MMS_PastureBeef_Methane_Equations.VEERG_4_2_1_1__3_VolatileSolidProductionFromGrazingBeef(Y85,Y124,$I$110)</f>
        <v>#N/A</v>
      </c>
      <c r="Z140" s="15" t="e" cm="1">
        <f t="array" aca="1" ref="Z140" ca="1">MMS_PastureBeef_Methane_Equations.VEERG_4_2_1_1__3_VolatileSolidProductionFromGrazingBeef(Z85,Z124,$I$110)</f>
        <v>#N/A</v>
      </c>
      <c r="AA140" s="15" t="e" cm="1">
        <f t="array" aca="1" ref="AA140" ca="1">MMS_PastureBeef_Methane_Equations.VEERG_4_2_1_1__3_VolatileSolidProductionFromGrazingBeef(AA85,AA124,$I$110)</f>
        <v>#N/A</v>
      </c>
      <c r="AB140" s="15" t="e" cm="1">
        <f t="array" aca="1" ref="AB140" ca="1">MMS_PastureBeef_Methane_Equations.VEERG_4_2_1_1__3_VolatileSolidProductionFromGrazingBeef(AB85,AB124,$I$110)</f>
        <v>#N/A</v>
      </c>
      <c r="AC140" s="15" t="e" cm="1">
        <f t="array" aca="1" ref="AC140" ca="1">MMS_PastureBeef_Methane_Equations.VEERG_4_2_1_1__3_VolatileSolidProductionFromGrazingBeef(AC85,AC124,$I$110)</f>
        <v>#N/A</v>
      </c>
      <c r="AD140" s="15" t="e" cm="1">
        <f t="array" aca="1" ref="AD140" ca="1">MMS_PastureBeef_Methane_Equations.VEERG_4_2_1_1__3_VolatileSolidProductionFromGrazingBeef(AD85,AD124,$I$110)</f>
        <v>#N/A</v>
      </c>
      <c r="AE140" s="15" t="e" cm="1">
        <f t="array" aca="1" ref="AE140" ca="1">MMS_PastureBeef_Methane_Equations.VEERG_4_2_1_1__3_VolatileSolidProductionFromGrazingBeef(AE85,AE124,$I$110)</f>
        <v>#N/A</v>
      </c>
      <c r="AF140" s="15" t="e" cm="1">
        <f t="array" aca="1" ref="AF140" ca="1">MMS_PastureBeef_Methane_Equations.VEERG_4_2_1_1__3_VolatileSolidProductionFromGrazingBeef(AF85,AF124,$I$110)</f>
        <v>#N/A</v>
      </c>
      <c r="AG140" s="15" t="e" cm="1">
        <f t="array" aca="1" ref="AG140" ca="1">MMS_PastureBeef_Methane_Equations.VEERG_4_2_1_1__3_VolatileSolidProductionFromGrazingBeef(AG85,AG124,$I$110)</f>
        <v>#N/A</v>
      </c>
      <c r="AH140" s="16" t="str">
        <f t="shared" si="3"/>
        <v>kg/head/day</v>
      </c>
      <c r="AI140" s="16"/>
      <c r="AJ140" s="16"/>
    </row>
    <row r="141" spans="4:36" ht="20" customHeight="1" x14ac:dyDescent="0.25">
      <c r="W141" s="15" t="str">
        <f t="shared" si="5"/>
        <v>October</v>
      </c>
      <c r="X141" s="15" t="e" cm="1">
        <f t="array" aca="1" ref="X141" ca="1">MMS_PastureBeef_Methane_Equations.VEERG_4_2_1_1__3_VolatileSolidProductionFromGrazingBeef(X86,X125,$I$110)</f>
        <v>#N/A</v>
      </c>
      <c r="Y141" s="15" t="e" cm="1">
        <f t="array" aca="1" ref="Y141" ca="1">MMS_PastureBeef_Methane_Equations.VEERG_4_2_1_1__3_VolatileSolidProductionFromGrazingBeef(Y86,Y125,$I$110)</f>
        <v>#N/A</v>
      </c>
      <c r="Z141" s="15" t="e" cm="1">
        <f t="array" aca="1" ref="Z141" ca="1">MMS_PastureBeef_Methane_Equations.VEERG_4_2_1_1__3_VolatileSolidProductionFromGrazingBeef(Z86,Z125,$I$110)</f>
        <v>#N/A</v>
      </c>
      <c r="AA141" s="15" t="e" cm="1">
        <f t="array" aca="1" ref="AA141" ca="1">MMS_PastureBeef_Methane_Equations.VEERG_4_2_1_1__3_VolatileSolidProductionFromGrazingBeef(AA86,AA125,$I$110)</f>
        <v>#N/A</v>
      </c>
      <c r="AB141" s="15" t="e" cm="1">
        <f t="array" aca="1" ref="AB141" ca="1">MMS_PastureBeef_Methane_Equations.VEERG_4_2_1_1__3_VolatileSolidProductionFromGrazingBeef(AB86,AB125,$I$110)</f>
        <v>#N/A</v>
      </c>
      <c r="AC141" s="15" t="e" cm="1">
        <f t="array" aca="1" ref="AC141" ca="1">MMS_PastureBeef_Methane_Equations.VEERG_4_2_1_1__3_VolatileSolidProductionFromGrazingBeef(AC86,AC125,$I$110)</f>
        <v>#N/A</v>
      </c>
      <c r="AD141" s="15" t="e" cm="1">
        <f t="array" aca="1" ref="AD141" ca="1">MMS_PastureBeef_Methane_Equations.VEERG_4_2_1_1__3_VolatileSolidProductionFromGrazingBeef(AD86,AD125,$I$110)</f>
        <v>#N/A</v>
      </c>
      <c r="AE141" s="15" t="e" cm="1">
        <f t="array" aca="1" ref="AE141" ca="1">MMS_PastureBeef_Methane_Equations.VEERG_4_2_1_1__3_VolatileSolidProductionFromGrazingBeef(AE86,AE125,$I$110)</f>
        <v>#N/A</v>
      </c>
      <c r="AF141" s="15" t="e" cm="1">
        <f t="array" aca="1" ref="AF141" ca="1">MMS_PastureBeef_Methane_Equations.VEERG_4_2_1_1__3_VolatileSolidProductionFromGrazingBeef(AF86,AF125,$I$110)</f>
        <v>#N/A</v>
      </c>
      <c r="AG141" s="15" t="e" cm="1">
        <f t="array" aca="1" ref="AG141" ca="1">MMS_PastureBeef_Methane_Equations.VEERG_4_2_1_1__3_VolatileSolidProductionFromGrazingBeef(AG86,AG125,$I$110)</f>
        <v>#N/A</v>
      </c>
      <c r="AH141" s="16" t="str">
        <f t="shared" si="3"/>
        <v>kg/head/day</v>
      </c>
      <c r="AI141" s="16"/>
      <c r="AJ141" s="16"/>
    </row>
    <row r="142" spans="4:36" ht="20" customHeight="1" x14ac:dyDescent="0.25">
      <c r="W142" s="15" t="str">
        <f t="shared" si="5"/>
        <v>November</v>
      </c>
      <c r="X142" s="15" t="e" cm="1">
        <f t="array" aca="1" ref="X142" ca="1">MMS_PastureBeef_Methane_Equations.VEERG_4_2_1_1__3_VolatileSolidProductionFromGrazingBeef(X87,X126,$I$110)</f>
        <v>#N/A</v>
      </c>
      <c r="Y142" s="15" t="e" cm="1">
        <f t="array" aca="1" ref="Y142" ca="1">MMS_PastureBeef_Methane_Equations.VEERG_4_2_1_1__3_VolatileSolidProductionFromGrazingBeef(Y87,Y126,$I$110)</f>
        <v>#N/A</v>
      </c>
      <c r="Z142" s="15" t="e" cm="1">
        <f t="array" aca="1" ref="Z142" ca="1">MMS_PastureBeef_Methane_Equations.VEERG_4_2_1_1__3_VolatileSolidProductionFromGrazingBeef(Z87,Z126,$I$110)</f>
        <v>#N/A</v>
      </c>
      <c r="AA142" s="15" t="e" cm="1">
        <f t="array" aca="1" ref="AA142" ca="1">MMS_PastureBeef_Methane_Equations.VEERG_4_2_1_1__3_VolatileSolidProductionFromGrazingBeef(AA87,AA126,$I$110)</f>
        <v>#N/A</v>
      </c>
      <c r="AB142" s="15" t="e" cm="1">
        <f t="array" aca="1" ref="AB142" ca="1">MMS_PastureBeef_Methane_Equations.VEERG_4_2_1_1__3_VolatileSolidProductionFromGrazingBeef(AB87,AB126,$I$110)</f>
        <v>#N/A</v>
      </c>
      <c r="AC142" s="15" t="e" cm="1">
        <f t="array" aca="1" ref="AC142" ca="1">MMS_PastureBeef_Methane_Equations.VEERG_4_2_1_1__3_VolatileSolidProductionFromGrazingBeef(AC87,AC126,$I$110)</f>
        <v>#N/A</v>
      </c>
      <c r="AD142" s="15" t="e" cm="1">
        <f t="array" aca="1" ref="AD142" ca="1">MMS_PastureBeef_Methane_Equations.VEERG_4_2_1_1__3_VolatileSolidProductionFromGrazingBeef(AD87,AD126,$I$110)</f>
        <v>#N/A</v>
      </c>
      <c r="AE142" s="15" t="e" cm="1">
        <f t="array" aca="1" ref="AE142" ca="1">MMS_PastureBeef_Methane_Equations.VEERG_4_2_1_1__3_VolatileSolidProductionFromGrazingBeef(AE87,AE126,$I$110)</f>
        <v>#N/A</v>
      </c>
      <c r="AF142" s="15" t="e" cm="1">
        <f t="array" aca="1" ref="AF142" ca="1">MMS_PastureBeef_Methane_Equations.VEERG_4_2_1_1__3_VolatileSolidProductionFromGrazingBeef(AF87,AF126,$I$110)</f>
        <v>#N/A</v>
      </c>
      <c r="AG142" s="15" t="e" cm="1">
        <f t="array" aca="1" ref="AG142" ca="1">MMS_PastureBeef_Methane_Equations.VEERG_4_2_1_1__3_VolatileSolidProductionFromGrazingBeef(AG87,AG126,$I$110)</f>
        <v>#N/A</v>
      </c>
      <c r="AH142" s="16" t="str">
        <f t="shared" si="3"/>
        <v>kg/head/day</v>
      </c>
      <c r="AI142" s="16"/>
      <c r="AJ142" s="16"/>
    </row>
    <row r="143" spans="4:36" ht="20" customHeight="1" x14ac:dyDescent="0.25"/>
    <row r="144" spans="4:36" ht="20" customHeight="1" x14ac:dyDescent="0.25"/>
    <row r="145" spans="3:37" ht="20" customHeight="1" x14ac:dyDescent="0.25">
      <c r="C145" s="87"/>
      <c r="D145" s="87"/>
      <c r="E145" s="87"/>
      <c r="F145" s="87"/>
      <c r="G145" s="87"/>
      <c r="H145" s="87"/>
      <c r="I145" s="87"/>
      <c r="J145" s="87"/>
      <c r="K145" s="87"/>
      <c r="L145" s="87"/>
      <c r="M145" s="87"/>
      <c r="N145" s="87"/>
      <c r="O145" s="87"/>
      <c r="P145" s="87"/>
      <c r="Q145" s="87"/>
      <c r="R145" s="87"/>
      <c r="S145" s="87"/>
      <c r="T145" s="87"/>
      <c r="V145" s="87"/>
      <c r="W145" s="87"/>
      <c r="X145" s="87"/>
      <c r="Y145" s="87"/>
      <c r="Z145" s="87"/>
      <c r="AA145" s="87"/>
      <c r="AB145" s="87"/>
      <c r="AC145" s="87"/>
      <c r="AD145" s="87"/>
      <c r="AE145" s="87"/>
      <c r="AF145" s="87"/>
      <c r="AG145" s="87"/>
      <c r="AH145" s="87"/>
      <c r="AI145" s="87"/>
      <c r="AJ145" s="87"/>
      <c r="AK145" s="87"/>
    </row>
    <row r="146" spans="3:37" ht="20" customHeight="1" x14ac:dyDescent="0.25">
      <c r="D146" s="2" t="str" cm="1">
        <f t="array" ref="D146">MMS_PastureBeef_Methane_Equations.VEERG_4_2_1_1__2_MethaneProductionFromManure_Title()</f>
        <v>Methane production from the manure of grazing beef cattle</v>
      </c>
    </row>
    <row r="147" spans="3:37" ht="20" customHeight="1" x14ac:dyDescent="0.25">
      <c r="D147" s="17" t="str" cm="1">
        <f t="array" ref="D147">MMS_PastureBeef_Methane_Equations.VEERG_4_2_1_1__2_MethaneProductionFromManure_Source()</f>
        <v>VEERG 2026: 4.2.1.1, Equation (2)</v>
      </c>
    </row>
    <row r="148" spans="3:37" ht="20" customHeight="1" x14ac:dyDescent="0.25">
      <c r="D148" s="103" t="s">
        <v>372</v>
      </c>
      <c r="E148" s="103" t="str" cm="1">
        <f t="array" aca="1" ref="E148" ca="1">Common_InputFunctions.Utility_DisplayFunctionName($F$177)</f>
        <v>=MMS_PastureBeef_Methane_Equations.VEERG_4_2_1_1__2_MethaneProductionFromManure</v>
      </c>
    </row>
    <row r="149" spans="3:37" ht="20" customHeight="1" x14ac:dyDescent="0.25"/>
    <row r="150" spans="3:37" ht="20" customHeight="1" x14ac:dyDescent="0.25"/>
    <row r="151" spans="3:37" ht="20" customHeight="1" x14ac:dyDescent="0.25">
      <c r="D151" s="77" t="s">
        <v>374</v>
      </c>
      <c r="E151" s="1" t="str" cm="1">
        <f t="array" ref="E151">MMS_PastureBeef_Methane_Equations.VEERG_4_2_1_1__2_MethaneProductionFromManure_Variable()</f>
        <v>M_jklm</v>
      </c>
    </row>
    <row r="152" spans="3:37" ht="20" customHeight="1" x14ac:dyDescent="0.25">
      <c r="D152" s="77" t="s">
        <v>121</v>
      </c>
      <c r="E152" s="9" t="str" cm="1">
        <f t="array" ref="E152">MMS_PastureBeef_Methane_Equations.VEERG_4_2_1_1__2_MethaneProductionFromManure_Unit()</f>
        <v>kg CH4/head/day</v>
      </c>
    </row>
    <row r="153" spans="3:37" ht="20" customHeight="1" x14ac:dyDescent="0.25"/>
    <row r="154" spans="3:37" ht="20" customHeight="1" x14ac:dyDescent="0.25">
      <c r="D154" s="105" t="str" cm="1">
        <f t="array" ref="D154:E160">_xlfn.CHOOSECOLS(MMS_PastureBeef_Methane_Equations.VEERG_4_2_1_1__2_MethaneProductionFromManure_Arguments(), 1, 2)</f>
        <v>VS_jkl</v>
      </c>
      <c r="E154" s="106" t="str">
        <v>volatile solid production</v>
      </c>
      <c r="F154" s="108"/>
      <c r="G154" s="105" t="str" cm="1">
        <f t="array" ref="G154:H160">_xlfn.CHOOSECOLS(MMS_PastureBeef_Methane_Equations.VEERG_4_2_1_1__2_MethaneProductionFromManure_Arguments(), 3,4)</f>
        <v>kg/day</v>
      </c>
      <c r="H154" s="110" t="str">
        <v>Calculated from 4.2.1.1 (3)</v>
      </c>
      <c r="I154" s="111" t="str" cm="1">
        <f t="array" aca="1" ref="I154" ca="1">HYPERLINK(Common_InputFunctions.Utility_SourceHyperlink($D$128), $D$128)</f>
        <v>M1_Table_VS_j_k_l</v>
      </c>
      <c r="W154" s="105" t="str" cm="1">
        <f t="array" ref="W154:X159">_xlfn.CHOOSECOLS(MMS_PastureBeef_Methane_Equations.VEERG_4_2_1_1__2_MethaneProductionFromManure_Arguments_Method2(), 1, 2)</f>
        <v>VS_jkl</v>
      </c>
      <c r="X154" s="106" t="str">
        <v>volatile solid production</v>
      </c>
      <c r="Y154" s="108"/>
      <c r="Z154" s="105" t="str" cm="1">
        <f t="array" ref="Z154:AA159">_xlfn.CHOOSECOLS(MMS_PastureBeef_Methane_Equations.VEERG_4_2_1_1__2_MethaneProductionFromManure_Arguments_Method2(), 3,4)</f>
        <v>kg/day</v>
      </c>
      <c r="AA154" s="110" t="str">
        <v>Calculated from 4.2.1.1 (3)</v>
      </c>
      <c r="AB154" s="111"/>
    </row>
    <row r="155" spans="3:37" ht="20" customHeight="1" x14ac:dyDescent="0.25">
      <c r="D155" s="105" t="str">
        <v>B_o</v>
      </c>
      <c r="E155" s="106" t="str">
        <v>emissions potential</v>
      </c>
      <c r="F155" s="108"/>
      <c r="G155" s="105" t="str">
        <v>m3 CH4/kg VS</v>
      </c>
      <c r="H155" s="110" t="str">
        <v>Constant</v>
      </c>
      <c r="I155" s="105">
        <f>SourceData_PastureBeef_MethaneEmissionsPotential_Data</f>
        <v>0.19</v>
      </c>
      <c r="W155" s="105" t="str">
        <v>B_o</v>
      </c>
      <c r="X155" s="106" t="str">
        <v>emissions potential</v>
      </c>
      <c r="Y155" s="108"/>
      <c r="Z155" s="105" t="str">
        <v>m3 CH4/kg VS</v>
      </c>
      <c r="AA155" s="110" t="str">
        <v>Constant</v>
      </c>
      <c r="AB155" s="105"/>
    </row>
    <row r="156" spans="3:37" ht="20" customHeight="1" x14ac:dyDescent="0.25">
      <c r="D156" s="105" t="str">
        <v>MMS_m</v>
      </c>
      <c r="E156" s="106" t="str">
        <v>fraction of waste in each manure management system</v>
      </c>
      <c r="F156" s="108"/>
      <c r="G156" s="105" t="str">
        <v>fraction</v>
      </c>
      <c r="H156" s="109" t="str">
        <v>Input</v>
      </c>
      <c r="I156" s="111" t="str" cm="1">
        <f t="array" aca="1" ref="I156" ca="1">HYPERLINK(Common_InputFunctions.Utility_SourceHyperlink($D$162), $D$162)</f>
        <v>Table_MMS_m</v>
      </c>
      <c r="W156" s="105" t="str">
        <v>MMS_m</v>
      </c>
      <c r="X156" s="106" t="str">
        <v>fraction of waste in each manure management system</v>
      </c>
      <c r="Y156" s="108"/>
      <c r="Z156" s="105" t="str">
        <v>fraction</v>
      </c>
      <c r="AA156" s="109" t="str">
        <v>Input</v>
      </c>
      <c r="AB156" s="111"/>
    </row>
    <row r="157" spans="3:37" ht="20" customHeight="1" x14ac:dyDescent="0.25">
      <c r="D157" s="105" t="str">
        <v>MCF_im</v>
      </c>
      <c r="E157" s="106" t="str">
        <v>methane conversion factor for temperature zone and MMS</v>
      </c>
      <c r="F157" s="108"/>
      <c r="G157" s="105" t="str">
        <v>fraction</v>
      </c>
      <c r="H157" s="110" t="str">
        <v>Constant</v>
      </c>
      <c r="I157" s="111" t="str" cm="1">
        <f t="array" aca="1" ref="I157" ca="1">HYPERLINK(Common_InputFunctions.Utility_SourceHyperlink($D$168), $D$168)</f>
        <v>M1_Table_MCF_i_m</v>
      </c>
      <c r="W157" s="105" t="str">
        <v>MCF_im</v>
      </c>
      <c r="X157" s="106" t="str">
        <v>methane conversion factor for temperature zone and MMS</v>
      </c>
      <c r="Y157" s="108"/>
      <c r="Z157" s="105" t="str">
        <v>fraction</v>
      </c>
      <c r="AA157" s="110" t="str">
        <v>Constant</v>
      </c>
      <c r="AB157" s="111"/>
    </row>
    <row r="158" spans="3:37" ht="20" customHeight="1" x14ac:dyDescent="0.25">
      <c r="D158" s="105" t="str">
        <v>rho</v>
      </c>
      <c r="E158" s="106" t="str">
        <v>density of methane</v>
      </c>
      <c r="F158" s="108"/>
      <c r="G158" s="105" t="str">
        <v>kg/m3</v>
      </c>
      <c r="H158" s="110" t="str">
        <v>Constant</v>
      </c>
      <c r="I158" s="105">
        <f>Common_SourceData_DensityOfMethane_Data</f>
        <v>0.6784</v>
      </c>
      <c r="W158" s="105" t="str">
        <v>rho</v>
      </c>
      <c r="X158" s="106" t="str">
        <v>density of methane</v>
      </c>
      <c r="Y158" s="108"/>
      <c r="Z158" s="105" t="str">
        <v>kg/m3</v>
      </c>
      <c r="AA158" s="110" t="str">
        <v>Constant</v>
      </c>
      <c r="AB158" s="105"/>
    </row>
    <row r="159" spans="3:37" ht="20" customHeight="1" x14ac:dyDescent="0.25">
      <c r="D159" s="105" t="str">
        <v>i</v>
      </c>
      <c r="E159" s="106" t="str">
        <v>state</v>
      </c>
      <c r="F159" s="108"/>
      <c r="G159" s="105" t="str">
        <v/>
      </c>
      <c r="H159" s="109" t="str">
        <v>Input</v>
      </c>
      <c r="I159" s="105">
        <f>X_Cell_Site_State</f>
        <v>0</v>
      </c>
      <c r="W159" s="105" t="str">
        <v>MAT</v>
      </c>
      <c r="X159" s="106" t="str">
        <v>Mean annual temperature</v>
      </c>
      <c r="Y159" s="108"/>
      <c r="Z159" s="105" t="str">
        <v>°C</v>
      </c>
      <c r="AA159" s="109" t="str">
        <v>Input</v>
      </c>
      <c r="AB159" s="105">
        <f>X_Cell_Site_AverageTemperature</f>
        <v>0</v>
      </c>
    </row>
    <row r="160" spans="3:37" ht="20" customHeight="1" x14ac:dyDescent="0.25">
      <c r="D160" s="105" t="str">
        <v>i</v>
      </c>
      <c r="E160" s="106" t="str">
        <v>region</v>
      </c>
      <c r="F160" s="108"/>
      <c r="G160" s="105" t="str">
        <v/>
      </c>
      <c r="H160" s="109" t="str">
        <v>Input</v>
      </c>
      <c r="I160" s="105">
        <f>X_Cell_PastureBeef_ProductionRegion</f>
        <v>0</v>
      </c>
    </row>
    <row r="161" spans="4:34" ht="20" customHeight="1" x14ac:dyDescent="0.25"/>
    <row r="162" spans="4:34" ht="20" customHeight="1" x14ac:dyDescent="0.25">
      <c r="D162" s="112" t="s">
        <v>409</v>
      </c>
    </row>
    <row r="163" spans="4:34" ht="20" customHeight="1" x14ac:dyDescent="0.25">
      <c r="D163" s="113" t="s">
        <v>410</v>
      </c>
    </row>
    <row r="164" spans="4:34" ht="20" customHeight="1" x14ac:dyDescent="0.25">
      <c r="D164" s="114" t="s">
        <v>411</v>
      </c>
      <c r="E164" s="82" t="s">
        <v>412</v>
      </c>
      <c r="F164" s="16" t="s">
        <v>346</v>
      </c>
    </row>
    <row r="165" spans="4:34" ht="20" customHeight="1" x14ac:dyDescent="0.25">
      <c r="D165" s="15" t="str">
        <f>'Input - Pasture Beef'!$D$152</f>
        <v>Pasture range and paddock</v>
      </c>
      <c r="E165" s="15" t="e">
        <f>X_Cell_PastureBeef_CalculatedMMSPastureRangeAndPaddock</f>
        <v>#VALUE!</v>
      </c>
      <c r="F165" s="16" t="s">
        <v>346</v>
      </c>
    </row>
    <row r="166" spans="4:34" ht="20" customHeight="1" x14ac:dyDescent="0.25">
      <c r="D166" s="15" t="str">
        <f>'Input - Pasture Beef'!$D$153</f>
        <v>Anaerobic lagoon</v>
      </c>
      <c r="E166" s="15" t="e">
        <f>X_Cell_PastureBeef_CalculatedMMSAnaerobicLagoon</f>
        <v>#VALUE!</v>
      </c>
    </row>
    <row r="167" spans="4:34" ht="20" customHeight="1" x14ac:dyDescent="0.25"/>
    <row r="168" spans="4:34" ht="20" customHeight="1" x14ac:dyDescent="0.25">
      <c r="D168" s="112" t="s">
        <v>413</v>
      </c>
      <c r="W168" s="112" t="s">
        <v>414</v>
      </c>
    </row>
    <row r="169" spans="4:34" ht="20" customHeight="1" x14ac:dyDescent="0.25">
      <c r="D169" s="113" t="s">
        <v>415</v>
      </c>
      <c r="W169" s="113" t="s">
        <v>416</v>
      </c>
    </row>
    <row r="170" spans="4:34" ht="20" customHeight="1" x14ac:dyDescent="0.25">
      <c r="D170" s="114" t="s">
        <v>411</v>
      </c>
      <c r="E170" s="114" t="s">
        <v>417</v>
      </c>
      <c r="W170" s="114" t="s">
        <v>411</v>
      </c>
      <c r="X170" s="114" t="s">
        <v>417</v>
      </c>
    </row>
    <row r="171" spans="4:34" ht="20" customHeight="1" x14ac:dyDescent="0.25">
      <c r="D171" s="15" t="str">
        <f>'Input - Pasture Beef'!$D$152</f>
        <v>Pasture range and paddock</v>
      </c>
      <c r="E171" s="15" t="str">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
      </c>
      <c r="W171" s="15" t="str">
        <f>'Input - Pasture Beef'!$D$152</f>
        <v>Pasture range and paddock</v>
      </c>
      <c r="X171" s="15">
        <f>Common_InputFunctions.Common_GetMCFTemperatureZone($AB$159, W171,Table_SourceData_Common_MCFTemperatureZone[MAT raw],Table_SourceData_Common_MCFTemperatureZone[#Headers],Table_SourceData_Common_MCFTemperatureZone[#Data])</f>
        <v>4.7000000000000002E-3</v>
      </c>
    </row>
    <row r="172" spans="4:34" ht="20" customHeight="1" x14ac:dyDescent="0.25">
      <c r="D172" s="15" t="str">
        <f>'Input - Pasture Beef'!$D$153</f>
        <v>Anaerobic lagoon</v>
      </c>
      <c r="E172" s="15" t="str">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
      </c>
      <c r="W172" s="15" t="str">
        <f>'Input - Pasture Beef'!$D$153</f>
        <v>Anaerobic lagoon</v>
      </c>
      <c r="X172" s="15">
        <f>Common_InputFunctions.Common_GetMCFTemperatureZone($AB$159, W172,Table_SourceData_Common_MCFTemperatureZone[MAT raw],Table_SourceData_Common_MCFTemperatureZone[#Headers],Table_SourceData_Common_MCFTemperatureZone[#Data])</f>
        <v>0.66</v>
      </c>
    </row>
    <row r="173" spans="4:34" ht="20" customHeight="1" x14ac:dyDescent="0.25"/>
    <row r="174" spans="4:34" ht="20" customHeight="1" x14ac:dyDescent="0.25">
      <c r="D174" s="112" t="s">
        <v>418</v>
      </c>
      <c r="W174" s="112" t="s">
        <v>419</v>
      </c>
    </row>
    <row r="175" spans="4:34" ht="20" customHeight="1" x14ac:dyDescent="0.25">
      <c r="D175" s="113" t="s">
        <v>420</v>
      </c>
      <c r="W175" s="113" t="s">
        <v>421</v>
      </c>
    </row>
    <row r="176" spans="4:34" ht="20" customHeight="1" x14ac:dyDescent="0.25">
      <c r="D176" s="114" t="s">
        <v>411</v>
      </c>
      <c r="E176" s="114" t="s">
        <v>76</v>
      </c>
      <c r="F176" s="114" t="s">
        <v>326</v>
      </c>
      <c r="G176" s="114" t="s">
        <v>184</v>
      </c>
      <c r="H176" s="114" t="s">
        <v>327</v>
      </c>
      <c r="I176" s="114" t="s">
        <v>328</v>
      </c>
      <c r="J176" s="114" t="s">
        <v>329</v>
      </c>
      <c r="K176" s="114" t="s">
        <v>330</v>
      </c>
      <c r="L176" s="114" t="s">
        <v>331</v>
      </c>
      <c r="M176" s="114" t="s">
        <v>332</v>
      </c>
      <c r="N176" s="114" t="s">
        <v>333</v>
      </c>
      <c r="O176" s="114" t="s">
        <v>334</v>
      </c>
      <c r="W176" s="114" t="s">
        <v>411</v>
      </c>
      <c r="X176" s="114" t="s">
        <v>75</v>
      </c>
      <c r="Y176" s="114" t="s">
        <v>326</v>
      </c>
      <c r="Z176" s="114" t="s">
        <v>184</v>
      </c>
      <c r="AA176" s="114" t="s">
        <v>327</v>
      </c>
      <c r="AB176" s="114" t="s">
        <v>328</v>
      </c>
      <c r="AC176" s="114" t="s">
        <v>329</v>
      </c>
      <c r="AD176" s="114" t="s">
        <v>330</v>
      </c>
      <c r="AE176" s="114" t="s">
        <v>331</v>
      </c>
      <c r="AF176" s="114" t="s">
        <v>332</v>
      </c>
      <c r="AG176" s="114" t="s">
        <v>333</v>
      </c>
      <c r="AH176" s="114" t="s">
        <v>334</v>
      </c>
    </row>
    <row r="177" spans="4:36" ht="20" customHeight="1" x14ac:dyDescent="0.25">
      <c r="D177" s="15" t="str">
        <f>'Input - Pasture Beef'!$D$152</f>
        <v>Pasture range and paddock</v>
      </c>
      <c r="E177" s="15" t="s">
        <v>335</v>
      </c>
      <c r="F177" s="15" t="e" cm="1">
        <f t="array" aca="1" ref="F177" ca="1">MMS_PastureBeef_Methane_Equations.VEERG_4_2_1_1__2_MethaneProductionFromManure(E131,$I$155,$E$165,$E$171,$I$158)</f>
        <v>#N/A</v>
      </c>
      <c r="G177" s="15" t="e" cm="1">
        <f t="array" aca="1" ref="G177" ca="1">MMS_PastureBeef_Methane_Equations.VEERG_4_2_1_1__2_MethaneProductionFromManure(F131,$I$155,$E$165,$E$171,$I$158)</f>
        <v>#N/A</v>
      </c>
      <c r="H177" s="15" t="e" cm="1">
        <f t="array" aca="1" ref="H177" ca="1">MMS_PastureBeef_Methane_Equations.VEERG_4_2_1_1__2_MethaneProductionFromManure(G131,$I$155,$E$165,$E$171,$I$158)</f>
        <v>#N/A</v>
      </c>
      <c r="I177" s="15" t="e" cm="1">
        <f t="array" aca="1" ref="I177" ca="1">MMS_PastureBeef_Methane_Equations.VEERG_4_2_1_1__2_MethaneProductionFromManure(H131,$I$155,$E$165,$E$171,$I$158)</f>
        <v>#N/A</v>
      </c>
      <c r="J177" s="15" t="e" cm="1">
        <f t="array" aca="1" ref="J177" ca="1">MMS_PastureBeef_Methane_Equations.VEERG_4_2_1_1__2_MethaneProductionFromManure(I131,$I$155,$E$165,$E$171,$I$158)</f>
        <v>#N/A</v>
      </c>
      <c r="K177" s="15" t="e" cm="1">
        <f t="array" aca="1" ref="K177" ca="1">MMS_PastureBeef_Methane_Equations.VEERG_4_2_1_1__2_MethaneProductionFromManure(J131,$I$155,$E$165,$E$171,$I$158)</f>
        <v>#N/A</v>
      </c>
      <c r="L177" s="15" t="e" cm="1">
        <f t="array" aca="1" ref="L177" ca="1">MMS_PastureBeef_Methane_Equations.VEERG_4_2_1_1__2_MethaneProductionFromManure(K131,$I$155,$E$165,$E$171,$I$158)</f>
        <v>#N/A</v>
      </c>
      <c r="M177" s="15" t="e" cm="1">
        <f t="array" aca="1" ref="M177" ca="1">MMS_PastureBeef_Methane_Equations.VEERG_4_2_1_1__2_MethaneProductionFromManure(L131,$I$155,$E$165,$E$171,$I$158)</f>
        <v>#N/A</v>
      </c>
      <c r="N177" s="15" t="e" cm="1">
        <f t="array" aca="1" ref="N177" ca="1">MMS_PastureBeef_Methane_Equations.VEERG_4_2_1_1__2_MethaneProductionFromManure(M131,$I$155,$E$165,$E$171,$I$158)</f>
        <v>#N/A</v>
      </c>
      <c r="O177" s="15" t="e" cm="1">
        <f t="array" aca="1" ref="O177" ca="1">MMS_PastureBeef_Methane_Equations.VEERG_4_2_1_1__2_MethaneProductionFromManure(N131,$I$155,$E$165,$E$171,$I$158)</f>
        <v>#N/A</v>
      </c>
      <c r="P177" s="16" t="str">
        <f t="shared" ref="P177:P184" si="6">$E$152</f>
        <v>kg CH4/head/day</v>
      </c>
      <c r="Q177" s="16"/>
      <c r="R177" s="16"/>
      <c r="S177" s="16"/>
      <c r="W177" s="15" t="str">
        <f>'Input - Pasture Beef'!$D$152</f>
        <v>Pasture range and paddock</v>
      </c>
      <c r="X177" s="15" t="str">
        <f t="shared" ref="X177:X188" si="7">W131</f>
        <v>January</v>
      </c>
      <c r="Y177" s="15" t="e" cm="1">
        <f t="array" aca="1" ref="Y177" ca="1">MMS_PastureBeef_Methane_Equations.VEERG_4_2_1_1__2_MethaneProductionFromManure(X131,$I$155,$E$165,$X$171,$I$158)</f>
        <v>#N/A</v>
      </c>
      <c r="Z177" s="15" t="e" cm="1">
        <f t="array" aca="1" ref="Z177" ca="1">MMS_PastureBeef_Methane_Equations.VEERG_4_2_1_1__2_MethaneProductionFromManure(Y131,$I$155,$E$165,$X$171,$I$158)</f>
        <v>#N/A</v>
      </c>
      <c r="AA177" s="15" t="e" cm="1">
        <f t="array" aca="1" ref="AA177" ca="1">MMS_PastureBeef_Methane_Equations.VEERG_4_2_1_1__2_MethaneProductionFromManure(Z131,$I$155,$E$165,$X$171,$I$158)</f>
        <v>#N/A</v>
      </c>
      <c r="AB177" s="15" t="e" cm="1">
        <f t="array" aca="1" ref="AB177" ca="1">MMS_PastureBeef_Methane_Equations.VEERG_4_2_1_1__2_MethaneProductionFromManure(AA131,$I$155,$E$165,$X$171,$I$158)</f>
        <v>#N/A</v>
      </c>
      <c r="AC177" s="15" t="e" cm="1">
        <f t="array" aca="1" ref="AC177" ca="1">MMS_PastureBeef_Methane_Equations.VEERG_4_2_1_1__2_MethaneProductionFromManure(AB131,$I$155,$E$165,$X$171,$I$158)</f>
        <v>#N/A</v>
      </c>
      <c r="AD177" s="15" t="e" cm="1">
        <f t="array" aca="1" ref="AD177" ca="1">MMS_PastureBeef_Methane_Equations.VEERG_4_2_1_1__2_MethaneProductionFromManure(AC131,$I$155,$E$165,$X$171,$I$158)</f>
        <v>#N/A</v>
      </c>
      <c r="AE177" s="15" t="e" cm="1">
        <f t="array" aca="1" ref="AE177" ca="1">MMS_PastureBeef_Methane_Equations.VEERG_4_2_1_1__2_MethaneProductionFromManure(AD131,$I$155,$E$165,$X$171,$I$158)</f>
        <v>#N/A</v>
      </c>
      <c r="AF177" s="15" t="e" cm="1">
        <f t="array" aca="1" ref="AF177" ca="1">MMS_PastureBeef_Methane_Equations.VEERG_4_2_1_1__2_MethaneProductionFromManure(AE131,$I$155,$E$165,$X$171,$I$158)</f>
        <v>#N/A</v>
      </c>
      <c r="AG177" s="15" t="e" cm="1">
        <f t="array" aca="1" ref="AG177" ca="1">MMS_PastureBeef_Methane_Equations.VEERG_4_2_1_1__2_MethaneProductionFromManure(AF131,$I$155,$E$165,$X$171,$I$158)</f>
        <v>#N/A</v>
      </c>
      <c r="AH177" s="15" t="e" cm="1">
        <f t="array" aca="1" ref="AH177" ca="1">MMS_PastureBeef_Methane_Equations.VEERG_4_2_1_1__2_MethaneProductionFromManure(AG131,$I$155,$E$165,$X$171,$I$158)</f>
        <v>#N/A</v>
      </c>
      <c r="AI177" s="16" t="str">
        <f t="shared" ref="AI177:AI200" si="8">$E$152</f>
        <v>kg CH4/head/day</v>
      </c>
      <c r="AJ177" s="16"/>
    </row>
    <row r="178" spans="4:36" ht="20" customHeight="1" x14ac:dyDescent="0.25">
      <c r="D178" s="15" t="str">
        <f>'Input - Pasture Beef'!$D$152</f>
        <v>Pasture range and paddock</v>
      </c>
      <c r="E178" s="15" t="s">
        <v>336</v>
      </c>
      <c r="F178" s="15" t="e" cm="1">
        <f t="array" aca="1" ref="F178" ca="1">MMS_PastureBeef_Methane_Equations.VEERG_4_2_1_1__2_MethaneProductionFromManure(E132,$I$155,$E$165,$E$171,$I$158)</f>
        <v>#N/A</v>
      </c>
      <c r="G178" s="15" t="e" cm="1">
        <f t="array" aca="1" ref="G178" ca="1">MMS_PastureBeef_Methane_Equations.VEERG_4_2_1_1__2_MethaneProductionFromManure(F132,$I$155,$E$165,$E$171,$I$158)</f>
        <v>#N/A</v>
      </c>
      <c r="H178" s="15" t="e" cm="1">
        <f t="array" aca="1" ref="H178" ca="1">MMS_PastureBeef_Methane_Equations.VEERG_4_2_1_1__2_MethaneProductionFromManure(G132,$I$155,$E$165,$E$171,$I$158)</f>
        <v>#N/A</v>
      </c>
      <c r="I178" s="15" t="e" cm="1">
        <f t="array" aca="1" ref="I178" ca="1">MMS_PastureBeef_Methane_Equations.VEERG_4_2_1_1__2_MethaneProductionFromManure(H132,$I$155,$E$165,$E$171,$I$158)</f>
        <v>#N/A</v>
      </c>
      <c r="J178" s="15" t="e" cm="1">
        <f t="array" aca="1" ref="J178" ca="1">MMS_PastureBeef_Methane_Equations.VEERG_4_2_1_1__2_MethaneProductionFromManure(I132,$I$155,$E$165,$E$171,$I$158)</f>
        <v>#N/A</v>
      </c>
      <c r="K178" s="15" t="e" cm="1">
        <f t="array" aca="1" ref="K178" ca="1">MMS_PastureBeef_Methane_Equations.VEERG_4_2_1_1__2_MethaneProductionFromManure(J132,$I$155,$E$165,$E$171,$I$158)</f>
        <v>#N/A</v>
      </c>
      <c r="L178" s="15" t="e" cm="1">
        <f t="array" aca="1" ref="L178" ca="1">MMS_PastureBeef_Methane_Equations.VEERG_4_2_1_1__2_MethaneProductionFromManure(K132,$I$155,$E$165,$E$171,$I$158)</f>
        <v>#N/A</v>
      </c>
      <c r="M178" s="15" t="e" cm="1">
        <f t="array" aca="1" ref="M178" ca="1">MMS_PastureBeef_Methane_Equations.VEERG_4_2_1_1__2_MethaneProductionFromManure(L132,$I$155,$E$165,$E$171,$I$158)</f>
        <v>#N/A</v>
      </c>
      <c r="N178" s="15" t="e" cm="1">
        <f t="array" aca="1" ref="N178" ca="1">MMS_PastureBeef_Methane_Equations.VEERG_4_2_1_1__2_MethaneProductionFromManure(M132,$I$155,$E$165,$E$171,$I$158)</f>
        <v>#N/A</v>
      </c>
      <c r="O178" s="15" t="e" cm="1">
        <f t="array" aca="1" ref="O178" ca="1">MMS_PastureBeef_Methane_Equations.VEERG_4_2_1_1__2_MethaneProductionFromManure(N132,$I$155,$E$165,$E$171,$I$158)</f>
        <v>#N/A</v>
      </c>
      <c r="P178" s="16" t="str">
        <f t="shared" si="6"/>
        <v>kg CH4/head/day</v>
      </c>
      <c r="Q178" s="16"/>
      <c r="R178" s="16"/>
      <c r="S178" s="16"/>
      <c r="W178" s="15" t="str">
        <f>'Input - Pasture Beef'!$D$152</f>
        <v>Pasture range and paddock</v>
      </c>
      <c r="X178" s="15" t="str">
        <f t="shared" si="7"/>
        <v>January</v>
      </c>
      <c r="Y178" s="15" t="e" cm="1">
        <f t="array" aca="1" ref="Y178" ca="1">MMS_PastureBeef_Methane_Equations.VEERG_4_2_1_1__2_MethaneProductionFromManure(X132,$I$155,$E$165,$X$171,$I$158)</f>
        <v>#N/A</v>
      </c>
      <c r="Z178" s="15" t="e" cm="1">
        <f t="array" aca="1" ref="Z178" ca="1">MMS_PastureBeef_Methane_Equations.VEERG_4_2_1_1__2_MethaneProductionFromManure(Y132,$I$155,$E$165,$X$171,$I$158)</f>
        <v>#N/A</v>
      </c>
      <c r="AA178" s="15" t="e" cm="1">
        <f t="array" aca="1" ref="AA178" ca="1">MMS_PastureBeef_Methane_Equations.VEERG_4_2_1_1__2_MethaneProductionFromManure(Z132,$I$155,$E$165,$X$171,$I$158)</f>
        <v>#N/A</v>
      </c>
      <c r="AB178" s="15" t="e" cm="1">
        <f t="array" aca="1" ref="AB178" ca="1">MMS_PastureBeef_Methane_Equations.VEERG_4_2_1_1__2_MethaneProductionFromManure(AA132,$I$155,$E$165,$X$171,$I$158)</f>
        <v>#N/A</v>
      </c>
      <c r="AC178" s="15" t="e" cm="1">
        <f t="array" aca="1" ref="AC178" ca="1">MMS_PastureBeef_Methane_Equations.VEERG_4_2_1_1__2_MethaneProductionFromManure(AB132,$I$155,$E$165,$X$171,$I$158)</f>
        <v>#N/A</v>
      </c>
      <c r="AD178" s="15" t="e" cm="1">
        <f t="array" aca="1" ref="AD178" ca="1">MMS_PastureBeef_Methane_Equations.VEERG_4_2_1_1__2_MethaneProductionFromManure(AC132,$I$155,$E$165,$X$171,$I$158)</f>
        <v>#N/A</v>
      </c>
      <c r="AE178" s="15" t="e" cm="1">
        <f t="array" aca="1" ref="AE178" ca="1">MMS_PastureBeef_Methane_Equations.VEERG_4_2_1_1__2_MethaneProductionFromManure(AD132,$I$155,$E$165,$X$171,$I$158)</f>
        <v>#N/A</v>
      </c>
      <c r="AF178" s="15" t="e" cm="1">
        <f t="array" aca="1" ref="AF178" ca="1">MMS_PastureBeef_Methane_Equations.VEERG_4_2_1_1__2_MethaneProductionFromManure(AE132,$I$155,$E$165,$X$171,$I$158)</f>
        <v>#N/A</v>
      </c>
      <c r="AG178" s="15" t="e" cm="1">
        <f t="array" aca="1" ref="AG178" ca="1">MMS_PastureBeef_Methane_Equations.VEERG_4_2_1_1__2_MethaneProductionFromManure(AF132,$I$155,$E$165,$X$171,$I$158)</f>
        <v>#N/A</v>
      </c>
      <c r="AH178" s="15" t="e" cm="1">
        <f t="array" aca="1" ref="AH178" ca="1">MMS_PastureBeef_Methane_Equations.VEERG_4_2_1_1__2_MethaneProductionFromManure(AG132,$I$155,$E$165,$X$171,$I$158)</f>
        <v>#N/A</v>
      </c>
      <c r="AI178" s="16" t="str">
        <f t="shared" si="8"/>
        <v>kg CH4/head/day</v>
      </c>
      <c r="AJ178" s="16"/>
    </row>
    <row r="179" spans="4:36" ht="20" customHeight="1" x14ac:dyDescent="0.25">
      <c r="D179" s="15" t="str">
        <f>'Input - Pasture Beef'!$D$152</f>
        <v>Pasture range and paddock</v>
      </c>
      <c r="E179" s="15" t="s">
        <v>337</v>
      </c>
      <c r="F179" s="15" t="e" cm="1">
        <f t="array" aca="1" ref="F179" ca="1">MMS_PastureBeef_Methane_Equations.VEERG_4_2_1_1__2_MethaneProductionFromManure(E133,$I$155,$E$165,$E$171,$I$158)</f>
        <v>#N/A</v>
      </c>
      <c r="G179" s="15" t="e" cm="1">
        <f t="array" aca="1" ref="G179" ca="1">MMS_PastureBeef_Methane_Equations.VEERG_4_2_1_1__2_MethaneProductionFromManure(F133,$I$155,$E$165,$E$171,$I$158)</f>
        <v>#N/A</v>
      </c>
      <c r="H179" s="15" t="e" cm="1">
        <f t="array" aca="1" ref="H179" ca="1">MMS_PastureBeef_Methane_Equations.VEERG_4_2_1_1__2_MethaneProductionFromManure(G133,$I$155,$E$165,$E$171,$I$158)</f>
        <v>#N/A</v>
      </c>
      <c r="I179" s="15" t="e" cm="1">
        <f t="array" aca="1" ref="I179" ca="1">MMS_PastureBeef_Methane_Equations.VEERG_4_2_1_1__2_MethaneProductionFromManure(H133,$I$155,$E$165,$E$171,$I$158)</f>
        <v>#N/A</v>
      </c>
      <c r="J179" s="15" t="e" cm="1">
        <f t="array" aca="1" ref="J179" ca="1">MMS_PastureBeef_Methane_Equations.VEERG_4_2_1_1__2_MethaneProductionFromManure(I133,$I$155,$E$165,$E$171,$I$158)</f>
        <v>#N/A</v>
      </c>
      <c r="K179" s="15" t="e" cm="1">
        <f t="array" aca="1" ref="K179" ca="1">MMS_PastureBeef_Methane_Equations.VEERG_4_2_1_1__2_MethaneProductionFromManure(J133,$I$155,$E$165,$E$171,$I$158)</f>
        <v>#N/A</v>
      </c>
      <c r="L179" s="15" t="e" cm="1">
        <f t="array" aca="1" ref="L179" ca="1">MMS_PastureBeef_Methane_Equations.VEERG_4_2_1_1__2_MethaneProductionFromManure(K133,$I$155,$E$165,$E$171,$I$158)</f>
        <v>#N/A</v>
      </c>
      <c r="M179" s="15" t="e" cm="1">
        <f t="array" aca="1" ref="M179" ca="1">MMS_PastureBeef_Methane_Equations.VEERG_4_2_1_1__2_MethaneProductionFromManure(L133,$I$155,$E$165,$E$171,$I$158)</f>
        <v>#N/A</v>
      </c>
      <c r="N179" s="15" t="e" cm="1">
        <f t="array" aca="1" ref="N179" ca="1">MMS_PastureBeef_Methane_Equations.VEERG_4_2_1_1__2_MethaneProductionFromManure(M133,$I$155,$E$165,$E$171,$I$158)</f>
        <v>#N/A</v>
      </c>
      <c r="O179" s="15" t="e" cm="1">
        <f t="array" aca="1" ref="O179" ca="1">MMS_PastureBeef_Methane_Equations.VEERG_4_2_1_1__2_MethaneProductionFromManure(N133,$I$155,$E$165,$E$171,$I$158)</f>
        <v>#N/A</v>
      </c>
      <c r="P179" s="16" t="str">
        <f t="shared" si="6"/>
        <v>kg CH4/head/day</v>
      </c>
      <c r="Q179" s="16"/>
      <c r="R179" s="16"/>
      <c r="S179" s="16"/>
      <c r="W179" s="15" t="str">
        <f>'Input - Pasture Beef'!$D$152</f>
        <v>Pasture range and paddock</v>
      </c>
      <c r="X179" s="15" t="str">
        <f t="shared" si="7"/>
        <v>February</v>
      </c>
      <c r="Y179" s="15" t="e" cm="1">
        <f t="array" aca="1" ref="Y179" ca="1">MMS_PastureBeef_Methane_Equations.VEERG_4_2_1_1__2_MethaneProductionFromManure(X133,$I$155,$E$165,$X$171,$I$158)</f>
        <v>#N/A</v>
      </c>
      <c r="Z179" s="15" t="e" cm="1">
        <f t="array" aca="1" ref="Z179" ca="1">MMS_PastureBeef_Methane_Equations.VEERG_4_2_1_1__2_MethaneProductionFromManure(Y133,$I$155,$E$165,$X$171,$I$158)</f>
        <v>#N/A</v>
      </c>
      <c r="AA179" s="15" t="e" cm="1">
        <f t="array" aca="1" ref="AA179" ca="1">MMS_PastureBeef_Methane_Equations.VEERG_4_2_1_1__2_MethaneProductionFromManure(Z133,$I$155,$E$165,$X$171,$I$158)</f>
        <v>#N/A</v>
      </c>
      <c r="AB179" s="15" t="e" cm="1">
        <f t="array" aca="1" ref="AB179" ca="1">MMS_PastureBeef_Methane_Equations.VEERG_4_2_1_1__2_MethaneProductionFromManure(AA133,$I$155,$E$165,$X$171,$I$158)</f>
        <v>#N/A</v>
      </c>
      <c r="AC179" s="15" t="e" cm="1">
        <f t="array" aca="1" ref="AC179" ca="1">MMS_PastureBeef_Methane_Equations.VEERG_4_2_1_1__2_MethaneProductionFromManure(AB133,$I$155,$E$165,$X$171,$I$158)</f>
        <v>#N/A</v>
      </c>
      <c r="AD179" s="15" t="e" cm="1">
        <f t="array" aca="1" ref="AD179" ca="1">MMS_PastureBeef_Methane_Equations.VEERG_4_2_1_1__2_MethaneProductionFromManure(AC133,$I$155,$E$165,$X$171,$I$158)</f>
        <v>#N/A</v>
      </c>
      <c r="AE179" s="15" t="e" cm="1">
        <f t="array" aca="1" ref="AE179" ca="1">MMS_PastureBeef_Methane_Equations.VEERG_4_2_1_1__2_MethaneProductionFromManure(AD133,$I$155,$E$165,$X$171,$I$158)</f>
        <v>#N/A</v>
      </c>
      <c r="AF179" s="15" t="e" cm="1">
        <f t="array" aca="1" ref="AF179" ca="1">MMS_PastureBeef_Methane_Equations.VEERG_4_2_1_1__2_MethaneProductionFromManure(AE133,$I$155,$E$165,$X$171,$I$158)</f>
        <v>#N/A</v>
      </c>
      <c r="AG179" s="15" t="e" cm="1">
        <f t="array" aca="1" ref="AG179" ca="1">MMS_PastureBeef_Methane_Equations.VEERG_4_2_1_1__2_MethaneProductionFromManure(AF133,$I$155,$E$165,$X$171,$I$158)</f>
        <v>#N/A</v>
      </c>
      <c r="AH179" s="15" t="e" cm="1">
        <f t="array" aca="1" ref="AH179" ca="1">MMS_PastureBeef_Methane_Equations.VEERG_4_2_1_1__2_MethaneProductionFromManure(AG133,$I$155,$E$165,$X$171,$I$158)</f>
        <v>#N/A</v>
      </c>
      <c r="AI179" s="16" t="str">
        <f t="shared" si="8"/>
        <v>kg CH4/head/day</v>
      </c>
      <c r="AJ179" s="16"/>
    </row>
    <row r="180" spans="4:36" ht="20" customHeight="1" x14ac:dyDescent="0.25">
      <c r="D180" s="15" t="str">
        <f>'Input - Pasture Beef'!$D$152</f>
        <v>Pasture range and paddock</v>
      </c>
      <c r="E180" s="15" t="s">
        <v>338</v>
      </c>
      <c r="F180" s="15" t="e" cm="1">
        <f t="array" aca="1" ref="F180" ca="1">MMS_PastureBeef_Methane_Equations.VEERG_4_2_1_1__2_MethaneProductionFromManure(E134,$I$155,$E$165,$E$171,$I$158)</f>
        <v>#N/A</v>
      </c>
      <c r="G180" s="15" t="e" cm="1">
        <f t="array" aca="1" ref="G180" ca="1">MMS_PastureBeef_Methane_Equations.VEERG_4_2_1_1__2_MethaneProductionFromManure(F134,$I$155,$E$165,$E$171,$I$158)</f>
        <v>#N/A</v>
      </c>
      <c r="H180" s="15" t="e" cm="1">
        <f t="array" aca="1" ref="H180" ca="1">MMS_PastureBeef_Methane_Equations.VEERG_4_2_1_1__2_MethaneProductionFromManure(G134,$I$155,$E$165,$E$171,$I$158)</f>
        <v>#N/A</v>
      </c>
      <c r="I180" s="15" t="e" cm="1">
        <f t="array" aca="1" ref="I180" ca="1">MMS_PastureBeef_Methane_Equations.VEERG_4_2_1_1__2_MethaneProductionFromManure(H134,$I$155,$E$165,$E$171,$I$158)</f>
        <v>#N/A</v>
      </c>
      <c r="J180" s="15" t="e" cm="1">
        <f t="array" aca="1" ref="J180" ca="1">MMS_PastureBeef_Methane_Equations.VEERG_4_2_1_1__2_MethaneProductionFromManure(I134,$I$155,$E$165,$E$171,$I$158)</f>
        <v>#N/A</v>
      </c>
      <c r="K180" s="15" t="e" cm="1">
        <f t="array" aca="1" ref="K180" ca="1">MMS_PastureBeef_Methane_Equations.VEERG_4_2_1_1__2_MethaneProductionFromManure(J134,$I$155,$E$165,$E$171,$I$158)</f>
        <v>#N/A</v>
      </c>
      <c r="L180" s="15" t="e" cm="1">
        <f t="array" aca="1" ref="L180" ca="1">MMS_PastureBeef_Methane_Equations.VEERG_4_2_1_1__2_MethaneProductionFromManure(K134,$I$155,$E$165,$E$171,$I$158)</f>
        <v>#N/A</v>
      </c>
      <c r="M180" s="15" t="e" cm="1">
        <f t="array" aca="1" ref="M180" ca="1">MMS_PastureBeef_Methane_Equations.VEERG_4_2_1_1__2_MethaneProductionFromManure(L134,$I$155,$E$165,$E$171,$I$158)</f>
        <v>#N/A</v>
      </c>
      <c r="N180" s="15" t="e" cm="1">
        <f t="array" aca="1" ref="N180" ca="1">MMS_PastureBeef_Methane_Equations.VEERG_4_2_1_1__2_MethaneProductionFromManure(M134,$I$155,$E$165,$E$171,$I$158)</f>
        <v>#N/A</v>
      </c>
      <c r="O180" s="15" t="e" cm="1">
        <f t="array" aca="1" ref="O180" ca="1">MMS_PastureBeef_Methane_Equations.VEERG_4_2_1_1__2_MethaneProductionFromManure(N134,$I$155,$E$165,$E$171,$I$158)</f>
        <v>#N/A</v>
      </c>
      <c r="P180" s="16" t="str">
        <f t="shared" si="6"/>
        <v>kg CH4/head/day</v>
      </c>
      <c r="Q180" s="16"/>
      <c r="R180" s="16"/>
      <c r="S180" s="16"/>
      <c r="W180" s="15" t="str">
        <f>'Input - Pasture Beef'!$D$152</f>
        <v>Pasture range and paddock</v>
      </c>
      <c r="X180" s="15" t="str">
        <f t="shared" si="7"/>
        <v>March</v>
      </c>
      <c r="Y180" s="15" t="e" cm="1">
        <f t="array" aca="1" ref="Y180" ca="1">MMS_PastureBeef_Methane_Equations.VEERG_4_2_1_1__2_MethaneProductionFromManure(X134,$I$155,$E$165,$X$171,$I$158)</f>
        <v>#N/A</v>
      </c>
      <c r="Z180" s="15" t="e" cm="1">
        <f t="array" aca="1" ref="Z180" ca="1">MMS_PastureBeef_Methane_Equations.VEERG_4_2_1_1__2_MethaneProductionFromManure(Y134,$I$155,$E$165,$X$171,$I$158)</f>
        <v>#N/A</v>
      </c>
      <c r="AA180" s="15" t="e" cm="1">
        <f t="array" aca="1" ref="AA180" ca="1">MMS_PastureBeef_Methane_Equations.VEERG_4_2_1_1__2_MethaneProductionFromManure(Z134,$I$155,$E$165,$X$171,$I$158)</f>
        <v>#N/A</v>
      </c>
      <c r="AB180" s="15" t="e" cm="1">
        <f t="array" aca="1" ref="AB180" ca="1">MMS_PastureBeef_Methane_Equations.VEERG_4_2_1_1__2_MethaneProductionFromManure(AA134,$I$155,$E$165,$X$171,$I$158)</f>
        <v>#N/A</v>
      </c>
      <c r="AC180" s="15" t="e" cm="1">
        <f t="array" aca="1" ref="AC180" ca="1">MMS_PastureBeef_Methane_Equations.VEERG_4_2_1_1__2_MethaneProductionFromManure(AB134,$I$155,$E$165,$X$171,$I$158)</f>
        <v>#N/A</v>
      </c>
      <c r="AD180" s="15" t="e" cm="1">
        <f t="array" aca="1" ref="AD180" ca="1">MMS_PastureBeef_Methane_Equations.VEERG_4_2_1_1__2_MethaneProductionFromManure(AC134,$I$155,$E$165,$X$171,$I$158)</f>
        <v>#N/A</v>
      </c>
      <c r="AE180" s="15" t="e" cm="1">
        <f t="array" aca="1" ref="AE180" ca="1">MMS_PastureBeef_Methane_Equations.VEERG_4_2_1_1__2_MethaneProductionFromManure(AD134,$I$155,$E$165,$X$171,$I$158)</f>
        <v>#N/A</v>
      </c>
      <c r="AF180" s="15" t="e" cm="1">
        <f t="array" aca="1" ref="AF180" ca="1">MMS_PastureBeef_Methane_Equations.VEERG_4_2_1_1__2_MethaneProductionFromManure(AE134,$I$155,$E$165,$X$171,$I$158)</f>
        <v>#N/A</v>
      </c>
      <c r="AG180" s="15" t="e" cm="1">
        <f t="array" aca="1" ref="AG180" ca="1">MMS_PastureBeef_Methane_Equations.VEERG_4_2_1_1__2_MethaneProductionFromManure(AF134,$I$155,$E$165,$X$171,$I$158)</f>
        <v>#N/A</v>
      </c>
      <c r="AH180" s="15" t="e" cm="1">
        <f t="array" aca="1" ref="AH180" ca="1">MMS_PastureBeef_Methane_Equations.VEERG_4_2_1_1__2_MethaneProductionFromManure(AG134,$I$155,$E$165,$X$171,$I$158)</f>
        <v>#N/A</v>
      </c>
      <c r="AI180" s="16" t="str">
        <f t="shared" si="8"/>
        <v>kg CH4/head/day</v>
      </c>
      <c r="AJ180" s="16"/>
    </row>
    <row r="181" spans="4:36" ht="20" customHeight="1" x14ac:dyDescent="0.25">
      <c r="D181" s="15" t="str">
        <f>'Input - Pasture Beef'!$D$153</f>
        <v>Anaerobic lagoon</v>
      </c>
      <c r="E181" s="15" t="s">
        <v>335</v>
      </c>
      <c r="F181" s="15" t="e" cm="1">
        <f t="array" aca="1" ref="F181" ca="1">MMS_PastureBeef_Methane_Equations.VEERG_4_2_1_1__2_MethaneProductionFromManure(E131,$I$155,$E$166,$E$172,$I$158)</f>
        <v>#N/A</v>
      </c>
      <c r="G181" s="15" t="e" cm="1">
        <f t="array" aca="1" ref="G181" ca="1">MMS_PastureBeef_Methane_Equations.VEERG_4_2_1_1__2_MethaneProductionFromManure(F131,$I$155,$E$166,$E$172,$I$158)</f>
        <v>#N/A</v>
      </c>
      <c r="H181" s="15" t="e" cm="1">
        <f t="array" aca="1" ref="H181" ca="1">MMS_PastureBeef_Methane_Equations.VEERG_4_2_1_1__2_MethaneProductionFromManure(G131,$I$155,$E$166,$E$172,$I$158)</f>
        <v>#N/A</v>
      </c>
      <c r="I181" s="15" t="e" cm="1">
        <f t="array" aca="1" ref="I181" ca="1">MMS_PastureBeef_Methane_Equations.VEERG_4_2_1_1__2_MethaneProductionFromManure(H131,$I$155,$E$166,$E$172,$I$158)</f>
        <v>#N/A</v>
      </c>
      <c r="J181" s="15" t="e" cm="1">
        <f t="array" aca="1" ref="J181" ca="1">MMS_PastureBeef_Methane_Equations.VEERG_4_2_1_1__2_MethaneProductionFromManure(I131,$I$155,$E$166,$E$172,$I$158)</f>
        <v>#N/A</v>
      </c>
      <c r="K181" s="15" t="e" cm="1">
        <f t="array" aca="1" ref="K181" ca="1">MMS_PastureBeef_Methane_Equations.VEERG_4_2_1_1__2_MethaneProductionFromManure(J131,$I$155,$E$166,$E$172,$I$158)</f>
        <v>#N/A</v>
      </c>
      <c r="L181" s="15" t="e" cm="1">
        <f t="array" aca="1" ref="L181" ca="1">MMS_PastureBeef_Methane_Equations.VEERG_4_2_1_1__2_MethaneProductionFromManure(K131,$I$155,$E$166,$E$172,$I$158)</f>
        <v>#N/A</v>
      </c>
      <c r="M181" s="15" t="e" cm="1">
        <f t="array" aca="1" ref="M181" ca="1">MMS_PastureBeef_Methane_Equations.VEERG_4_2_1_1__2_MethaneProductionFromManure(L131,$I$155,$E$166,$E$172,$I$158)</f>
        <v>#N/A</v>
      </c>
      <c r="N181" s="15" t="e" cm="1">
        <f t="array" aca="1" ref="N181" ca="1">MMS_PastureBeef_Methane_Equations.VEERG_4_2_1_1__2_MethaneProductionFromManure(M131,$I$155,$E$166,$E$172,$I$158)</f>
        <v>#N/A</v>
      </c>
      <c r="O181" s="15" t="e" cm="1">
        <f t="array" aca="1" ref="O181" ca="1">MMS_PastureBeef_Methane_Equations.VEERG_4_2_1_1__2_MethaneProductionFromManure(N131,$I$155,$E$166,$E$172,$I$158)</f>
        <v>#N/A</v>
      </c>
      <c r="P181" s="16" t="str">
        <f t="shared" si="6"/>
        <v>kg CH4/head/day</v>
      </c>
      <c r="Q181" s="16"/>
      <c r="R181" s="16"/>
      <c r="S181" s="16"/>
      <c r="W181" s="15" t="str">
        <f>'Input - Pasture Beef'!$D$152</f>
        <v>Pasture range and paddock</v>
      </c>
      <c r="X181" s="15" t="str">
        <f t="shared" si="7"/>
        <v>April</v>
      </c>
      <c r="Y181" s="15" t="e" cm="1">
        <f t="array" aca="1" ref="Y181" ca="1">MMS_PastureBeef_Methane_Equations.VEERG_4_2_1_1__2_MethaneProductionFromManure(X135,$I$155,$E$165,$X$171,$I$158)</f>
        <v>#N/A</v>
      </c>
      <c r="Z181" s="15" t="e" cm="1">
        <f t="array" aca="1" ref="Z181" ca="1">MMS_PastureBeef_Methane_Equations.VEERG_4_2_1_1__2_MethaneProductionFromManure(Y135,$I$155,$E$165,$X$171,$I$158)</f>
        <v>#N/A</v>
      </c>
      <c r="AA181" s="15" t="e" cm="1">
        <f t="array" aca="1" ref="AA181" ca="1">MMS_PastureBeef_Methane_Equations.VEERG_4_2_1_1__2_MethaneProductionFromManure(Z135,$I$155,$E$165,$X$171,$I$158)</f>
        <v>#N/A</v>
      </c>
      <c r="AB181" s="15" t="e" cm="1">
        <f t="array" aca="1" ref="AB181" ca="1">MMS_PastureBeef_Methane_Equations.VEERG_4_2_1_1__2_MethaneProductionFromManure(AA135,$I$155,$E$165,$X$171,$I$158)</f>
        <v>#N/A</v>
      </c>
      <c r="AC181" s="15" t="e" cm="1">
        <f t="array" aca="1" ref="AC181" ca="1">MMS_PastureBeef_Methane_Equations.VEERG_4_2_1_1__2_MethaneProductionFromManure(AB135,$I$155,$E$165,$X$171,$I$158)</f>
        <v>#N/A</v>
      </c>
      <c r="AD181" s="15" t="e" cm="1">
        <f t="array" aca="1" ref="AD181" ca="1">MMS_PastureBeef_Methane_Equations.VEERG_4_2_1_1__2_MethaneProductionFromManure(AC135,$I$155,$E$165,$X$171,$I$158)</f>
        <v>#N/A</v>
      </c>
      <c r="AE181" s="15" t="e" cm="1">
        <f t="array" aca="1" ref="AE181" ca="1">MMS_PastureBeef_Methane_Equations.VEERG_4_2_1_1__2_MethaneProductionFromManure(AD135,$I$155,$E$165,$X$171,$I$158)</f>
        <v>#N/A</v>
      </c>
      <c r="AF181" s="15" t="e" cm="1">
        <f t="array" aca="1" ref="AF181" ca="1">MMS_PastureBeef_Methane_Equations.VEERG_4_2_1_1__2_MethaneProductionFromManure(AE135,$I$155,$E$165,$X$171,$I$158)</f>
        <v>#N/A</v>
      </c>
      <c r="AG181" s="15" t="e" cm="1">
        <f t="array" aca="1" ref="AG181" ca="1">MMS_PastureBeef_Methane_Equations.VEERG_4_2_1_1__2_MethaneProductionFromManure(AF135,$I$155,$E$165,$X$171,$I$158)</f>
        <v>#N/A</v>
      </c>
      <c r="AH181" s="15" t="e" cm="1">
        <f t="array" aca="1" ref="AH181" ca="1">MMS_PastureBeef_Methane_Equations.VEERG_4_2_1_1__2_MethaneProductionFromManure(AG135,$I$155,$E$165,$X$171,$I$158)</f>
        <v>#N/A</v>
      </c>
      <c r="AI181" s="16" t="str">
        <f t="shared" si="8"/>
        <v>kg CH4/head/day</v>
      </c>
      <c r="AJ181" s="16"/>
    </row>
    <row r="182" spans="4:36" ht="20" customHeight="1" x14ac:dyDescent="0.25">
      <c r="D182" s="15" t="str">
        <f>'Input - Pasture Beef'!$D$153</f>
        <v>Anaerobic lagoon</v>
      </c>
      <c r="E182" s="15" t="s">
        <v>336</v>
      </c>
      <c r="F182" s="15" t="e" cm="1">
        <f t="array" aca="1" ref="F182" ca="1">MMS_PastureBeef_Methane_Equations.VEERG_4_2_1_1__2_MethaneProductionFromManure(E132,$I$155,$E$166,$E$172,$I$158)</f>
        <v>#N/A</v>
      </c>
      <c r="G182" s="15" t="e" cm="1">
        <f t="array" aca="1" ref="G182" ca="1">MMS_PastureBeef_Methane_Equations.VEERG_4_2_1_1__2_MethaneProductionFromManure(F132,$I$155,$E$166,$E$172,$I$158)</f>
        <v>#N/A</v>
      </c>
      <c r="H182" s="15" t="e" cm="1">
        <f t="array" aca="1" ref="H182" ca="1">MMS_PastureBeef_Methane_Equations.VEERG_4_2_1_1__2_MethaneProductionFromManure(G132,$I$155,$E$166,$E$172,$I$158)</f>
        <v>#N/A</v>
      </c>
      <c r="I182" s="15" t="e" cm="1">
        <f t="array" aca="1" ref="I182" ca="1">MMS_PastureBeef_Methane_Equations.VEERG_4_2_1_1__2_MethaneProductionFromManure(H132,$I$155,$E$166,$E$172,$I$158)</f>
        <v>#N/A</v>
      </c>
      <c r="J182" s="15" t="e" cm="1">
        <f t="array" aca="1" ref="J182" ca="1">MMS_PastureBeef_Methane_Equations.VEERG_4_2_1_1__2_MethaneProductionFromManure(I132,$I$155,$E$166,$E$172,$I$158)</f>
        <v>#N/A</v>
      </c>
      <c r="K182" s="15" t="e" cm="1">
        <f t="array" aca="1" ref="K182" ca="1">MMS_PastureBeef_Methane_Equations.VEERG_4_2_1_1__2_MethaneProductionFromManure(J132,$I$155,$E$166,$E$172,$I$158)</f>
        <v>#N/A</v>
      </c>
      <c r="L182" s="15" t="e" cm="1">
        <f t="array" aca="1" ref="L182" ca="1">MMS_PastureBeef_Methane_Equations.VEERG_4_2_1_1__2_MethaneProductionFromManure(K132,$I$155,$E$166,$E$172,$I$158)</f>
        <v>#N/A</v>
      </c>
      <c r="M182" s="15" t="e" cm="1">
        <f t="array" aca="1" ref="M182" ca="1">MMS_PastureBeef_Methane_Equations.VEERG_4_2_1_1__2_MethaneProductionFromManure(L132,$I$155,$E$166,$E$172,$I$158)</f>
        <v>#N/A</v>
      </c>
      <c r="N182" s="15" t="e" cm="1">
        <f t="array" aca="1" ref="N182" ca="1">MMS_PastureBeef_Methane_Equations.VEERG_4_2_1_1__2_MethaneProductionFromManure(M132,$I$155,$E$166,$E$172,$I$158)</f>
        <v>#N/A</v>
      </c>
      <c r="O182" s="15" t="e" cm="1">
        <f t="array" aca="1" ref="O182" ca="1">MMS_PastureBeef_Methane_Equations.VEERG_4_2_1_1__2_MethaneProductionFromManure(N132,$I$155,$E$166,$E$172,$I$158)</f>
        <v>#N/A</v>
      </c>
      <c r="P182" s="16" t="str">
        <f t="shared" si="6"/>
        <v>kg CH4/head/day</v>
      </c>
      <c r="Q182" s="16"/>
      <c r="R182" s="16"/>
      <c r="S182" s="16"/>
      <c r="W182" s="15" t="str">
        <f>'Input - Pasture Beef'!$D$152</f>
        <v>Pasture range and paddock</v>
      </c>
      <c r="X182" s="15" t="str">
        <f t="shared" si="7"/>
        <v>May</v>
      </c>
      <c r="Y182" s="15" t="e" cm="1">
        <f t="array" aca="1" ref="Y182" ca="1">MMS_PastureBeef_Methane_Equations.VEERG_4_2_1_1__2_MethaneProductionFromManure(X136,$I$155,$E$165,$X$171,$I$158)</f>
        <v>#N/A</v>
      </c>
      <c r="Z182" s="15" t="e" cm="1">
        <f t="array" aca="1" ref="Z182" ca="1">MMS_PastureBeef_Methane_Equations.VEERG_4_2_1_1__2_MethaneProductionFromManure(Y136,$I$155,$E$165,$X$171,$I$158)</f>
        <v>#N/A</v>
      </c>
      <c r="AA182" s="15" t="e" cm="1">
        <f t="array" aca="1" ref="AA182" ca="1">MMS_PastureBeef_Methane_Equations.VEERG_4_2_1_1__2_MethaneProductionFromManure(Z136,$I$155,$E$165,$X$171,$I$158)</f>
        <v>#N/A</v>
      </c>
      <c r="AB182" s="15" t="e" cm="1">
        <f t="array" aca="1" ref="AB182" ca="1">MMS_PastureBeef_Methane_Equations.VEERG_4_2_1_1__2_MethaneProductionFromManure(AA136,$I$155,$E$165,$X$171,$I$158)</f>
        <v>#N/A</v>
      </c>
      <c r="AC182" s="15" t="e" cm="1">
        <f t="array" aca="1" ref="AC182" ca="1">MMS_PastureBeef_Methane_Equations.VEERG_4_2_1_1__2_MethaneProductionFromManure(AB136,$I$155,$E$165,$X$171,$I$158)</f>
        <v>#N/A</v>
      </c>
      <c r="AD182" s="15" t="e" cm="1">
        <f t="array" aca="1" ref="AD182" ca="1">MMS_PastureBeef_Methane_Equations.VEERG_4_2_1_1__2_MethaneProductionFromManure(AC136,$I$155,$E$165,$X$171,$I$158)</f>
        <v>#N/A</v>
      </c>
      <c r="AE182" s="15" t="e" cm="1">
        <f t="array" aca="1" ref="AE182" ca="1">MMS_PastureBeef_Methane_Equations.VEERG_4_2_1_1__2_MethaneProductionFromManure(AD136,$I$155,$E$165,$X$171,$I$158)</f>
        <v>#N/A</v>
      </c>
      <c r="AF182" s="15" t="e" cm="1">
        <f t="array" aca="1" ref="AF182" ca="1">MMS_PastureBeef_Methane_Equations.VEERG_4_2_1_1__2_MethaneProductionFromManure(AE136,$I$155,$E$165,$X$171,$I$158)</f>
        <v>#N/A</v>
      </c>
      <c r="AG182" s="15" t="e" cm="1">
        <f t="array" aca="1" ref="AG182" ca="1">MMS_PastureBeef_Methane_Equations.VEERG_4_2_1_1__2_MethaneProductionFromManure(AF136,$I$155,$E$165,$X$171,$I$158)</f>
        <v>#N/A</v>
      </c>
      <c r="AH182" s="15" t="e" cm="1">
        <f t="array" aca="1" ref="AH182" ca="1">MMS_PastureBeef_Methane_Equations.VEERG_4_2_1_1__2_MethaneProductionFromManure(AG136,$I$155,$E$165,$X$171,$I$158)</f>
        <v>#N/A</v>
      </c>
      <c r="AI182" s="16" t="str">
        <f t="shared" si="8"/>
        <v>kg CH4/head/day</v>
      </c>
      <c r="AJ182" s="16"/>
    </row>
    <row r="183" spans="4:36" ht="20" customHeight="1" x14ac:dyDescent="0.25">
      <c r="D183" s="15" t="str">
        <f>'Input - Pasture Beef'!$D$153</f>
        <v>Anaerobic lagoon</v>
      </c>
      <c r="E183" s="15" t="s">
        <v>337</v>
      </c>
      <c r="F183" s="15" t="e" cm="1">
        <f t="array" aca="1" ref="F183" ca="1">MMS_PastureBeef_Methane_Equations.VEERG_4_2_1_1__2_MethaneProductionFromManure(E133,$I$155,$E$166,$E$172,$I$158)</f>
        <v>#N/A</v>
      </c>
      <c r="G183" s="15" t="e" cm="1">
        <f t="array" aca="1" ref="G183" ca="1">MMS_PastureBeef_Methane_Equations.VEERG_4_2_1_1__2_MethaneProductionFromManure(F133,$I$155,$E$166,$E$172,$I$158)</f>
        <v>#N/A</v>
      </c>
      <c r="H183" s="15" t="e" cm="1">
        <f t="array" aca="1" ref="H183" ca="1">MMS_PastureBeef_Methane_Equations.VEERG_4_2_1_1__2_MethaneProductionFromManure(G133,$I$155,$E$166,$E$172,$I$158)</f>
        <v>#N/A</v>
      </c>
      <c r="I183" s="15" t="e" cm="1">
        <f t="array" aca="1" ref="I183" ca="1">MMS_PastureBeef_Methane_Equations.VEERG_4_2_1_1__2_MethaneProductionFromManure(H133,$I$155,$E$166,$E$172,$I$158)</f>
        <v>#N/A</v>
      </c>
      <c r="J183" s="15" t="e" cm="1">
        <f t="array" aca="1" ref="J183" ca="1">MMS_PastureBeef_Methane_Equations.VEERG_4_2_1_1__2_MethaneProductionFromManure(I133,$I$155,$E$166,$E$172,$I$158)</f>
        <v>#N/A</v>
      </c>
      <c r="K183" s="15" t="e" cm="1">
        <f t="array" aca="1" ref="K183" ca="1">MMS_PastureBeef_Methane_Equations.VEERG_4_2_1_1__2_MethaneProductionFromManure(J133,$I$155,$E$166,$E$172,$I$158)</f>
        <v>#N/A</v>
      </c>
      <c r="L183" s="15" t="e" cm="1">
        <f t="array" aca="1" ref="L183" ca="1">MMS_PastureBeef_Methane_Equations.VEERG_4_2_1_1__2_MethaneProductionFromManure(K133,$I$155,$E$166,$E$172,$I$158)</f>
        <v>#N/A</v>
      </c>
      <c r="M183" s="15" t="e" cm="1">
        <f t="array" aca="1" ref="M183" ca="1">MMS_PastureBeef_Methane_Equations.VEERG_4_2_1_1__2_MethaneProductionFromManure(L133,$I$155,$E$166,$E$172,$I$158)</f>
        <v>#N/A</v>
      </c>
      <c r="N183" s="15" t="e" cm="1">
        <f t="array" aca="1" ref="N183" ca="1">MMS_PastureBeef_Methane_Equations.VEERG_4_2_1_1__2_MethaneProductionFromManure(M133,$I$155,$E$166,$E$172,$I$158)</f>
        <v>#N/A</v>
      </c>
      <c r="O183" s="15" t="e" cm="1">
        <f t="array" aca="1" ref="O183" ca="1">MMS_PastureBeef_Methane_Equations.VEERG_4_2_1_1__2_MethaneProductionFromManure(N133,$I$155,$E$166,$E$172,$I$158)</f>
        <v>#N/A</v>
      </c>
      <c r="P183" s="16" t="str">
        <f t="shared" si="6"/>
        <v>kg CH4/head/day</v>
      </c>
      <c r="Q183" s="16"/>
      <c r="R183" s="16"/>
      <c r="S183" s="16"/>
      <c r="W183" s="15" t="str">
        <f>'Input - Pasture Beef'!$D$152</f>
        <v>Pasture range and paddock</v>
      </c>
      <c r="X183" s="15" t="str">
        <f t="shared" si="7"/>
        <v>June</v>
      </c>
      <c r="Y183" s="15" t="e" cm="1">
        <f t="array" aca="1" ref="Y183" ca="1">MMS_PastureBeef_Methane_Equations.VEERG_4_2_1_1__2_MethaneProductionFromManure(X137,$I$155,$E$165,$X$171,$I$158)</f>
        <v>#N/A</v>
      </c>
      <c r="Z183" s="15" t="e" cm="1">
        <f t="array" aca="1" ref="Z183" ca="1">MMS_PastureBeef_Methane_Equations.VEERG_4_2_1_1__2_MethaneProductionFromManure(Y137,$I$155,$E$165,$X$171,$I$158)</f>
        <v>#N/A</v>
      </c>
      <c r="AA183" s="15" t="e" cm="1">
        <f t="array" aca="1" ref="AA183" ca="1">MMS_PastureBeef_Methane_Equations.VEERG_4_2_1_1__2_MethaneProductionFromManure(Z137,$I$155,$E$165,$X$171,$I$158)</f>
        <v>#N/A</v>
      </c>
      <c r="AB183" s="15" t="e" cm="1">
        <f t="array" aca="1" ref="AB183" ca="1">MMS_PastureBeef_Methane_Equations.VEERG_4_2_1_1__2_MethaneProductionFromManure(AA137,$I$155,$E$165,$X$171,$I$158)</f>
        <v>#N/A</v>
      </c>
      <c r="AC183" s="15" t="e" cm="1">
        <f t="array" aca="1" ref="AC183" ca="1">MMS_PastureBeef_Methane_Equations.VEERG_4_2_1_1__2_MethaneProductionFromManure(AB137,$I$155,$E$165,$X$171,$I$158)</f>
        <v>#N/A</v>
      </c>
      <c r="AD183" s="15" t="e" cm="1">
        <f t="array" aca="1" ref="AD183" ca="1">MMS_PastureBeef_Methane_Equations.VEERG_4_2_1_1__2_MethaneProductionFromManure(AC137,$I$155,$E$165,$X$171,$I$158)</f>
        <v>#N/A</v>
      </c>
      <c r="AE183" s="15" t="e" cm="1">
        <f t="array" aca="1" ref="AE183" ca="1">MMS_PastureBeef_Methane_Equations.VEERG_4_2_1_1__2_MethaneProductionFromManure(AD137,$I$155,$E$165,$X$171,$I$158)</f>
        <v>#N/A</v>
      </c>
      <c r="AF183" s="15" t="e" cm="1">
        <f t="array" aca="1" ref="AF183" ca="1">MMS_PastureBeef_Methane_Equations.VEERG_4_2_1_1__2_MethaneProductionFromManure(AE137,$I$155,$E$165,$X$171,$I$158)</f>
        <v>#N/A</v>
      </c>
      <c r="AG183" s="15" t="e" cm="1">
        <f t="array" aca="1" ref="AG183" ca="1">MMS_PastureBeef_Methane_Equations.VEERG_4_2_1_1__2_MethaneProductionFromManure(AF137,$I$155,$E$165,$X$171,$I$158)</f>
        <v>#N/A</v>
      </c>
      <c r="AH183" s="15" t="e" cm="1">
        <f t="array" aca="1" ref="AH183" ca="1">MMS_PastureBeef_Methane_Equations.VEERG_4_2_1_1__2_MethaneProductionFromManure(AG137,$I$155,$E$165,$X$171,$I$158)</f>
        <v>#N/A</v>
      </c>
      <c r="AI183" s="16" t="str">
        <f t="shared" si="8"/>
        <v>kg CH4/head/day</v>
      </c>
      <c r="AJ183" s="16"/>
    </row>
    <row r="184" spans="4:36" ht="20" customHeight="1" x14ac:dyDescent="0.25">
      <c r="D184" s="15" t="str">
        <f>'Input - Pasture Beef'!$D$153</f>
        <v>Anaerobic lagoon</v>
      </c>
      <c r="E184" s="15" t="s">
        <v>338</v>
      </c>
      <c r="F184" s="15" t="e" cm="1">
        <f t="array" aca="1" ref="F184" ca="1">MMS_PastureBeef_Methane_Equations.VEERG_4_2_1_1__2_MethaneProductionFromManure(E134,$I$155,$E$166,$E$172,$I$158)</f>
        <v>#N/A</v>
      </c>
      <c r="G184" s="15" t="e" cm="1">
        <f t="array" aca="1" ref="G184" ca="1">MMS_PastureBeef_Methane_Equations.VEERG_4_2_1_1__2_MethaneProductionFromManure(F134,$I$155,$E$166,$E$172,$I$158)</f>
        <v>#N/A</v>
      </c>
      <c r="H184" s="15" t="e" cm="1">
        <f t="array" aca="1" ref="H184" ca="1">MMS_PastureBeef_Methane_Equations.VEERG_4_2_1_1__2_MethaneProductionFromManure(G134,$I$155,$E$166,$E$172,$I$158)</f>
        <v>#N/A</v>
      </c>
      <c r="I184" s="15" t="e" cm="1">
        <f t="array" aca="1" ref="I184" ca="1">MMS_PastureBeef_Methane_Equations.VEERG_4_2_1_1__2_MethaneProductionFromManure(H134,$I$155,$E$166,$E$172,$I$158)</f>
        <v>#N/A</v>
      </c>
      <c r="J184" s="15" t="e" cm="1">
        <f t="array" aca="1" ref="J184" ca="1">MMS_PastureBeef_Methane_Equations.VEERG_4_2_1_1__2_MethaneProductionFromManure(I134,$I$155,$E$166,$E$172,$I$158)</f>
        <v>#N/A</v>
      </c>
      <c r="K184" s="15" t="e" cm="1">
        <f t="array" aca="1" ref="K184" ca="1">MMS_PastureBeef_Methane_Equations.VEERG_4_2_1_1__2_MethaneProductionFromManure(J134,$I$155,$E$166,$E$172,$I$158)</f>
        <v>#N/A</v>
      </c>
      <c r="L184" s="15" t="e" cm="1">
        <f t="array" aca="1" ref="L184" ca="1">MMS_PastureBeef_Methane_Equations.VEERG_4_2_1_1__2_MethaneProductionFromManure(K134,$I$155,$E$166,$E$172,$I$158)</f>
        <v>#N/A</v>
      </c>
      <c r="M184" s="15" t="e" cm="1">
        <f t="array" aca="1" ref="M184" ca="1">MMS_PastureBeef_Methane_Equations.VEERG_4_2_1_1__2_MethaneProductionFromManure(L134,$I$155,$E$166,$E$172,$I$158)</f>
        <v>#N/A</v>
      </c>
      <c r="N184" s="15" t="e" cm="1">
        <f t="array" aca="1" ref="N184" ca="1">MMS_PastureBeef_Methane_Equations.VEERG_4_2_1_1__2_MethaneProductionFromManure(M134,$I$155,$E$166,$E$172,$I$158)</f>
        <v>#N/A</v>
      </c>
      <c r="O184" s="15" t="e" cm="1">
        <f t="array" aca="1" ref="O184" ca="1">MMS_PastureBeef_Methane_Equations.VEERG_4_2_1_1__2_MethaneProductionFromManure(N134,$I$155,$E$166,$E$172,$I$158)</f>
        <v>#N/A</v>
      </c>
      <c r="P184" s="16" t="str">
        <f t="shared" si="6"/>
        <v>kg CH4/head/day</v>
      </c>
      <c r="Q184" s="16"/>
      <c r="R184" s="16"/>
      <c r="S184" s="16"/>
      <c r="W184" s="15" t="str">
        <f>'Input - Pasture Beef'!$D$152</f>
        <v>Pasture range and paddock</v>
      </c>
      <c r="X184" s="15" t="str">
        <f t="shared" si="7"/>
        <v>July</v>
      </c>
      <c r="Y184" s="15" t="e" cm="1">
        <f t="array" aca="1" ref="Y184" ca="1">MMS_PastureBeef_Methane_Equations.VEERG_4_2_1_1__2_MethaneProductionFromManure(X138,$I$155,$E$165,$X$171,$I$158)</f>
        <v>#N/A</v>
      </c>
      <c r="Z184" s="15" t="e" cm="1">
        <f t="array" aca="1" ref="Z184" ca="1">MMS_PastureBeef_Methane_Equations.VEERG_4_2_1_1__2_MethaneProductionFromManure(Y138,$I$155,$E$165,$X$171,$I$158)</f>
        <v>#N/A</v>
      </c>
      <c r="AA184" s="15" t="e" cm="1">
        <f t="array" aca="1" ref="AA184" ca="1">MMS_PastureBeef_Methane_Equations.VEERG_4_2_1_1__2_MethaneProductionFromManure(Z138,$I$155,$E$165,$X$171,$I$158)</f>
        <v>#N/A</v>
      </c>
      <c r="AB184" s="15" t="e" cm="1">
        <f t="array" aca="1" ref="AB184" ca="1">MMS_PastureBeef_Methane_Equations.VEERG_4_2_1_1__2_MethaneProductionFromManure(AA138,$I$155,$E$165,$X$171,$I$158)</f>
        <v>#N/A</v>
      </c>
      <c r="AC184" s="15" t="e" cm="1">
        <f t="array" aca="1" ref="AC184" ca="1">MMS_PastureBeef_Methane_Equations.VEERG_4_2_1_1__2_MethaneProductionFromManure(AB138,$I$155,$E$165,$X$171,$I$158)</f>
        <v>#N/A</v>
      </c>
      <c r="AD184" s="15" t="e" cm="1">
        <f t="array" aca="1" ref="AD184" ca="1">MMS_PastureBeef_Methane_Equations.VEERG_4_2_1_1__2_MethaneProductionFromManure(AC138,$I$155,$E$165,$X$171,$I$158)</f>
        <v>#N/A</v>
      </c>
      <c r="AE184" s="15" t="e" cm="1">
        <f t="array" aca="1" ref="AE184" ca="1">MMS_PastureBeef_Methane_Equations.VEERG_4_2_1_1__2_MethaneProductionFromManure(AD138,$I$155,$E$165,$X$171,$I$158)</f>
        <v>#N/A</v>
      </c>
      <c r="AF184" s="15" t="e" cm="1">
        <f t="array" aca="1" ref="AF184" ca="1">MMS_PastureBeef_Methane_Equations.VEERG_4_2_1_1__2_MethaneProductionFromManure(AE138,$I$155,$E$165,$X$171,$I$158)</f>
        <v>#N/A</v>
      </c>
      <c r="AG184" s="15" t="e" cm="1">
        <f t="array" aca="1" ref="AG184" ca="1">MMS_PastureBeef_Methane_Equations.VEERG_4_2_1_1__2_MethaneProductionFromManure(AF138,$I$155,$E$165,$X$171,$I$158)</f>
        <v>#N/A</v>
      </c>
      <c r="AH184" s="15" t="e" cm="1">
        <f t="array" aca="1" ref="AH184" ca="1">MMS_PastureBeef_Methane_Equations.VEERG_4_2_1_1__2_MethaneProductionFromManure(AG138,$I$155,$E$165,$X$171,$I$158)</f>
        <v>#N/A</v>
      </c>
      <c r="AI184" s="16" t="str">
        <f t="shared" si="8"/>
        <v>kg CH4/head/day</v>
      </c>
      <c r="AJ184" s="16"/>
    </row>
    <row r="185" spans="4:36" ht="20" customHeight="1" x14ac:dyDescent="0.25">
      <c r="W185" s="15" t="str">
        <f>'Input - Pasture Beef'!$D$152</f>
        <v>Pasture range and paddock</v>
      </c>
      <c r="X185" s="15" t="str">
        <f t="shared" si="7"/>
        <v>August</v>
      </c>
      <c r="Y185" s="15" t="e" cm="1">
        <f t="array" aca="1" ref="Y185" ca="1">MMS_PastureBeef_Methane_Equations.VEERG_4_2_1_1__2_MethaneProductionFromManure(X139,$I$155,$E$165,$X$171,$I$158)</f>
        <v>#N/A</v>
      </c>
      <c r="Z185" s="15" t="e" cm="1">
        <f t="array" aca="1" ref="Z185" ca="1">MMS_PastureBeef_Methane_Equations.VEERG_4_2_1_1__2_MethaneProductionFromManure(Y139,$I$155,$E$165,$X$171,$I$158)</f>
        <v>#N/A</v>
      </c>
      <c r="AA185" s="15" t="e" cm="1">
        <f t="array" aca="1" ref="AA185" ca="1">MMS_PastureBeef_Methane_Equations.VEERG_4_2_1_1__2_MethaneProductionFromManure(Z139,$I$155,$E$165,$X$171,$I$158)</f>
        <v>#N/A</v>
      </c>
      <c r="AB185" s="15" t="e" cm="1">
        <f t="array" aca="1" ref="AB185" ca="1">MMS_PastureBeef_Methane_Equations.VEERG_4_2_1_1__2_MethaneProductionFromManure(AA139,$I$155,$E$165,$X$171,$I$158)</f>
        <v>#N/A</v>
      </c>
      <c r="AC185" s="15" t="e" cm="1">
        <f t="array" aca="1" ref="AC185" ca="1">MMS_PastureBeef_Methane_Equations.VEERG_4_2_1_1__2_MethaneProductionFromManure(AB139,$I$155,$E$165,$X$171,$I$158)</f>
        <v>#N/A</v>
      </c>
      <c r="AD185" s="15" t="e" cm="1">
        <f t="array" aca="1" ref="AD185" ca="1">MMS_PastureBeef_Methane_Equations.VEERG_4_2_1_1__2_MethaneProductionFromManure(AC139,$I$155,$E$165,$X$171,$I$158)</f>
        <v>#N/A</v>
      </c>
      <c r="AE185" s="15" t="e" cm="1">
        <f t="array" aca="1" ref="AE185" ca="1">MMS_PastureBeef_Methane_Equations.VEERG_4_2_1_1__2_MethaneProductionFromManure(AD139,$I$155,$E$165,$X$171,$I$158)</f>
        <v>#N/A</v>
      </c>
      <c r="AF185" s="15" t="e" cm="1">
        <f t="array" aca="1" ref="AF185" ca="1">MMS_PastureBeef_Methane_Equations.VEERG_4_2_1_1__2_MethaneProductionFromManure(AE139,$I$155,$E$165,$X$171,$I$158)</f>
        <v>#N/A</v>
      </c>
      <c r="AG185" s="15" t="e" cm="1">
        <f t="array" aca="1" ref="AG185" ca="1">MMS_PastureBeef_Methane_Equations.VEERG_4_2_1_1__2_MethaneProductionFromManure(AF139,$I$155,$E$165,$X$171,$I$158)</f>
        <v>#N/A</v>
      </c>
      <c r="AH185" s="15" t="e" cm="1">
        <f t="array" aca="1" ref="AH185" ca="1">MMS_PastureBeef_Methane_Equations.VEERG_4_2_1_1__2_MethaneProductionFromManure(AG139,$I$155,$E$165,$X$171,$I$158)</f>
        <v>#N/A</v>
      </c>
      <c r="AI185" s="16" t="str">
        <f t="shared" si="8"/>
        <v>kg CH4/head/day</v>
      </c>
      <c r="AJ185" s="16"/>
    </row>
    <row r="186" spans="4:36" ht="20" customHeight="1" x14ac:dyDescent="0.25">
      <c r="W186" s="15" t="str">
        <f>'Input - Pasture Beef'!$D$152</f>
        <v>Pasture range and paddock</v>
      </c>
      <c r="X186" s="15" t="str">
        <f t="shared" si="7"/>
        <v>September</v>
      </c>
      <c r="Y186" s="15" t="e" cm="1">
        <f t="array" aca="1" ref="Y186" ca="1">MMS_PastureBeef_Methane_Equations.VEERG_4_2_1_1__2_MethaneProductionFromManure(X140,$I$155,$E$165,$X$171,$I$158)</f>
        <v>#N/A</v>
      </c>
      <c r="Z186" s="15" t="e" cm="1">
        <f t="array" aca="1" ref="Z186" ca="1">MMS_PastureBeef_Methane_Equations.VEERG_4_2_1_1__2_MethaneProductionFromManure(Y140,$I$155,$E$165,$X$171,$I$158)</f>
        <v>#N/A</v>
      </c>
      <c r="AA186" s="15" t="e" cm="1">
        <f t="array" aca="1" ref="AA186" ca="1">MMS_PastureBeef_Methane_Equations.VEERG_4_2_1_1__2_MethaneProductionFromManure(Z140,$I$155,$E$165,$X$171,$I$158)</f>
        <v>#N/A</v>
      </c>
      <c r="AB186" s="15" t="e" cm="1">
        <f t="array" aca="1" ref="AB186" ca="1">MMS_PastureBeef_Methane_Equations.VEERG_4_2_1_1__2_MethaneProductionFromManure(AA140,$I$155,$E$165,$X$171,$I$158)</f>
        <v>#N/A</v>
      </c>
      <c r="AC186" s="15" t="e" cm="1">
        <f t="array" aca="1" ref="AC186" ca="1">MMS_PastureBeef_Methane_Equations.VEERG_4_2_1_1__2_MethaneProductionFromManure(AB140,$I$155,$E$165,$X$171,$I$158)</f>
        <v>#N/A</v>
      </c>
      <c r="AD186" s="15" t="e" cm="1">
        <f t="array" aca="1" ref="AD186" ca="1">MMS_PastureBeef_Methane_Equations.VEERG_4_2_1_1__2_MethaneProductionFromManure(AC140,$I$155,$E$165,$X$171,$I$158)</f>
        <v>#N/A</v>
      </c>
      <c r="AE186" s="15" t="e" cm="1">
        <f t="array" aca="1" ref="AE186" ca="1">MMS_PastureBeef_Methane_Equations.VEERG_4_2_1_1__2_MethaneProductionFromManure(AD140,$I$155,$E$165,$X$171,$I$158)</f>
        <v>#N/A</v>
      </c>
      <c r="AF186" s="15" t="e" cm="1">
        <f t="array" aca="1" ref="AF186" ca="1">MMS_PastureBeef_Methane_Equations.VEERG_4_2_1_1__2_MethaneProductionFromManure(AE140,$I$155,$E$165,$X$171,$I$158)</f>
        <v>#N/A</v>
      </c>
      <c r="AG186" s="15" t="e" cm="1">
        <f t="array" aca="1" ref="AG186" ca="1">MMS_PastureBeef_Methane_Equations.VEERG_4_2_1_1__2_MethaneProductionFromManure(AF140,$I$155,$E$165,$X$171,$I$158)</f>
        <v>#N/A</v>
      </c>
      <c r="AH186" s="15" t="e" cm="1">
        <f t="array" aca="1" ref="AH186" ca="1">MMS_PastureBeef_Methane_Equations.VEERG_4_2_1_1__2_MethaneProductionFromManure(AG140,$I$155,$E$165,$X$171,$I$158)</f>
        <v>#N/A</v>
      </c>
      <c r="AI186" s="16" t="str">
        <f t="shared" si="8"/>
        <v>kg CH4/head/day</v>
      </c>
      <c r="AJ186" s="16"/>
    </row>
    <row r="187" spans="4:36" ht="20" customHeight="1" x14ac:dyDescent="0.25">
      <c r="W187" s="15" t="str">
        <f>'Input - Pasture Beef'!$D$152</f>
        <v>Pasture range and paddock</v>
      </c>
      <c r="X187" s="15" t="str">
        <f t="shared" si="7"/>
        <v>October</v>
      </c>
      <c r="Y187" s="15" t="e" cm="1">
        <f t="array" aca="1" ref="Y187" ca="1">MMS_PastureBeef_Methane_Equations.VEERG_4_2_1_1__2_MethaneProductionFromManure(X141,$I$155,$E$165,$X$171,$I$158)</f>
        <v>#N/A</v>
      </c>
      <c r="Z187" s="15" t="e" cm="1">
        <f t="array" aca="1" ref="Z187" ca="1">MMS_PastureBeef_Methane_Equations.VEERG_4_2_1_1__2_MethaneProductionFromManure(Y141,$I$155,$E$165,$X$171,$I$158)</f>
        <v>#N/A</v>
      </c>
      <c r="AA187" s="15" t="e" cm="1">
        <f t="array" aca="1" ref="AA187" ca="1">MMS_PastureBeef_Methane_Equations.VEERG_4_2_1_1__2_MethaneProductionFromManure(Z141,$I$155,$E$165,$X$171,$I$158)</f>
        <v>#N/A</v>
      </c>
      <c r="AB187" s="15" t="e" cm="1">
        <f t="array" aca="1" ref="AB187" ca="1">MMS_PastureBeef_Methane_Equations.VEERG_4_2_1_1__2_MethaneProductionFromManure(AA141,$I$155,$E$165,$X$171,$I$158)</f>
        <v>#N/A</v>
      </c>
      <c r="AC187" s="15" t="e" cm="1">
        <f t="array" aca="1" ref="AC187" ca="1">MMS_PastureBeef_Methane_Equations.VEERG_4_2_1_1__2_MethaneProductionFromManure(AB141,$I$155,$E$165,$X$171,$I$158)</f>
        <v>#N/A</v>
      </c>
      <c r="AD187" s="15" t="e" cm="1">
        <f t="array" aca="1" ref="AD187" ca="1">MMS_PastureBeef_Methane_Equations.VEERG_4_2_1_1__2_MethaneProductionFromManure(AC141,$I$155,$E$165,$X$171,$I$158)</f>
        <v>#N/A</v>
      </c>
      <c r="AE187" s="15" t="e" cm="1">
        <f t="array" aca="1" ref="AE187" ca="1">MMS_PastureBeef_Methane_Equations.VEERG_4_2_1_1__2_MethaneProductionFromManure(AD141,$I$155,$E$165,$X$171,$I$158)</f>
        <v>#N/A</v>
      </c>
      <c r="AF187" s="15" t="e" cm="1">
        <f t="array" aca="1" ref="AF187" ca="1">MMS_PastureBeef_Methane_Equations.VEERG_4_2_1_1__2_MethaneProductionFromManure(AE141,$I$155,$E$165,$X$171,$I$158)</f>
        <v>#N/A</v>
      </c>
      <c r="AG187" s="15" t="e" cm="1">
        <f t="array" aca="1" ref="AG187" ca="1">MMS_PastureBeef_Methane_Equations.VEERG_4_2_1_1__2_MethaneProductionFromManure(AF141,$I$155,$E$165,$X$171,$I$158)</f>
        <v>#N/A</v>
      </c>
      <c r="AH187" s="15" t="e" cm="1">
        <f t="array" aca="1" ref="AH187" ca="1">MMS_PastureBeef_Methane_Equations.VEERG_4_2_1_1__2_MethaneProductionFromManure(AG141,$I$155,$E$165,$X$171,$I$158)</f>
        <v>#N/A</v>
      </c>
      <c r="AI187" s="16" t="str">
        <f t="shared" si="8"/>
        <v>kg CH4/head/day</v>
      </c>
      <c r="AJ187" s="16"/>
    </row>
    <row r="188" spans="4:36" ht="20" customHeight="1" x14ac:dyDescent="0.25">
      <c r="W188" s="15" t="str">
        <f>'Input - Pasture Beef'!$D$152</f>
        <v>Pasture range and paddock</v>
      </c>
      <c r="X188" s="15" t="str">
        <f t="shared" si="7"/>
        <v>November</v>
      </c>
      <c r="Y188" s="15" t="e" cm="1">
        <f t="array" aca="1" ref="Y188" ca="1">MMS_PastureBeef_Methane_Equations.VEERG_4_2_1_1__2_MethaneProductionFromManure(X142,$I$155,$E$165,$X$171,$I$158)</f>
        <v>#N/A</v>
      </c>
      <c r="Z188" s="15" t="e" cm="1">
        <f t="array" aca="1" ref="Z188" ca="1">MMS_PastureBeef_Methane_Equations.VEERG_4_2_1_1__2_MethaneProductionFromManure(Y142,$I$155,$E$165,$X$171,$I$158)</f>
        <v>#N/A</v>
      </c>
      <c r="AA188" s="15" t="e" cm="1">
        <f t="array" aca="1" ref="AA188" ca="1">MMS_PastureBeef_Methane_Equations.VEERG_4_2_1_1__2_MethaneProductionFromManure(Z142,$I$155,$E$165,$X$171,$I$158)</f>
        <v>#N/A</v>
      </c>
      <c r="AB188" s="15" t="e" cm="1">
        <f t="array" aca="1" ref="AB188" ca="1">MMS_PastureBeef_Methane_Equations.VEERG_4_2_1_1__2_MethaneProductionFromManure(AA142,$I$155,$E$165,$X$171,$I$158)</f>
        <v>#N/A</v>
      </c>
      <c r="AC188" s="15" t="e" cm="1">
        <f t="array" aca="1" ref="AC188" ca="1">MMS_PastureBeef_Methane_Equations.VEERG_4_2_1_1__2_MethaneProductionFromManure(AB142,$I$155,$E$165,$X$171,$I$158)</f>
        <v>#N/A</v>
      </c>
      <c r="AD188" s="15" t="e" cm="1">
        <f t="array" aca="1" ref="AD188" ca="1">MMS_PastureBeef_Methane_Equations.VEERG_4_2_1_1__2_MethaneProductionFromManure(AC142,$I$155,$E$165,$X$171,$I$158)</f>
        <v>#N/A</v>
      </c>
      <c r="AE188" s="15" t="e" cm="1">
        <f t="array" aca="1" ref="AE188" ca="1">MMS_PastureBeef_Methane_Equations.VEERG_4_2_1_1__2_MethaneProductionFromManure(AD142,$I$155,$E$165,$X$171,$I$158)</f>
        <v>#N/A</v>
      </c>
      <c r="AF188" s="15" t="e" cm="1">
        <f t="array" aca="1" ref="AF188" ca="1">MMS_PastureBeef_Methane_Equations.VEERG_4_2_1_1__2_MethaneProductionFromManure(AE142,$I$155,$E$165,$X$171,$I$158)</f>
        <v>#N/A</v>
      </c>
      <c r="AG188" s="15" t="e" cm="1">
        <f t="array" aca="1" ref="AG188" ca="1">MMS_PastureBeef_Methane_Equations.VEERG_4_2_1_1__2_MethaneProductionFromManure(AF142,$I$155,$E$165,$X$171,$I$158)</f>
        <v>#N/A</v>
      </c>
      <c r="AH188" s="15" t="e" cm="1">
        <f t="array" aca="1" ref="AH188" ca="1">MMS_PastureBeef_Methane_Equations.VEERG_4_2_1_1__2_MethaneProductionFromManure(AG142,$I$155,$E$165,$X$171,$I$158)</f>
        <v>#N/A</v>
      </c>
      <c r="AI188" s="16" t="str">
        <f t="shared" si="8"/>
        <v>kg CH4/head/day</v>
      </c>
      <c r="AJ188" s="16"/>
    </row>
    <row r="189" spans="4:36" ht="20" customHeight="1" x14ac:dyDescent="0.25">
      <c r="W189" s="15" t="str">
        <f>'Input - Pasture Beef'!$D$153</f>
        <v>Anaerobic lagoon</v>
      </c>
      <c r="X189" s="15" t="str">
        <f>W131</f>
        <v>January</v>
      </c>
      <c r="Y189" s="15" t="e" cm="1">
        <f t="array" aca="1" ref="Y189" ca="1">MMS_PastureBeef_Methane_Equations.VEERG_4_2_1_1__2_MethaneProductionFromManure(X131,$I$155,$E$166,$X$172,$I$158)</f>
        <v>#N/A</v>
      </c>
      <c r="Z189" s="15" t="e" cm="1">
        <f t="array" aca="1" ref="Z189" ca="1">MMS_PastureBeef_Methane_Equations.VEERG_4_2_1_1__2_MethaneProductionFromManure(Y131,$I$155,$E$166,$X$172,$I$158)</f>
        <v>#N/A</v>
      </c>
      <c r="AA189" s="15" t="e" cm="1">
        <f t="array" aca="1" ref="AA189" ca="1">MMS_PastureBeef_Methane_Equations.VEERG_4_2_1_1__2_MethaneProductionFromManure(Z131,$I$155,$E$166,$X$172,$I$158)</f>
        <v>#N/A</v>
      </c>
      <c r="AB189" s="15" t="e" cm="1">
        <f t="array" aca="1" ref="AB189" ca="1">MMS_PastureBeef_Methane_Equations.VEERG_4_2_1_1__2_MethaneProductionFromManure(AA131,$I$155,$E$166,$X$172,$I$158)</f>
        <v>#N/A</v>
      </c>
      <c r="AC189" s="15" t="e" cm="1">
        <f t="array" aca="1" ref="AC189" ca="1">MMS_PastureBeef_Methane_Equations.VEERG_4_2_1_1__2_MethaneProductionFromManure(AB131,$I$155,$E$166,$X$172,$I$158)</f>
        <v>#N/A</v>
      </c>
      <c r="AD189" s="15" t="e" cm="1">
        <f t="array" aca="1" ref="AD189" ca="1">MMS_PastureBeef_Methane_Equations.VEERG_4_2_1_1__2_MethaneProductionFromManure(AC131,$I$155,$E$166,$X$172,$I$158)</f>
        <v>#N/A</v>
      </c>
      <c r="AE189" s="15" t="e" cm="1">
        <f t="array" aca="1" ref="AE189" ca="1">MMS_PastureBeef_Methane_Equations.VEERG_4_2_1_1__2_MethaneProductionFromManure(AD131,$I$155,$E$166,$X$172,$I$158)</f>
        <v>#N/A</v>
      </c>
      <c r="AF189" s="15" t="e" cm="1">
        <f t="array" aca="1" ref="AF189" ca="1">MMS_PastureBeef_Methane_Equations.VEERG_4_2_1_1__2_MethaneProductionFromManure(AE131,$I$155,$E$166,$X$172,$I$158)</f>
        <v>#N/A</v>
      </c>
      <c r="AG189" s="15" t="e" cm="1">
        <f t="array" aca="1" ref="AG189" ca="1">MMS_PastureBeef_Methane_Equations.VEERG_4_2_1_1__2_MethaneProductionFromManure(AF131,$I$155,$E$166,$X$172,$I$158)</f>
        <v>#N/A</v>
      </c>
      <c r="AH189" s="15" t="e" cm="1">
        <f t="array" aca="1" ref="AH189" ca="1">MMS_PastureBeef_Methane_Equations.VEERG_4_2_1_1__2_MethaneProductionFromManure(AG131,$I$155,$E$166,$X$172,$I$158)</f>
        <v>#N/A</v>
      </c>
      <c r="AI189" s="16" t="str">
        <f t="shared" si="8"/>
        <v>kg CH4/head/day</v>
      </c>
      <c r="AJ189" s="16"/>
    </row>
    <row r="190" spans="4:36" ht="20" customHeight="1" x14ac:dyDescent="0.25">
      <c r="W190" s="15" t="str">
        <f>'Input - Pasture Beef'!$D$153</f>
        <v>Anaerobic lagoon</v>
      </c>
      <c r="X190" s="15" t="str">
        <f t="shared" ref="X190:X200" si="9">W132</f>
        <v>January</v>
      </c>
      <c r="Y190" s="15" t="e" cm="1">
        <f t="array" aca="1" ref="Y190" ca="1">MMS_PastureBeef_Methane_Equations.VEERG_4_2_1_1__2_MethaneProductionFromManure(X132,$I$155,$E$166,$X$172,$I$158)</f>
        <v>#N/A</v>
      </c>
      <c r="Z190" s="15" t="e" cm="1">
        <f t="array" aca="1" ref="Z190" ca="1">MMS_PastureBeef_Methane_Equations.VEERG_4_2_1_1__2_MethaneProductionFromManure(Y132,$I$155,$E$166,$X$172,$I$158)</f>
        <v>#N/A</v>
      </c>
      <c r="AA190" s="15" t="e" cm="1">
        <f t="array" aca="1" ref="AA190" ca="1">MMS_PastureBeef_Methane_Equations.VEERG_4_2_1_1__2_MethaneProductionFromManure(Z132,$I$155,$E$166,$X$172,$I$158)</f>
        <v>#N/A</v>
      </c>
      <c r="AB190" s="15" t="e" cm="1">
        <f t="array" aca="1" ref="AB190" ca="1">MMS_PastureBeef_Methane_Equations.VEERG_4_2_1_1__2_MethaneProductionFromManure(AA132,$I$155,$E$166,$X$172,$I$158)</f>
        <v>#N/A</v>
      </c>
      <c r="AC190" s="15" t="e" cm="1">
        <f t="array" aca="1" ref="AC190" ca="1">MMS_PastureBeef_Methane_Equations.VEERG_4_2_1_1__2_MethaneProductionFromManure(AB132,$I$155,$E$166,$X$172,$I$158)</f>
        <v>#N/A</v>
      </c>
      <c r="AD190" s="15" t="e" cm="1">
        <f t="array" aca="1" ref="AD190" ca="1">MMS_PastureBeef_Methane_Equations.VEERG_4_2_1_1__2_MethaneProductionFromManure(AC132,$I$155,$E$166,$X$172,$I$158)</f>
        <v>#N/A</v>
      </c>
      <c r="AE190" s="15" t="e" cm="1">
        <f t="array" aca="1" ref="AE190" ca="1">MMS_PastureBeef_Methane_Equations.VEERG_4_2_1_1__2_MethaneProductionFromManure(AD132,$I$155,$E$166,$X$172,$I$158)</f>
        <v>#N/A</v>
      </c>
      <c r="AF190" s="15" t="e" cm="1">
        <f t="array" aca="1" ref="AF190" ca="1">MMS_PastureBeef_Methane_Equations.VEERG_4_2_1_1__2_MethaneProductionFromManure(AE132,$I$155,$E$166,$X$172,$I$158)</f>
        <v>#N/A</v>
      </c>
      <c r="AG190" s="15" t="e" cm="1">
        <f t="array" aca="1" ref="AG190" ca="1">MMS_PastureBeef_Methane_Equations.VEERG_4_2_1_1__2_MethaneProductionFromManure(AF132,$I$155,$E$166,$X$172,$I$158)</f>
        <v>#N/A</v>
      </c>
      <c r="AH190" s="15" t="e" cm="1">
        <f t="array" aca="1" ref="AH190" ca="1">MMS_PastureBeef_Methane_Equations.VEERG_4_2_1_1__2_MethaneProductionFromManure(AG132,$I$155,$E$166,$X$172,$I$158)</f>
        <v>#N/A</v>
      </c>
      <c r="AI190" s="16" t="str">
        <f t="shared" si="8"/>
        <v>kg CH4/head/day</v>
      </c>
      <c r="AJ190" s="16"/>
    </row>
    <row r="191" spans="4:36" ht="20" customHeight="1" x14ac:dyDescent="0.25">
      <c r="W191" s="15" t="str">
        <f>'Input - Pasture Beef'!$D$153</f>
        <v>Anaerobic lagoon</v>
      </c>
      <c r="X191" s="15" t="str">
        <f t="shared" si="9"/>
        <v>February</v>
      </c>
      <c r="Y191" s="15" t="e" cm="1">
        <f t="array" aca="1" ref="Y191" ca="1">MMS_PastureBeef_Methane_Equations.VEERG_4_2_1_1__2_MethaneProductionFromManure(X133,$I$155,$E$166,$X$172,$I$158)</f>
        <v>#N/A</v>
      </c>
      <c r="Z191" s="15" t="e" cm="1">
        <f t="array" aca="1" ref="Z191" ca="1">MMS_PastureBeef_Methane_Equations.VEERG_4_2_1_1__2_MethaneProductionFromManure(Y133,$I$155,$E$166,$X$172,$I$158)</f>
        <v>#N/A</v>
      </c>
      <c r="AA191" s="15" t="e" cm="1">
        <f t="array" aca="1" ref="AA191" ca="1">MMS_PastureBeef_Methane_Equations.VEERG_4_2_1_1__2_MethaneProductionFromManure(Z133,$I$155,$E$166,$X$172,$I$158)</f>
        <v>#N/A</v>
      </c>
      <c r="AB191" s="15" t="e" cm="1">
        <f t="array" aca="1" ref="AB191" ca="1">MMS_PastureBeef_Methane_Equations.VEERG_4_2_1_1__2_MethaneProductionFromManure(AA133,$I$155,$E$166,$X$172,$I$158)</f>
        <v>#N/A</v>
      </c>
      <c r="AC191" s="15" t="e" cm="1">
        <f t="array" aca="1" ref="AC191" ca="1">MMS_PastureBeef_Methane_Equations.VEERG_4_2_1_1__2_MethaneProductionFromManure(AB133,$I$155,$E$166,$X$172,$I$158)</f>
        <v>#N/A</v>
      </c>
      <c r="AD191" s="15" t="e" cm="1">
        <f t="array" aca="1" ref="AD191" ca="1">MMS_PastureBeef_Methane_Equations.VEERG_4_2_1_1__2_MethaneProductionFromManure(AC133,$I$155,$E$166,$X$172,$I$158)</f>
        <v>#N/A</v>
      </c>
      <c r="AE191" s="15" t="e" cm="1">
        <f t="array" aca="1" ref="AE191" ca="1">MMS_PastureBeef_Methane_Equations.VEERG_4_2_1_1__2_MethaneProductionFromManure(AD133,$I$155,$E$166,$X$172,$I$158)</f>
        <v>#N/A</v>
      </c>
      <c r="AF191" s="15" t="e" cm="1">
        <f t="array" aca="1" ref="AF191" ca="1">MMS_PastureBeef_Methane_Equations.VEERG_4_2_1_1__2_MethaneProductionFromManure(AE133,$I$155,$E$166,$X$172,$I$158)</f>
        <v>#N/A</v>
      </c>
      <c r="AG191" s="15" t="e" cm="1">
        <f t="array" aca="1" ref="AG191" ca="1">MMS_PastureBeef_Methane_Equations.VEERG_4_2_1_1__2_MethaneProductionFromManure(AF133,$I$155,$E$166,$X$172,$I$158)</f>
        <v>#N/A</v>
      </c>
      <c r="AH191" s="15" t="e" cm="1">
        <f t="array" aca="1" ref="AH191" ca="1">MMS_PastureBeef_Methane_Equations.VEERG_4_2_1_1__2_MethaneProductionFromManure(AG133,$I$155,$E$166,$X$172,$I$158)</f>
        <v>#N/A</v>
      </c>
      <c r="AI191" s="16" t="str">
        <f t="shared" si="8"/>
        <v>kg CH4/head/day</v>
      </c>
      <c r="AJ191" s="16"/>
    </row>
    <row r="192" spans="4:36" ht="20" customHeight="1" x14ac:dyDescent="0.25">
      <c r="W192" s="15" t="str">
        <f>'Input - Pasture Beef'!$D$153</f>
        <v>Anaerobic lagoon</v>
      </c>
      <c r="X192" s="15" t="str">
        <f t="shared" si="9"/>
        <v>March</v>
      </c>
      <c r="Y192" s="15" t="e" cm="1">
        <f t="array" aca="1" ref="Y192" ca="1">MMS_PastureBeef_Methane_Equations.VEERG_4_2_1_1__2_MethaneProductionFromManure(X134,$I$155,$E$166,$X$172,$I$158)</f>
        <v>#N/A</v>
      </c>
      <c r="Z192" s="15" t="e" cm="1">
        <f t="array" aca="1" ref="Z192" ca="1">MMS_PastureBeef_Methane_Equations.VEERG_4_2_1_1__2_MethaneProductionFromManure(Y134,$I$155,$E$166,$X$172,$I$158)</f>
        <v>#N/A</v>
      </c>
      <c r="AA192" s="15" t="e" cm="1">
        <f t="array" aca="1" ref="AA192" ca="1">MMS_PastureBeef_Methane_Equations.VEERG_4_2_1_1__2_MethaneProductionFromManure(Z134,$I$155,$E$166,$X$172,$I$158)</f>
        <v>#N/A</v>
      </c>
      <c r="AB192" s="15" t="e" cm="1">
        <f t="array" aca="1" ref="AB192" ca="1">MMS_PastureBeef_Methane_Equations.VEERG_4_2_1_1__2_MethaneProductionFromManure(AA134,$I$155,$E$166,$X$172,$I$158)</f>
        <v>#N/A</v>
      </c>
      <c r="AC192" s="15" t="e" cm="1">
        <f t="array" aca="1" ref="AC192" ca="1">MMS_PastureBeef_Methane_Equations.VEERG_4_2_1_1__2_MethaneProductionFromManure(AB134,$I$155,$E$166,$X$172,$I$158)</f>
        <v>#N/A</v>
      </c>
      <c r="AD192" s="15" t="e" cm="1">
        <f t="array" aca="1" ref="AD192" ca="1">MMS_PastureBeef_Methane_Equations.VEERG_4_2_1_1__2_MethaneProductionFromManure(AC134,$I$155,$E$166,$X$172,$I$158)</f>
        <v>#N/A</v>
      </c>
      <c r="AE192" s="15" t="e" cm="1">
        <f t="array" aca="1" ref="AE192" ca="1">MMS_PastureBeef_Methane_Equations.VEERG_4_2_1_1__2_MethaneProductionFromManure(AD134,$I$155,$E$166,$X$172,$I$158)</f>
        <v>#N/A</v>
      </c>
      <c r="AF192" s="15" t="e" cm="1">
        <f t="array" aca="1" ref="AF192" ca="1">MMS_PastureBeef_Methane_Equations.VEERG_4_2_1_1__2_MethaneProductionFromManure(AE134,$I$155,$E$166,$X$172,$I$158)</f>
        <v>#N/A</v>
      </c>
      <c r="AG192" s="15" t="e" cm="1">
        <f t="array" aca="1" ref="AG192" ca="1">MMS_PastureBeef_Methane_Equations.VEERG_4_2_1_1__2_MethaneProductionFromManure(AF134,$I$155,$E$166,$X$172,$I$158)</f>
        <v>#N/A</v>
      </c>
      <c r="AH192" s="15" t="e" cm="1">
        <f t="array" aca="1" ref="AH192" ca="1">MMS_PastureBeef_Methane_Equations.VEERG_4_2_1_1__2_MethaneProductionFromManure(AG134,$I$155,$E$166,$X$172,$I$158)</f>
        <v>#N/A</v>
      </c>
      <c r="AI192" s="16" t="str">
        <f t="shared" si="8"/>
        <v>kg CH4/head/day</v>
      </c>
      <c r="AJ192" s="16"/>
    </row>
    <row r="193" spans="3:37" ht="20" customHeight="1" x14ac:dyDescent="0.25">
      <c r="W193" s="15" t="str">
        <f>'Input - Pasture Beef'!$D$153</f>
        <v>Anaerobic lagoon</v>
      </c>
      <c r="X193" s="15" t="str">
        <f t="shared" si="9"/>
        <v>April</v>
      </c>
      <c r="Y193" s="15" t="e" cm="1">
        <f t="array" aca="1" ref="Y193" ca="1">MMS_PastureBeef_Methane_Equations.VEERG_4_2_1_1__2_MethaneProductionFromManure(X135,$I$155,$E$166,$X$172,$I$158)</f>
        <v>#N/A</v>
      </c>
      <c r="Z193" s="15" t="e" cm="1">
        <f t="array" aca="1" ref="Z193" ca="1">MMS_PastureBeef_Methane_Equations.VEERG_4_2_1_1__2_MethaneProductionFromManure(Y135,$I$155,$E$166,$X$172,$I$158)</f>
        <v>#N/A</v>
      </c>
      <c r="AA193" s="15" t="e" cm="1">
        <f t="array" aca="1" ref="AA193" ca="1">MMS_PastureBeef_Methane_Equations.VEERG_4_2_1_1__2_MethaneProductionFromManure(Z135,$I$155,$E$166,$X$172,$I$158)</f>
        <v>#N/A</v>
      </c>
      <c r="AB193" s="15" t="e" cm="1">
        <f t="array" aca="1" ref="AB193" ca="1">MMS_PastureBeef_Methane_Equations.VEERG_4_2_1_1__2_MethaneProductionFromManure(AA135,$I$155,$E$166,$X$172,$I$158)</f>
        <v>#N/A</v>
      </c>
      <c r="AC193" s="15" t="e" cm="1">
        <f t="array" aca="1" ref="AC193" ca="1">MMS_PastureBeef_Methane_Equations.VEERG_4_2_1_1__2_MethaneProductionFromManure(AB135,$I$155,$E$166,$X$172,$I$158)</f>
        <v>#N/A</v>
      </c>
      <c r="AD193" s="15" t="e" cm="1">
        <f t="array" aca="1" ref="AD193" ca="1">MMS_PastureBeef_Methane_Equations.VEERG_4_2_1_1__2_MethaneProductionFromManure(AC135,$I$155,$E$166,$X$172,$I$158)</f>
        <v>#N/A</v>
      </c>
      <c r="AE193" s="15" t="e" cm="1">
        <f t="array" aca="1" ref="AE193" ca="1">MMS_PastureBeef_Methane_Equations.VEERG_4_2_1_1__2_MethaneProductionFromManure(AD135,$I$155,$E$166,$X$172,$I$158)</f>
        <v>#N/A</v>
      </c>
      <c r="AF193" s="15" t="e" cm="1">
        <f t="array" aca="1" ref="AF193" ca="1">MMS_PastureBeef_Methane_Equations.VEERG_4_2_1_1__2_MethaneProductionFromManure(AE135,$I$155,$E$166,$X$172,$I$158)</f>
        <v>#N/A</v>
      </c>
      <c r="AG193" s="15" t="e" cm="1">
        <f t="array" aca="1" ref="AG193" ca="1">MMS_PastureBeef_Methane_Equations.VEERG_4_2_1_1__2_MethaneProductionFromManure(AF135,$I$155,$E$166,$X$172,$I$158)</f>
        <v>#N/A</v>
      </c>
      <c r="AH193" s="15" t="e" cm="1">
        <f t="array" aca="1" ref="AH193" ca="1">MMS_PastureBeef_Methane_Equations.VEERG_4_2_1_1__2_MethaneProductionFromManure(AG135,$I$155,$E$166,$X$172,$I$158)</f>
        <v>#N/A</v>
      </c>
      <c r="AI193" s="16" t="str">
        <f t="shared" si="8"/>
        <v>kg CH4/head/day</v>
      </c>
      <c r="AJ193" s="16"/>
    </row>
    <row r="194" spans="3:37" ht="20" customHeight="1" x14ac:dyDescent="0.25">
      <c r="W194" s="15" t="str">
        <f>'Input - Pasture Beef'!$D$153</f>
        <v>Anaerobic lagoon</v>
      </c>
      <c r="X194" s="15" t="str">
        <f t="shared" si="9"/>
        <v>May</v>
      </c>
      <c r="Y194" s="15" t="e" cm="1">
        <f t="array" aca="1" ref="Y194" ca="1">MMS_PastureBeef_Methane_Equations.VEERG_4_2_1_1__2_MethaneProductionFromManure(X136,$I$155,$E$166,$X$172,$I$158)</f>
        <v>#N/A</v>
      </c>
      <c r="Z194" s="15" t="e" cm="1">
        <f t="array" aca="1" ref="Z194" ca="1">MMS_PastureBeef_Methane_Equations.VEERG_4_2_1_1__2_MethaneProductionFromManure(Y136,$I$155,$E$166,$X$172,$I$158)</f>
        <v>#N/A</v>
      </c>
      <c r="AA194" s="15" t="e" cm="1">
        <f t="array" aca="1" ref="AA194" ca="1">MMS_PastureBeef_Methane_Equations.VEERG_4_2_1_1__2_MethaneProductionFromManure(Z136,$I$155,$E$166,$X$172,$I$158)</f>
        <v>#N/A</v>
      </c>
      <c r="AB194" s="15" t="e" cm="1">
        <f t="array" aca="1" ref="AB194" ca="1">MMS_PastureBeef_Methane_Equations.VEERG_4_2_1_1__2_MethaneProductionFromManure(AA136,$I$155,$E$166,$X$172,$I$158)</f>
        <v>#N/A</v>
      </c>
      <c r="AC194" s="15" t="e" cm="1">
        <f t="array" aca="1" ref="AC194" ca="1">MMS_PastureBeef_Methane_Equations.VEERG_4_2_1_1__2_MethaneProductionFromManure(AB136,$I$155,$E$166,$X$172,$I$158)</f>
        <v>#N/A</v>
      </c>
      <c r="AD194" s="15" t="e" cm="1">
        <f t="array" aca="1" ref="AD194" ca="1">MMS_PastureBeef_Methane_Equations.VEERG_4_2_1_1__2_MethaneProductionFromManure(AC136,$I$155,$E$166,$X$172,$I$158)</f>
        <v>#N/A</v>
      </c>
      <c r="AE194" s="15" t="e" cm="1">
        <f t="array" aca="1" ref="AE194" ca="1">MMS_PastureBeef_Methane_Equations.VEERG_4_2_1_1__2_MethaneProductionFromManure(AD136,$I$155,$E$166,$X$172,$I$158)</f>
        <v>#N/A</v>
      </c>
      <c r="AF194" s="15" t="e" cm="1">
        <f t="array" aca="1" ref="AF194" ca="1">MMS_PastureBeef_Methane_Equations.VEERG_4_2_1_1__2_MethaneProductionFromManure(AE136,$I$155,$E$166,$X$172,$I$158)</f>
        <v>#N/A</v>
      </c>
      <c r="AG194" s="15" t="e" cm="1">
        <f t="array" aca="1" ref="AG194" ca="1">MMS_PastureBeef_Methane_Equations.VEERG_4_2_1_1__2_MethaneProductionFromManure(AF136,$I$155,$E$166,$X$172,$I$158)</f>
        <v>#N/A</v>
      </c>
      <c r="AH194" s="15" t="e" cm="1">
        <f t="array" aca="1" ref="AH194" ca="1">MMS_PastureBeef_Methane_Equations.VEERG_4_2_1_1__2_MethaneProductionFromManure(AG136,$I$155,$E$166,$X$172,$I$158)</f>
        <v>#N/A</v>
      </c>
      <c r="AI194" s="16" t="str">
        <f t="shared" si="8"/>
        <v>kg CH4/head/day</v>
      </c>
      <c r="AJ194" s="16"/>
    </row>
    <row r="195" spans="3:37" ht="20" customHeight="1" x14ac:dyDescent="0.25">
      <c r="W195" s="15" t="str">
        <f>'Input - Pasture Beef'!$D$153</f>
        <v>Anaerobic lagoon</v>
      </c>
      <c r="X195" s="15" t="str">
        <f t="shared" si="9"/>
        <v>June</v>
      </c>
      <c r="Y195" s="15" t="e" cm="1">
        <f t="array" aca="1" ref="Y195" ca="1">MMS_PastureBeef_Methane_Equations.VEERG_4_2_1_1__2_MethaneProductionFromManure(X137,$I$155,$E$166,$X$172,$I$158)</f>
        <v>#N/A</v>
      </c>
      <c r="Z195" s="15" t="e" cm="1">
        <f t="array" aca="1" ref="Z195" ca="1">MMS_PastureBeef_Methane_Equations.VEERG_4_2_1_1__2_MethaneProductionFromManure(Y137,$I$155,$E$166,$X$172,$I$158)</f>
        <v>#N/A</v>
      </c>
      <c r="AA195" s="15" t="e" cm="1">
        <f t="array" aca="1" ref="AA195" ca="1">MMS_PastureBeef_Methane_Equations.VEERG_4_2_1_1__2_MethaneProductionFromManure(Z137,$I$155,$E$166,$X$172,$I$158)</f>
        <v>#N/A</v>
      </c>
      <c r="AB195" s="15" t="e" cm="1">
        <f t="array" aca="1" ref="AB195" ca="1">MMS_PastureBeef_Methane_Equations.VEERG_4_2_1_1__2_MethaneProductionFromManure(AA137,$I$155,$E$166,$X$172,$I$158)</f>
        <v>#N/A</v>
      </c>
      <c r="AC195" s="15" t="e" cm="1">
        <f t="array" aca="1" ref="AC195" ca="1">MMS_PastureBeef_Methane_Equations.VEERG_4_2_1_1__2_MethaneProductionFromManure(AB137,$I$155,$E$166,$X$172,$I$158)</f>
        <v>#N/A</v>
      </c>
      <c r="AD195" s="15" t="e" cm="1">
        <f t="array" aca="1" ref="AD195" ca="1">MMS_PastureBeef_Methane_Equations.VEERG_4_2_1_1__2_MethaneProductionFromManure(AC137,$I$155,$E$166,$X$172,$I$158)</f>
        <v>#N/A</v>
      </c>
      <c r="AE195" s="15" t="e" cm="1">
        <f t="array" aca="1" ref="AE195" ca="1">MMS_PastureBeef_Methane_Equations.VEERG_4_2_1_1__2_MethaneProductionFromManure(AD137,$I$155,$E$166,$X$172,$I$158)</f>
        <v>#N/A</v>
      </c>
      <c r="AF195" s="15" t="e" cm="1">
        <f t="array" aca="1" ref="AF195" ca="1">MMS_PastureBeef_Methane_Equations.VEERG_4_2_1_1__2_MethaneProductionFromManure(AE137,$I$155,$E$166,$X$172,$I$158)</f>
        <v>#N/A</v>
      </c>
      <c r="AG195" s="15" t="e" cm="1">
        <f t="array" aca="1" ref="AG195" ca="1">MMS_PastureBeef_Methane_Equations.VEERG_4_2_1_1__2_MethaneProductionFromManure(AF137,$I$155,$E$166,$X$172,$I$158)</f>
        <v>#N/A</v>
      </c>
      <c r="AH195" s="15" t="e" cm="1">
        <f t="array" aca="1" ref="AH195" ca="1">MMS_PastureBeef_Methane_Equations.VEERG_4_2_1_1__2_MethaneProductionFromManure(AG137,$I$155,$E$166,$X$172,$I$158)</f>
        <v>#N/A</v>
      </c>
      <c r="AI195" s="16" t="str">
        <f t="shared" si="8"/>
        <v>kg CH4/head/day</v>
      </c>
      <c r="AJ195" s="16"/>
    </row>
    <row r="196" spans="3:37" ht="20" customHeight="1" x14ac:dyDescent="0.25">
      <c r="W196" s="15" t="str">
        <f>'Input - Pasture Beef'!$D$153</f>
        <v>Anaerobic lagoon</v>
      </c>
      <c r="X196" s="15" t="str">
        <f t="shared" si="9"/>
        <v>July</v>
      </c>
      <c r="Y196" s="15" t="e" cm="1">
        <f t="array" aca="1" ref="Y196" ca="1">MMS_PastureBeef_Methane_Equations.VEERG_4_2_1_1__2_MethaneProductionFromManure(X138,$I$155,$E$166,$X$172,$I$158)</f>
        <v>#N/A</v>
      </c>
      <c r="Z196" s="15" t="e" cm="1">
        <f t="array" aca="1" ref="Z196" ca="1">MMS_PastureBeef_Methane_Equations.VEERG_4_2_1_1__2_MethaneProductionFromManure(Y138,$I$155,$E$166,$X$172,$I$158)</f>
        <v>#N/A</v>
      </c>
      <c r="AA196" s="15" t="e" cm="1">
        <f t="array" aca="1" ref="AA196" ca="1">MMS_PastureBeef_Methane_Equations.VEERG_4_2_1_1__2_MethaneProductionFromManure(Z138,$I$155,$E$166,$X$172,$I$158)</f>
        <v>#N/A</v>
      </c>
      <c r="AB196" s="15" t="e" cm="1">
        <f t="array" aca="1" ref="AB196" ca="1">MMS_PastureBeef_Methane_Equations.VEERG_4_2_1_1__2_MethaneProductionFromManure(AA138,$I$155,$E$166,$X$172,$I$158)</f>
        <v>#N/A</v>
      </c>
      <c r="AC196" s="15" t="e" cm="1">
        <f t="array" aca="1" ref="AC196" ca="1">MMS_PastureBeef_Methane_Equations.VEERG_4_2_1_1__2_MethaneProductionFromManure(AB138,$I$155,$E$166,$X$172,$I$158)</f>
        <v>#N/A</v>
      </c>
      <c r="AD196" s="15" t="e" cm="1">
        <f t="array" aca="1" ref="AD196" ca="1">MMS_PastureBeef_Methane_Equations.VEERG_4_2_1_1__2_MethaneProductionFromManure(AC138,$I$155,$E$166,$X$172,$I$158)</f>
        <v>#N/A</v>
      </c>
      <c r="AE196" s="15" t="e" cm="1">
        <f t="array" aca="1" ref="AE196" ca="1">MMS_PastureBeef_Methane_Equations.VEERG_4_2_1_1__2_MethaneProductionFromManure(AD138,$I$155,$E$166,$X$172,$I$158)</f>
        <v>#N/A</v>
      </c>
      <c r="AF196" s="15" t="e" cm="1">
        <f t="array" aca="1" ref="AF196" ca="1">MMS_PastureBeef_Methane_Equations.VEERG_4_2_1_1__2_MethaneProductionFromManure(AE138,$I$155,$E$166,$X$172,$I$158)</f>
        <v>#N/A</v>
      </c>
      <c r="AG196" s="15" t="e" cm="1">
        <f t="array" aca="1" ref="AG196" ca="1">MMS_PastureBeef_Methane_Equations.VEERG_4_2_1_1__2_MethaneProductionFromManure(AF138,$I$155,$E$166,$X$172,$I$158)</f>
        <v>#N/A</v>
      </c>
      <c r="AH196" s="15" t="e" cm="1">
        <f t="array" aca="1" ref="AH196" ca="1">MMS_PastureBeef_Methane_Equations.VEERG_4_2_1_1__2_MethaneProductionFromManure(AG138,$I$155,$E$166,$X$172,$I$158)</f>
        <v>#N/A</v>
      </c>
      <c r="AI196" s="16" t="str">
        <f t="shared" si="8"/>
        <v>kg CH4/head/day</v>
      </c>
      <c r="AJ196" s="16"/>
    </row>
    <row r="197" spans="3:37" ht="20" customHeight="1" x14ac:dyDescent="0.25">
      <c r="W197" s="15" t="str">
        <f>'Input - Pasture Beef'!$D$153</f>
        <v>Anaerobic lagoon</v>
      </c>
      <c r="X197" s="15" t="str">
        <f t="shared" si="9"/>
        <v>August</v>
      </c>
      <c r="Y197" s="15" t="e" cm="1">
        <f t="array" aca="1" ref="Y197" ca="1">MMS_PastureBeef_Methane_Equations.VEERG_4_2_1_1__2_MethaneProductionFromManure(X139,$I$155,$E$166,$X$172,$I$158)</f>
        <v>#N/A</v>
      </c>
      <c r="Z197" s="15" t="e" cm="1">
        <f t="array" aca="1" ref="Z197" ca="1">MMS_PastureBeef_Methane_Equations.VEERG_4_2_1_1__2_MethaneProductionFromManure(Y139,$I$155,$E$166,$X$172,$I$158)</f>
        <v>#N/A</v>
      </c>
      <c r="AA197" s="15" t="e" cm="1">
        <f t="array" aca="1" ref="AA197" ca="1">MMS_PastureBeef_Methane_Equations.VEERG_4_2_1_1__2_MethaneProductionFromManure(Z139,$I$155,$E$166,$X$172,$I$158)</f>
        <v>#N/A</v>
      </c>
      <c r="AB197" s="15" t="e" cm="1">
        <f t="array" aca="1" ref="AB197" ca="1">MMS_PastureBeef_Methane_Equations.VEERG_4_2_1_1__2_MethaneProductionFromManure(AA139,$I$155,$E$166,$X$172,$I$158)</f>
        <v>#N/A</v>
      </c>
      <c r="AC197" s="15" t="e" cm="1">
        <f t="array" aca="1" ref="AC197" ca="1">MMS_PastureBeef_Methane_Equations.VEERG_4_2_1_1__2_MethaneProductionFromManure(AB139,$I$155,$E$166,$X$172,$I$158)</f>
        <v>#N/A</v>
      </c>
      <c r="AD197" s="15" t="e" cm="1">
        <f t="array" aca="1" ref="AD197" ca="1">MMS_PastureBeef_Methane_Equations.VEERG_4_2_1_1__2_MethaneProductionFromManure(AC139,$I$155,$E$166,$X$172,$I$158)</f>
        <v>#N/A</v>
      </c>
      <c r="AE197" s="15" t="e" cm="1">
        <f t="array" aca="1" ref="AE197" ca="1">MMS_PastureBeef_Methane_Equations.VEERG_4_2_1_1__2_MethaneProductionFromManure(AD139,$I$155,$E$166,$X$172,$I$158)</f>
        <v>#N/A</v>
      </c>
      <c r="AF197" s="15" t="e" cm="1">
        <f t="array" aca="1" ref="AF197" ca="1">MMS_PastureBeef_Methane_Equations.VEERG_4_2_1_1__2_MethaneProductionFromManure(AE139,$I$155,$E$166,$X$172,$I$158)</f>
        <v>#N/A</v>
      </c>
      <c r="AG197" s="15" t="e" cm="1">
        <f t="array" aca="1" ref="AG197" ca="1">MMS_PastureBeef_Methane_Equations.VEERG_4_2_1_1__2_MethaneProductionFromManure(AF139,$I$155,$E$166,$X$172,$I$158)</f>
        <v>#N/A</v>
      </c>
      <c r="AH197" s="15" t="e" cm="1">
        <f t="array" aca="1" ref="AH197" ca="1">MMS_PastureBeef_Methane_Equations.VEERG_4_2_1_1__2_MethaneProductionFromManure(AG139,$I$155,$E$166,$X$172,$I$158)</f>
        <v>#N/A</v>
      </c>
      <c r="AI197" s="16" t="str">
        <f t="shared" si="8"/>
        <v>kg CH4/head/day</v>
      </c>
      <c r="AJ197" s="16"/>
    </row>
    <row r="198" spans="3:37" ht="20" customHeight="1" x14ac:dyDescent="0.25">
      <c r="W198" s="15" t="str">
        <f>'Input - Pasture Beef'!$D$153</f>
        <v>Anaerobic lagoon</v>
      </c>
      <c r="X198" s="15" t="str">
        <f t="shared" si="9"/>
        <v>September</v>
      </c>
      <c r="Y198" s="15" t="e" cm="1">
        <f t="array" aca="1" ref="Y198" ca="1">MMS_PastureBeef_Methane_Equations.VEERG_4_2_1_1__2_MethaneProductionFromManure(X140,$I$155,$E$166,$X$172,$I$158)</f>
        <v>#N/A</v>
      </c>
      <c r="Z198" s="15" t="e" cm="1">
        <f t="array" aca="1" ref="Z198" ca="1">MMS_PastureBeef_Methane_Equations.VEERG_4_2_1_1__2_MethaneProductionFromManure(Y140,$I$155,$E$166,$X$172,$I$158)</f>
        <v>#N/A</v>
      </c>
      <c r="AA198" s="15" t="e" cm="1">
        <f t="array" aca="1" ref="AA198" ca="1">MMS_PastureBeef_Methane_Equations.VEERG_4_2_1_1__2_MethaneProductionFromManure(Z140,$I$155,$E$166,$X$172,$I$158)</f>
        <v>#N/A</v>
      </c>
      <c r="AB198" s="15" t="e" cm="1">
        <f t="array" aca="1" ref="AB198" ca="1">MMS_PastureBeef_Methane_Equations.VEERG_4_2_1_1__2_MethaneProductionFromManure(AA140,$I$155,$E$166,$X$172,$I$158)</f>
        <v>#N/A</v>
      </c>
      <c r="AC198" s="15" t="e" cm="1">
        <f t="array" aca="1" ref="AC198" ca="1">MMS_PastureBeef_Methane_Equations.VEERG_4_2_1_1__2_MethaneProductionFromManure(AB140,$I$155,$E$166,$X$172,$I$158)</f>
        <v>#N/A</v>
      </c>
      <c r="AD198" s="15" t="e" cm="1">
        <f t="array" aca="1" ref="AD198" ca="1">MMS_PastureBeef_Methane_Equations.VEERG_4_2_1_1__2_MethaneProductionFromManure(AC140,$I$155,$E$166,$X$172,$I$158)</f>
        <v>#N/A</v>
      </c>
      <c r="AE198" s="15" t="e" cm="1">
        <f t="array" aca="1" ref="AE198" ca="1">MMS_PastureBeef_Methane_Equations.VEERG_4_2_1_1__2_MethaneProductionFromManure(AD140,$I$155,$E$166,$X$172,$I$158)</f>
        <v>#N/A</v>
      </c>
      <c r="AF198" s="15" t="e" cm="1">
        <f t="array" aca="1" ref="AF198" ca="1">MMS_PastureBeef_Methane_Equations.VEERG_4_2_1_1__2_MethaneProductionFromManure(AE140,$I$155,$E$166,$X$172,$I$158)</f>
        <v>#N/A</v>
      </c>
      <c r="AG198" s="15" t="e" cm="1">
        <f t="array" aca="1" ref="AG198" ca="1">MMS_PastureBeef_Methane_Equations.VEERG_4_2_1_1__2_MethaneProductionFromManure(AF140,$I$155,$E$166,$X$172,$I$158)</f>
        <v>#N/A</v>
      </c>
      <c r="AH198" s="15" t="e" cm="1">
        <f t="array" aca="1" ref="AH198" ca="1">MMS_PastureBeef_Methane_Equations.VEERG_4_2_1_1__2_MethaneProductionFromManure(AG140,$I$155,$E$166,$X$172,$I$158)</f>
        <v>#N/A</v>
      </c>
      <c r="AI198" s="16" t="str">
        <f t="shared" si="8"/>
        <v>kg CH4/head/day</v>
      </c>
      <c r="AJ198" s="16"/>
    </row>
    <row r="199" spans="3:37" ht="20" customHeight="1" x14ac:dyDescent="0.25">
      <c r="W199" s="15" t="str">
        <f>'Input - Pasture Beef'!$D$153</f>
        <v>Anaerobic lagoon</v>
      </c>
      <c r="X199" s="15" t="str">
        <f t="shared" si="9"/>
        <v>October</v>
      </c>
      <c r="Y199" s="15" t="e" cm="1">
        <f t="array" aca="1" ref="Y199" ca="1">MMS_PastureBeef_Methane_Equations.VEERG_4_2_1_1__2_MethaneProductionFromManure(X141,$I$155,$E$166,$X$172,$I$158)</f>
        <v>#N/A</v>
      </c>
      <c r="Z199" s="15" t="e" cm="1">
        <f t="array" aca="1" ref="Z199" ca="1">MMS_PastureBeef_Methane_Equations.VEERG_4_2_1_1__2_MethaneProductionFromManure(Y141,$I$155,$E$166,$X$172,$I$158)</f>
        <v>#N/A</v>
      </c>
      <c r="AA199" s="15" t="e" cm="1">
        <f t="array" aca="1" ref="AA199" ca="1">MMS_PastureBeef_Methane_Equations.VEERG_4_2_1_1__2_MethaneProductionFromManure(Z141,$I$155,$E$166,$X$172,$I$158)</f>
        <v>#N/A</v>
      </c>
      <c r="AB199" s="15" t="e" cm="1">
        <f t="array" aca="1" ref="AB199" ca="1">MMS_PastureBeef_Methane_Equations.VEERG_4_2_1_1__2_MethaneProductionFromManure(AA141,$I$155,$E$166,$X$172,$I$158)</f>
        <v>#N/A</v>
      </c>
      <c r="AC199" s="15" t="e" cm="1">
        <f t="array" aca="1" ref="AC199" ca="1">MMS_PastureBeef_Methane_Equations.VEERG_4_2_1_1__2_MethaneProductionFromManure(AB141,$I$155,$E$166,$X$172,$I$158)</f>
        <v>#N/A</v>
      </c>
      <c r="AD199" s="15" t="e" cm="1">
        <f t="array" aca="1" ref="AD199" ca="1">MMS_PastureBeef_Methane_Equations.VEERG_4_2_1_1__2_MethaneProductionFromManure(AC141,$I$155,$E$166,$X$172,$I$158)</f>
        <v>#N/A</v>
      </c>
      <c r="AE199" s="15" t="e" cm="1">
        <f t="array" aca="1" ref="AE199" ca="1">MMS_PastureBeef_Methane_Equations.VEERG_4_2_1_1__2_MethaneProductionFromManure(AD141,$I$155,$E$166,$X$172,$I$158)</f>
        <v>#N/A</v>
      </c>
      <c r="AF199" s="15" t="e" cm="1">
        <f t="array" aca="1" ref="AF199" ca="1">MMS_PastureBeef_Methane_Equations.VEERG_4_2_1_1__2_MethaneProductionFromManure(AE141,$I$155,$E$166,$X$172,$I$158)</f>
        <v>#N/A</v>
      </c>
      <c r="AG199" s="15" t="e" cm="1">
        <f t="array" aca="1" ref="AG199" ca="1">MMS_PastureBeef_Methane_Equations.VEERG_4_2_1_1__2_MethaneProductionFromManure(AF141,$I$155,$E$166,$X$172,$I$158)</f>
        <v>#N/A</v>
      </c>
      <c r="AH199" s="15" t="e" cm="1">
        <f t="array" aca="1" ref="AH199" ca="1">MMS_PastureBeef_Methane_Equations.VEERG_4_2_1_1__2_MethaneProductionFromManure(AG141,$I$155,$E$166,$X$172,$I$158)</f>
        <v>#N/A</v>
      </c>
      <c r="AI199" s="16" t="str">
        <f t="shared" si="8"/>
        <v>kg CH4/head/day</v>
      </c>
      <c r="AJ199" s="16"/>
    </row>
    <row r="200" spans="3:37" ht="20" customHeight="1" x14ac:dyDescent="0.25">
      <c r="W200" s="15" t="str">
        <f>'Input - Pasture Beef'!$D$153</f>
        <v>Anaerobic lagoon</v>
      </c>
      <c r="X200" s="15" t="str">
        <f t="shared" si="9"/>
        <v>November</v>
      </c>
      <c r="Y200" s="15" t="e" cm="1">
        <f t="array" aca="1" ref="Y200" ca="1">MMS_PastureBeef_Methane_Equations.VEERG_4_2_1_1__2_MethaneProductionFromManure(X142,$I$155,$E$166,$X$172,$I$158)</f>
        <v>#N/A</v>
      </c>
      <c r="Z200" s="15" t="e" cm="1">
        <f t="array" aca="1" ref="Z200" ca="1">MMS_PastureBeef_Methane_Equations.VEERG_4_2_1_1__2_MethaneProductionFromManure(Y142,$I$155,$E$166,$X$172,$I$158)</f>
        <v>#N/A</v>
      </c>
      <c r="AA200" s="15" t="e" cm="1">
        <f t="array" aca="1" ref="AA200" ca="1">MMS_PastureBeef_Methane_Equations.VEERG_4_2_1_1__2_MethaneProductionFromManure(Z142,$I$155,$E$166,$X$172,$I$158)</f>
        <v>#N/A</v>
      </c>
      <c r="AB200" s="15" t="e" cm="1">
        <f t="array" aca="1" ref="AB200" ca="1">MMS_PastureBeef_Methane_Equations.VEERG_4_2_1_1__2_MethaneProductionFromManure(AA142,$I$155,$E$166,$X$172,$I$158)</f>
        <v>#N/A</v>
      </c>
      <c r="AC200" s="15" t="e" cm="1">
        <f t="array" aca="1" ref="AC200" ca="1">MMS_PastureBeef_Methane_Equations.VEERG_4_2_1_1__2_MethaneProductionFromManure(AB142,$I$155,$E$166,$X$172,$I$158)</f>
        <v>#N/A</v>
      </c>
      <c r="AD200" s="15" t="e" cm="1">
        <f t="array" aca="1" ref="AD200" ca="1">MMS_PastureBeef_Methane_Equations.VEERG_4_2_1_1__2_MethaneProductionFromManure(AC142,$I$155,$E$166,$X$172,$I$158)</f>
        <v>#N/A</v>
      </c>
      <c r="AE200" s="15" t="e" cm="1">
        <f t="array" aca="1" ref="AE200" ca="1">MMS_PastureBeef_Methane_Equations.VEERG_4_2_1_1__2_MethaneProductionFromManure(AD142,$I$155,$E$166,$X$172,$I$158)</f>
        <v>#N/A</v>
      </c>
      <c r="AF200" s="15" t="e" cm="1">
        <f t="array" aca="1" ref="AF200" ca="1">MMS_PastureBeef_Methane_Equations.VEERG_4_2_1_1__2_MethaneProductionFromManure(AE142,$I$155,$E$166,$X$172,$I$158)</f>
        <v>#N/A</v>
      </c>
      <c r="AG200" s="15" t="e" cm="1">
        <f t="array" aca="1" ref="AG200" ca="1">MMS_PastureBeef_Methane_Equations.VEERG_4_2_1_1__2_MethaneProductionFromManure(AF142,$I$155,$E$166,$X$172,$I$158)</f>
        <v>#N/A</v>
      </c>
      <c r="AH200" s="15" t="e" cm="1">
        <f t="array" aca="1" ref="AH200" ca="1">MMS_PastureBeef_Methane_Equations.VEERG_4_2_1_1__2_MethaneProductionFromManure(AG142,$I$155,$E$166,$X$172,$I$158)</f>
        <v>#N/A</v>
      </c>
      <c r="AI200" s="16" t="str">
        <f t="shared" si="8"/>
        <v>kg CH4/head/day</v>
      </c>
      <c r="AJ200" s="16"/>
    </row>
    <row r="201" spans="3:37" ht="20" customHeight="1" x14ac:dyDescent="0.25"/>
    <row r="202" spans="3:37" ht="20" customHeight="1" x14ac:dyDescent="0.25"/>
    <row r="203" spans="3:37" ht="20" customHeight="1" x14ac:dyDescent="0.25">
      <c r="C203" s="87"/>
      <c r="D203" s="87"/>
      <c r="E203" s="87"/>
      <c r="F203" s="87"/>
      <c r="G203" s="87"/>
      <c r="H203" s="87"/>
      <c r="I203" s="87"/>
      <c r="J203" s="87"/>
      <c r="K203" s="87"/>
      <c r="L203" s="87"/>
      <c r="M203" s="87"/>
      <c r="N203" s="87"/>
      <c r="O203" s="87"/>
      <c r="P203" s="87"/>
      <c r="Q203" s="87"/>
      <c r="R203" s="87"/>
      <c r="S203" s="87"/>
      <c r="T203" s="87"/>
      <c r="V203" s="87"/>
      <c r="W203" s="87"/>
      <c r="X203" s="87"/>
      <c r="Y203" s="87"/>
      <c r="Z203" s="87"/>
      <c r="AA203" s="87"/>
      <c r="AB203" s="87"/>
      <c r="AC203" s="87"/>
      <c r="AD203" s="87"/>
      <c r="AE203" s="87"/>
      <c r="AF203" s="87"/>
      <c r="AG203" s="87"/>
      <c r="AH203" s="87"/>
      <c r="AI203" s="87"/>
      <c r="AJ203" s="87"/>
      <c r="AK203" s="87"/>
    </row>
    <row r="204" spans="3:37" ht="20" customHeight="1" x14ac:dyDescent="0.25">
      <c r="D204" s="2" t="str" cm="1">
        <f t="array" ref="D204">MMS_PastureBeef_Methane_Equations.VEERG_4_2_1_1__1_TotalAnnualMethaneProductionFromManureManagement_Title()</f>
        <v>Total annual methane production from manure management for grazing beef cattle</v>
      </c>
    </row>
    <row r="205" spans="3:37" ht="20" customHeight="1" x14ac:dyDescent="0.25">
      <c r="D205" s="17" t="str" cm="1">
        <f t="array" ref="D205">MMS_PastureBeef_Methane_Equations.VEERG_4_2_1_1__1_TotalAnnualMethaneProductionFromManureManagement_Source()</f>
        <v>VEERG 2026: 4.2.1.1, Equation (1)</v>
      </c>
    </row>
    <row r="206" spans="3:37" ht="20" customHeight="1" x14ac:dyDescent="0.25">
      <c r="D206" s="103" t="s">
        <v>372</v>
      </c>
      <c r="E206" s="103" t="str" cm="1">
        <f t="array" aca="1" ref="E206" ca="1">Common_InputFunctions.Utility_DisplayFunctionName($F$235)</f>
        <v>=MMS_PastureBeef_Methane_Equations.VEERG_4_2_1_1__1_TotalAnnualMethaneProductionFromManureManagement</v>
      </c>
    </row>
    <row r="207" spans="3:37" ht="20" customHeight="1" x14ac:dyDescent="0.25"/>
    <row r="208" spans="3:37" ht="20" customHeight="1" x14ac:dyDescent="0.25"/>
    <row r="209" spans="4:34" ht="20" customHeight="1" x14ac:dyDescent="0.25">
      <c r="D209" s="77" t="s">
        <v>374</v>
      </c>
      <c r="E209" s="1" t="str" cm="1">
        <f t="array" ref="E209">MMS_PastureBeef_Methane_Equations.VEERG_4_2_1_1__1_TotalAnnualMethaneProductionFromManureManagement_Variable()</f>
        <v>E_CH4</v>
      </c>
    </row>
    <row r="210" spans="4:34" ht="20" customHeight="1" x14ac:dyDescent="0.25">
      <c r="D210" s="77" t="s">
        <v>121</v>
      </c>
      <c r="E210" s="9" t="str" cm="1">
        <f t="array" ref="E210">MMS_PastureBeef_Methane_Equations.VEERG_4_2_1_1__1_TotalAnnualMethaneProductionFromManureManagement_Unit()</f>
        <v>t CH4</v>
      </c>
    </row>
    <row r="211" spans="4:34" ht="20" customHeight="1" x14ac:dyDescent="0.25"/>
    <row r="212" spans="4:34" ht="20" customHeight="1" x14ac:dyDescent="0.25">
      <c r="D212" s="105" t="str" cm="1">
        <f t="array" ref="D212:E214">_xlfn.CHOOSECOLS(MMS_PastureBeef_Methane_Equations.VEERG_4_2_1_1__1_TotalAnnualMethaneProductionFromManureManagement_Arguments(), 1, 2)</f>
        <v>N_jkl</v>
      </c>
      <c r="E212" s="106" t="str">
        <v>number of beef cattle in each time-period, class and subclass</v>
      </c>
      <c r="F212" s="108"/>
      <c r="G212" s="105" t="str" cm="1">
        <f t="array" ref="G212:H214">_xlfn.CHOOSECOLS(MMS_PastureBeef_Methane_Equations.VEERG_4_2_1_1__1_TotalAnnualMethaneProductionFromManureManagement_Arguments(), 3,4)</f>
        <v>head</v>
      </c>
      <c r="H212" s="109" t="str">
        <v>Input</v>
      </c>
      <c r="I212" s="111" t="str" cm="1">
        <f t="array" aca="1" ref="I212" ca="1">HYPERLINK(Common_InputFunctions.Utility_SourceHyperlink($D$216), $D$216)</f>
        <v>M1_Table_N_j_k_l</v>
      </c>
    </row>
    <row r="213" spans="4:34" ht="20" customHeight="1" x14ac:dyDescent="0.25">
      <c r="D213" s="105" t="str">
        <v>M_jklm</v>
      </c>
      <c r="E213" s="106" t="str">
        <v>methane production from manure in each time-period, class, subclass and MMS</v>
      </c>
      <c r="F213" s="108"/>
      <c r="G213" s="105" t="str">
        <v>kg/head/day</v>
      </c>
      <c r="H213" s="110" t="str">
        <v>Calculated from 4.2.1.1 (2)</v>
      </c>
      <c r="I213" s="111" t="str" cm="1">
        <f t="array" aca="1" ref="I213" ca="1">HYPERLINK(Common_InputFunctions.Utility_SourceHyperlink($D$174), $D$174)</f>
        <v>M1_Table_M_j_k_l_m</v>
      </c>
    </row>
    <row r="214" spans="4:34" ht="20" customHeight="1" x14ac:dyDescent="0.25">
      <c r="D214" s="105" t="str">
        <v>D_j</v>
      </c>
      <c r="E214" s="106" t="str">
        <v>number of days in each time-period for each input class</v>
      </c>
      <c r="F214" s="108"/>
      <c r="G214" s="105" t="str">
        <v>days</v>
      </c>
      <c r="H214" s="109" t="str">
        <v>Input</v>
      </c>
      <c r="I214" s="111" t="str" cm="1">
        <f t="array" aca="1" ref="I214" ca="1">HYPERLINK(Common_InputFunctions.Utility_SourceHyperlink($D$224), $D$224)</f>
        <v>M1_Table_D_j</v>
      </c>
    </row>
    <row r="215" spans="4:34" ht="20" customHeight="1" x14ac:dyDescent="0.25"/>
    <row r="216" spans="4:34" ht="20" customHeight="1" x14ac:dyDescent="0.25">
      <c r="D216" s="112" t="s">
        <v>422</v>
      </c>
      <c r="W216" s="112" t="s">
        <v>423</v>
      </c>
    </row>
    <row r="217" spans="4:34" ht="20" customHeight="1" x14ac:dyDescent="0.25">
      <c r="D217" s="113" t="s">
        <v>424</v>
      </c>
      <c r="W217" s="113" t="s">
        <v>425</v>
      </c>
    </row>
    <row r="218" spans="4:34" ht="20" customHeight="1" x14ac:dyDescent="0.25">
      <c r="D218" s="114" t="s">
        <v>76</v>
      </c>
      <c r="E218" s="82" t="s">
        <v>326</v>
      </c>
      <c r="F218" s="82" t="s">
        <v>184</v>
      </c>
      <c r="G218" s="82" t="s">
        <v>327</v>
      </c>
      <c r="H218" s="82" t="s">
        <v>328</v>
      </c>
      <c r="I218" s="82" t="s">
        <v>329</v>
      </c>
      <c r="J218" s="82" t="s">
        <v>330</v>
      </c>
      <c r="K218" s="82" t="s">
        <v>331</v>
      </c>
      <c r="L218" s="82" t="s">
        <v>332</v>
      </c>
      <c r="M218" s="82" t="s">
        <v>333</v>
      </c>
      <c r="N218" s="82" t="s">
        <v>334</v>
      </c>
      <c r="W218" s="114" t="s">
        <v>75</v>
      </c>
      <c r="X218" s="82" t="s">
        <v>326</v>
      </c>
      <c r="Y218" s="82" t="s">
        <v>184</v>
      </c>
      <c r="Z218" s="82" t="s">
        <v>327</v>
      </c>
      <c r="AA218" s="82" t="s">
        <v>328</v>
      </c>
      <c r="AB218" s="82" t="s">
        <v>329</v>
      </c>
      <c r="AC218" s="82" t="s">
        <v>330</v>
      </c>
      <c r="AD218" s="82" t="s">
        <v>331</v>
      </c>
      <c r="AE218" s="82" t="s">
        <v>332</v>
      </c>
      <c r="AF218" s="82" t="s">
        <v>333</v>
      </c>
      <c r="AG218" s="82" t="s">
        <v>334</v>
      </c>
      <c r="AH218" s="16"/>
    </row>
    <row r="219" spans="4:34" ht="20" customHeight="1" x14ac:dyDescent="0.25">
      <c r="D219" s="15" t="s">
        <v>335</v>
      </c>
      <c r="E219" s="15" cm="1">
        <f t="array" aca="1" ref="E219:N222" ca="1">OFFSET(X_Table_PastureBeef_Head_Method1, 1,1, 4,10)</f>
        <v>0</v>
      </c>
      <c r="F219" s="15">
        <f ca="1"/>
        <v>0</v>
      </c>
      <c r="G219" s="15">
        <f ca="1"/>
        <v>0</v>
      </c>
      <c r="H219" s="15">
        <f ca="1"/>
        <v>0</v>
      </c>
      <c r="I219" s="15">
        <f ca="1"/>
        <v>0</v>
      </c>
      <c r="J219" s="15">
        <f ca="1"/>
        <v>0</v>
      </c>
      <c r="K219" s="15">
        <f ca="1"/>
        <v>0</v>
      </c>
      <c r="L219" s="15">
        <f ca="1"/>
        <v>0</v>
      </c>
      <c r="M219" s="15">
        <f ca="1"/>
        <v>0</v>
      </c>
      <c r="N219" s="15">
        <f ca="1"/>
        <v>0</v>
      </c>
      <c r="O219" s="16" t="s">
        <v>426</v>
      </c>
      <c r="W219" s="15" t="str">
        <f>TEXT(X_Cell_Site_StartDate,"mmmm")</f>
        <v>January</v>
      </c>
      <c r="X219" s="15" cm="1">
        <f t="array" aca="1" ref="X219:AG230" ca="1">OFFSET(X_Table_PastureBeef_Head_Method2, 1,1, 12,10)</f>
        <v>0</v>
      </c>
      <c r="Y219" s="15">
        <f ca="1"/>
        <v>0</v>
      </c>
      <c r="Z219" s="15">
        <f ca="1"/>
        <v>0</v>
      </c>
      <c r="AA219" s="15">
        <f ca="1"/>
        <v>0</v>
      </c>
      <c r="AB219" s="15">
        <f ca="1"/>
        <v>0</v>
      </c>
      <c r="AC219" s="15">
        <f ca="1"/>
        <v>0</v>
      </c>
      <c r="AD219" s="15">
        <f ca="1"/>
        <v>0</v>
      </c>
      <c r="AE219" s="15">
        <f ca="1"/>
        <v>0</v>
      </c>
      <c r="AF219" s="15">
        <f ca="1"/>
        <v>0</v>
      </c>
      <c r="AG219" s="15">
        <f ca="1"/>
        <v>0</v>
      </c>
      <c r="AH219" s="16" t="s">
        <v>340</v>
      </c>
    </row>
    <row r="220" spans="4:34" ht="20" customHeight="1" x14ac:dyDescent="0.25">
      <c r="D220" s="15" t="s">
        <v>336</v>
      </c>
      <c r="E220" s="15">
        <f ca="1"/>
        <v>0</v>
      </c>
      <c r="F220" s="15">
        <f ca="1"/>
        <v>0</v>
      </c>
      <c r="G220" s="15">
        <f ca="1"/>
        <v>0</v>
      </c>
      <c r="H220" s="15">
        <f ca="1"/>
        <v>0</v>
      </c>
      <c r="I220" s="15">
        <f ca="1"/>
        <v>0</v>
      </c>
      <c r="J220" s="15">
        <f ca="1"/>
        <v>0</v>
      </c>
      <c r="K220" s="15">
        <f ca="1"/>
        <v>0</v>
      </c>
      <c r="L220" s="15">
        <f ca="1"/>
        <v>0</v>
      </c>
      <c r="M220" s="15">
        <f ca="1"/>
        <v>0</v>
      </c>
      <c r="N220" s="15">
        <f ca="1"/>
        <v>0</v>
      </c>
      <c r="O220" s="16" t="s">
        <v>426</v>
      </c>
      <c r="W220" s="15" t="str">
        <f>TEXT(EDATE(X_Cell_Site_StartDate,1), "mmmm")</f>
        <v>January</v>
      </c>
      <c r="X220" s="15">
        <f ca="1"/>
        <v>0</v>
      </c>
      <c r="Y220" s="15">
        <f ca="1"/>
        <v>0</v>
      </c>
      <c r="Z220" s="15">
        <f ca="1"/>
        <v>0</v>
      </c>
      <c r="AA220" s="15">
        <f ca="1"/>
        <v>0</v>
      </c>
      <c r="AB220" s="15">
        <f ca="1"/>
        <v>0</v>
      </c>
      <c r="AC220" s="15">
        <f ca="1"/>
        <v>0</v>
      </c>
      <c r="AD220" s="15">
        <f ca="1"/>
        <v>0</v>
      </c>
      <c r="AE220" s="15">
        <f ca="1"/>
        <v>0</v>
      </c>
      <c r="AF220" s="15">
        <f ca="1"/>
        <v>0</v>
      </c>
      <c r="AG220" s="15">
        <f ca="1"/>
        <v>0</v>
      </c>
      <c r="AH220" s="16" t="s">
        <v>340</v>
      </c>
    </row>
    <row r="221" spans="4:34" ht="20" customHeight="1" x14ac:dyDescent="0.25">
      <c r="D221" s="15" t="s">
        <v>337</v>
      </c>
      <c r="E221" s="15">
        <f ca="1"/>
        <v>0</v>
      </c>
      <c r="F221" s="15">
        <f ca="1"/>
        <v>0</v>
      </c>
      <c r="G221" s="15">
        <f ca="1"/>
        <v>0</v>
      </c>
      <c r="H221" s="15">
        <f ca="1"/>
        <v>0</v>
      </c>
      <c r="I221" s="15">
        <f ca="1"/>
        <v>0</v>
      </c>
      <c r="J221" s="15">
        <f ca="1"/>
        <v>0</v>
      </c>
      <c r="K221" s="15">
        <f ca="1"/>
        <v>0</v>
      </c>
      <c r="L221" s="15">
        <f ca="1"/>
        <v>0</v>
      </c>
      <c r="M221" s="15">
        <f ca="1"/>
        <v>0</v>
      </c>
      <c r="N221" s="15">
        <f ca="1"/>
        <v>0</v>
      </c>
      <c r="O221" s="16" t="s">
        <v>426</v>
      </c>
      <c r="W221" s="15" t="str">
        <f>TEXT(EDATE(X_Cell_Site_StartDate,2), "mmmm")</f>
        <v>February</v>
      </c>
      <c r="X221" s="15">
        <f ca="1"/>
        <v>0</v>
      </c>
      <c r="Y221" s="15">
        <f ca="1"/>
        <v>0</v>
      </c>
      <c r="Z221" s="15">
        <f ca="1"/>
        <v>0</v>
      </c>
      <c r="AA221" s="15">
        <f ca="1"/>
        <v>0</v>
      </c>
      <c r="AB221" s="15">
        <f ca="1"/>
        <v>0</v>
      </c>
      <c r="AC221" s="15">
        <f ca="1"/>
        <v>0</v>
      </c>
      <c r="AD221" s="15">
        <f ca="1"/>
        <v>0</v>
      </c>
      <c r="AE221" s="15">
        <f ca="1"/>
        <v>0</v>
      </c>
      <c r="AF221" s="15">
        <f ca="1"/>
        <v>0</v>
      </c>
      <c r="AG221" s="15">
        <f ca="1"/>
        <v>0</v>
      </c>
      <c r="AH221" s="16" t="s">
        <v>340</v>
      </c>
    </row>
    <row r="222" spans="4:34" ht="20" customHeight="1" x14ac:dyDescent="0.25">
      <c r="D222" s="15" t="s">
        <v>338</v>
      </c>
      <c r="E222" s="15">
        <f ca="1"/>
        <v>0</v>
      </c>
      <c r="F222" s="15">
        <f ca="1"/>
        <v>0</v>
      </c>
      <c r="G222" s="15">
        <f ca="1"/>
        <v>0</v>
      </c>
      <c r="H222" s="15">
        <f ca="1"/>
        <v>0</v>
      </c>
      <c r="I222" s="15">
        <f ca="1"/>
        <v>0</v>
      </c>
      <c r="J222" s="15">
        <f ca="1"/>
        <v>0</v>
      </c>
      <c r="K222" s="15">
        <f ca="1"/>
        <v>0</v>
      </c>
      <c r="L222" s="15">
        <f ca="1"/>
        <v>0</v>
      </c>
      <c r="M222" s="15">
        <f ca="1"/>
        <v>0</v>
      </c>
      <c r="N222" s="15">
        <f ca="1"/>
        <v>0</v>
      </c>
      <c r="O222" s="16" t="s">
        <v>426</v>
      </c>
      <c r="W222" s="15" t="str">
        <f>TEXT(EDATE(X_Cell_Site_StartDate,3), "mmmm")</f>
        <v>March</v>
      </c>
      <c r="X222" s="15">
        <f ca="1"/>
        <v>0</v>
      </c>
      <c r="Y222" s="15">
        <f ca="1"/>
        <v>0</v>
      </c>
      <c r="Z222" s="15">
        <f ca="1"/>
        <v>0</v>
      </c>
      <c r="AA222" s="15">
        <f ca="1"/>
        <v>0</v>
      </c>
      <c r="AB222" s="15">
        <f ca="1"/>
        <v>0</v>
      </c>
      <c r="AC222" s="15">
        <f ca="1"/>
        <v>0</v>
      </c>
      <c r="AD222" s="15">
        <f ca="1"/>
        <v>0</v>
      </c>
      <c r="AE222" s="15">
        <f ca="1"/>
        <v>0</v>
      </c>
      <c r="AF222" s="15">
        <f ca="1"/>
        <v>0</v>
      </c>
      <c r="AG222" s="15">
        <f ca="1"/>
        <v>0</v>
      </c>
      <c r="AH222" s="16" t="s">
        <v>340</v>
      </c>
    </row>
    <row r="223" spans="4:34" ht="20" customHeight="1" x14ac:dyDescent="0.25">
      <c r="W223" s="15" t="str">
        <f>TEXT(EDATE(X_Cell_Site_StartDate,4), "mmmm")</f>
        <v>April</v>
      </c>
      <c r="X223" s="15">
        <f ca="1"/>
        <v>0</v>
      </c>
      <c r="Y223" s="15">
        <f ca="1"/>
        <v>0</v>
      </c>
      <c r="Z223" s="15">
        <f ca="1"/>
        <v>0</v>
      </c>
      <c r="AA223" s="15">
        <f ca="1"/>
        <v>0</v>
      </c>
      <c r="AB223" s="15">
        <f ca="1"/>
        <v>0</v>
      </c>
      <c r="AC223" s="15">
        <f ca="1"/>
        <v>0</v>
      </c>
      <c r="AD223" s="15">
        <f ca="1"/>
        <v>0</v>
      </c>
      <c r="AE223" s="15">
        <f ca="1"/>
        <v>0</v>
      </c>
      <c r="AF223" s="15">
        <f ca="1"/>
        <v>0</v>
      </c>
      <c r="AG223" s="15">
        <f ca="1"/>
        <v>0</v>
      </c>
      <c r="AH223" s="16" t="s">
        <v>340</v>
      </c>
    </row>
    <row r="224" spans="4:34" ht="20" customHeight="1" x14ac:dyDescent="0.25">
      <c r="D224" s="112" t="s">
        <v>427</v>
      </c>
      <c r="W224" s="15" t="str">
        <f>TEXT(EDATE(X_Cell_Site_StartDate,5), "mmmm")</f>
        <v>May</v>
      </c>
      <c r="X224" s="15">
        <f ca="1"/>
        <v>0</v>
      </c>
      <c r="Y224" s="15">
        <f ca="1"/>
        <v>0</v>
      </c>
      <c r="Z224" s="15">
        <f ca="1"/>
        <v>0</v>
      </c>
      <c r="AA224" s="15">
        <f ca="1"/>
        <v>0</v>
      </c>
      <c r="AB224" s="15">
        <f ca="1"/>
        <v>0</v>
      </c>
      <c r="AC224" s="15">
        <f ca="1"/>
        <v>0</v>
      </c>
      <c r="AD224" s="15">
        <f ca="1"/>
        <v>0</v>
      </c>
      <c r="AE224" s="15">
        <f ca="1"/>
        <v>0</v>
      </c>
      <c r="AF224" s="15">
        <f ca="1"/>
        <v>0</v>
      </c>
      <c r="AG224" s="15">
        <f ca="1"/>
        <v>0</v>
      </c>
      <c r="AH224" s="16" t="s">
        <v>340</v>
      </c>
    </row>
    <row r="225" spans="4:34" ht="20" customHeight="1" x14ac:dyDescent="0.25">
      <c r="D225" s="113" t="s">
        <v>428</v>
      </c>
      <c r="W225" s="15" t="str">
        <f>TEXT(EDATE(X_Cell_Site_StartDate,6), "mmmm")</f>
        <v>June</v>
      </c>
      <c r="X225" s="15">
        <f ca="1"/>
        <v>0</v>
      </c>
      <c r="Y225" s="15">
        <f ca="1"/>
        <v>0</v>
      </c>
      <c r="Z225" s="15">
        <f ca="1"/>
        <v>0</v>
      </c>
      <c r="AA225" s="15">
        <f ca="1"/>
        <v>0</v>
      </c>
      <c r="AB225" s="15">
        <f ca="1"/>
        <v>0</v>
      </c>
      <c r="AC225" s="15">
        <f ca="1"/>
        <v>0</v>
      </c>
      <c r="AD225" s="15">
        <f ca="1"/>
        <v>0</v>
      </c>
      <c r="AE225" s="15">
        <f ca="1"/>
        <v>0</v>
      </c>
      <c r="AF225" s="15">
        <f ca="1"/>
        <v>0</v>
      </c>
      <c r="AG225" s="15">
        <f ca="1"/>
        <v>0</v>
      </c>
      <c r="AH225" s="16" t="s">
        <v>340</v>
      </c>
    </row>
    <row r="226" spans="4:34" ht="20" customHeight="1" x14ac:dyDescent="0.25">
      <c r="D226" s="114" t="s">
        <v>76</v>
      </c>
      <c r="E226" s="82" t="s">
        <v>326</v>
      </c>
      <c r="F226" s="82" t="s">
        <v>184</v>
      </c>
      <c r="G226" s="82" t="s">
        <v>327</v>
      </c>
      <c r="H226" s="82" t="s">
        <v>328</v>
      </c>
      <c r="I226" s="82" t="s">
        <v>329</v>
      </c>
      <c r="J226" s="82" t="s">
        <v>330</v>
      </c>
      <c r="K226" s="82" t="s">
        <v>331</v>
      </c>
      <c r="L226" s="82" t="s">
        <v>332</v>
      </c>
      <c r="M226" s="82" t="s">
        <v>333</v>
      </c>
      <c r="N226" s="82" t="s">
        <v>334</v>
      </c>
      <c r="W226" s="15" t="str">
        <f>TEXT(EDATE(X_Cell_Site_StartDate,7), "mmmm")</f>
        <v>July</v>
      </c>
      <c r="X226" s="15">
        <f ca="1"/>
        <v>0</v>
      </c>
      <c r="Y226" s="15">
        <f ca="1"/>
        <v>0</v>
      </c>
      <c r="Z226" s="15">
        <f ca="1"/>
        <v>0</v>
      </c>
      <c r="AA226" s="15">
        <f ca="1"/>
        <v>0</v>
      </c>
      <c r="AB226" s="15">
        <f ca="1"/>
        <v>0</v>
      </c>
      <c r="AC226" s="15">
        <f ca="1"/>
        <v>0</v>
      </c>
      <c r="AD226" s="15">
        <f ca="1"/>
        <v>0</v>
      </c>
      <c r="AE226" s="15">
        <f ca="1"/>
        <v>0</v>
      </c>
      <c r="AF226" s="15">
        <f ca="1"/>
        <v>0</v>
      </c>
      <c r="AG226" s="15">
        <f ca="1"/>
        <v>0</v>
      </c>
      <c r="AH226" s="16" t="s">
        <v>340</v>
      </c>
    </row>
    <row r="227" spans="4:34" ht="20" customHeight="1" x14ac:dyDescent="0.25">
      <c r="D227" s="15" t="s">
        <v>335</v>
      </c>
      <c r="E227" s="15" cm="1">
        <f t="array" aca="1" ref="E227:N230" ca="1">OFFSET(X_Table_PastureBeef_Duration_Method1, 1,1, 4,10)</f>
        <v>91.25</v>
      </c>
      <c r="F227" s="15">
        <f ca="1"/>
        <v>91.25</v>
      </c>
      <c r="G227" s="15">
        <f ca="1"/>
        <v>91.25</v>
      </c>
      <c r="H227" s="15">
        <f ca="1"/>
        <v>91.25</v>
      </c>
      <c r="I227" s="15">
        <f ca="1"/>
        <v>91.25</v>
      </c>
      <c r="J227" s="15">
        <f ca="1"/>
        <v>91.25</v>
      </c>
      <c r="K227" s="15">
        <f ca="1"/>
        <v>91.25</v>
      </c>
      <c r="L227" s="15">
        <f ca="1"/>
        <v>91.25</v>
      </c>
      <c r="M227" s="15">
        <f ca="1"/>
        <v>91.25</v>
      </c>
      <c r="N227" s="15">
        <f ca="1"/>
        <v>91.25</v>
      </c>
      <c r="O227" s="16" t="s">
        <v>429</v>
      </c>
      <c r="W227" s="15" t="str">
        <f>TEXT(EDATE(X_Cell_Site_StartDate,8), "mmmm")</f>
        <v>August</v>
      </c>
      <c r="X227" s="15">
        <f ca="1"/>
        <v>0</v>
      </c>
      <c r="Y227" s="15">
        <f ca="1"/>
        <v>0</v>
      </c>
      <c r="Z227" s="15">
        <f ca="1"/>
        <v>0</v>
      </c>
      <c r="AA227" s="15">
        <f ca="1"/>
        <v>0</v>
      </c>
      <c r="AB227" s="15">
        <f ca="1"/>
        <v>0</v>
      </c>
      <c r="AC227" s="15">
        <f ca="1"/>
        <v>0</v>
      </c>
      <c r="AD227" s="15">
        <f ca="1"/>
        <v>0</v>
      </c>
      <c r="AE227" s="15">
        <f ca="1"/>
        <v>0</v>
      </c>
      <c r="AF227" s="15">
        <f ca="1"/>
        <v>0</v>
      </c>
      <c r="AG227" s="15">
        <f ca="1"/>
        <v>0</v>
      </c>
      <c r="AH227" s="16" t="s">
        <v>340</v>
      </c>
    </row>
    <row r="228" spans="4:34" ht="20" customHeight="1" x14ac:dyDescent="0.25">
      <c r="D228" s="15" t="s">
        <v>336</v>
      </c>
      <c r="E228" s="15">
        <f ca="1"/>
        <v>91.25</v>
      </c>
      <c r="F228" s="15">
        <f ca="1"/>
        <v>91.25</v>
      </c>
      <c r="G228" s="15">
        <f ca="1"/>
        <v>91.25</v>
      </c>
      <c r="H228" s="15">
        <f ca="1"/>
        <v>91.25</v>
      </c>
      <c r="I228" s="15">
        <f ca="1"/>
        <v>91.25</v>
      </c>
      <c r="J228" s="15">
        <f ca="1"/>
        <v>91.25</v>
      </c>
      <c r="K228" s="15">
        <f ca="1"/>
        <v>91.25</v>
      </c>
      <c r="L228" s="15">
        <f ca="1"/>
        <v>91.25</v>
      </c>
      <c r="M228" s="15">
        <f ca="1"/>
        <v>91.25</v>
      </c>
      <c r="N228" s="15">
        <f ca="1"/>
        <v>91.25</v>
      </c>
      <c r="O228" s="16" t="s">
        <v>429</v>
      </c>
      <c r="W228" s="15" t="str">
        <f>TEXT(EDATE(X_Cell_Site_StartDate,9), "mmmm")</f>
        <v>September</v>
      </c>
      <c r="X228" s="15">
        <f ca="1"/>
        <v>0</v>
      </c>
      <c r="Y228" s="15">
        <f ca="1"/>
        <v>0</v>
      </c>
      <c r="Z228" s="15">
        <f ca="1"/>
        <v>0</v>
      </c>
      <c r="AA228" s="15">
        <f ca="1"/>
        <v>0</v>
      </c>
      <c r="AB228" s="15">
        <f ca="1"/>
        <v>0</v>
      </c>
      <c r="AC228" s="15">
        <f ca="1"/>
        <v>0</v>
      </c>
      <c r="AD228" s="15">
        <f ca="1"/>
        <v>0</v>
      </c>
      <c r="AE228" s="15">
        <f ca="1"/>
        <v>0</v>
      </c>
      <c r="AF228" s="15">
        <f ca="1"/>
        <v>0</v>
      </c>
      <c r="AG228" s="15">
        <f ca="1"/>
        <v>0</v>
      </c>
      <c r="AH228" s="16" t="s">
        <v>340</v>
      </c>
    </row>
    <row r="229" spans="4:34" ht="20" customHeight="1" x14ac:dyDescent="0.25">
      <c r="D229" s="15" t="s">
        <v>337</v>
      </c>
      <c r="E229" s="15">
        <f ca="1"/>
        <v>91.25</v>
      </c>
      <c r="F229" s="15">
        <f ca="1"/>
        <v>91.25</v>
      </c>
      <c r="G229" s="15">
        <f ca="1"/>
        <v>91.25</v>
      </c>
      <c r="H229" s="15">
        <f ca="1"/>
        <v>91.25</v>
      </c>
      <c r="I229" s="15">
        <f ca="1"/>
        <v>91.25</v>
      </c>
      <c r="J229" s="15">
        <f ca="1"/>
        <v>91.25</v>
      </c>
      <c r="K229" s="15">
        <f ca="1"/>
        <v>91.25</v>
      </c>
      <c r="L229" s="15">
        <f ca="1"/>
        <v>91.25</v>
      </c>
      <c r="M229" s="15">
        <f ca="1"/>
        <v>91.25</v>
      </c>
      <c r="N229" s="15">
        <f ca="1"/>
        <v>91.25</v>
      </c>
      <c r="O229" s="16" t="s">
        <v>429</v>
      </c>
      <c r="W229" s="15" t="str">
        <f>TEXT(EDATE(X_Cell_Site_StartDate,10), "mmmm")</f>
        <v>October</v>
      </c>
      <c r="X229" s="15">
        <f ca="1"/>
        <v>0</v>
      </c>
      <c r="Y229" s="15">
        <f ca="1"/>
        <v>0</v>
      </c>
      <c r="Z229" s="15">
        <f ca="1"/>
        <v>0</v>
      </c>
      <c r="AA229" s="15">
        <f ca="1"/>
        <v>0</v>
      </c>
      <c r="AB229" s="15">
        <f ca="1"/>
        <v>0</v>
      </c>
      <c r="AC229" s="15">
        <f ca="1"/>
        <v>0</v>
      </c>
      <c r="AD229" s="15">
        <f ca="1"/>
        <v>0</v>
      </c>
      <c r="AE229" s="15">
        <f ca="1"/>
        <v>0</v>
      </c>
      <c r="AF229" s="15">
        <f ca="1"/>
        <v>0</v>
      </c>
      <c r="AG229" s="15">
        <f ca="1"/>
        <v>0</v>
      </c>
      <c r="AH229" s="16" t="s">
        <v>340</v>
      </c>
    </row>
    <row r="230" spans="4:34" ht="20" customHeight="1" x14ac:dyDescent="0.25">
      <c r="D230" s="15" t="s">
        <v>338</v>
      </c>
      <c r="E230" s="15">
        <f ca="1"/>
        <v>91.25</v>
      </c>
      <c r="F230" s="15">
        <f ca="1"/>
        <v>91.25</v>
      </c>
      <c r="G230" s="15">
        <f ca="1"/>
        <v>91.25</v>
      </c>
      <c r="H230" s="15">
        <f ca="1"/>
        <v>91.25</v>
      </c>
      <c r="I230" s="15">
        <f ca="1"/>
        <v>91.25</v>
      </c>
      <c r="J230" s="15">
        <f ca="1"/>
        <v>91.25</v>
      </c>
      <c r="K230" s="15">
        <f ca="1"/>
        <v>91.25</v>
      </c>
      <c r="L230" s="15">
        <f ca="1"/>
        <v>91.25</v>
      </c>
      <c r="M230" s="15">
        <f ca="1"/>
        <v>91.25</v>
      </c>
      <c r="N230" s="15">
        <f ca="1"/>
        <v>91.25</v>
      </c>
      <c r="O230" s="16" t="s">
        <v>429</v>
      </c>
      <c r="W230" s="15" t="str">
        <f>TEXT(EDATE(X_Cell_Site_StartDate,11), "mmmm")</f>
        <v>November</v>
      </c>
      <c r="X230" s="15">
        <f ca="1"/>
        <v>0</v>
      </c>
      <c r="Y230" s="15">
        <f ca="1"/>
        <v>0</v>
      </c>
      <c r="Z230" s="15">
        <f ca="1"/>
        <v>0</v>
      </c>
      <c r="AA230" s="15">
        <f ca="1"/>
        <v>0</v>
      </c>
      <c r="AB230" s="15">
        <f ca="1"/>
        <v>0</v>
      </c>
      <c r="AC230" s="15">
        <f ca="1"/>
        <v>0</v>
      </c>
      <c r="AD230" s="15">
        <f ca="1"/>
        <v>0</v>
      </c>
      <c r="AE230" s="15">
        <f ca="1"/>
        <v>0</v>
      </c>
      <c r="AF230" s="15">
        <f ca="1"/>
        <v>0</v>
      </c>
      <c r="AG230" s="15">
        <f ca="1"/>
        <v>0</v>
      </c>
      <c r="AH230" s="16" t="s">
        <v>340</v>
      </c>
    </row>
    <row r="231" spans="4:34" ht="20" customHeight="1" x14ac:dyDescent="0.25"/>
    <row r="232" spans="4:34" ht="20" customHeight="1" x14ac:dyDescent="0.25">
      <c r="D232" s="112" t="s">
        <v>430</v>
      </c>
      <c r="W232" s="112" t="s">
        <v>431</v>
      </c>
    </row>
    <row r="233" spans="4:34" ht="20" customHeight="1" x14ac:dyDescent="0.25">
      <c r="D233" s="113" t="s">
        <v>432</v>
      </c>
      <c r="W233" s="113" t="s">
        <v>433</v>
      </c>
    </row>
    <row r="234" spans="4:34" ht="20" customHeight="1" x14ac:dyDescent="0.25">
      <c r="D234" s="114" t="s">
        <v>411</v>
      </c>
      <c r="E234" s="114" t="s">
        <v>76</v>
      </c>
      <c r="F234" s="114" t="s">
        <v>326</v>
      </c>
      <c r="G234" s="114" t="s">
        <v>184</v>
      </c>
      <c r="H234" s="114" t="s">
        <v>327</v>
      </c>
      <c r="I234" s="114" t="s">
        <v>328</v>
      </c>
      <c r="J234" s="114" t="s">
        <v>329</v>
      </c>
      <c r="K234" s="114" t="s">
        <v>330</v>
      </c>
      <c r="L234" s="114" t="s">
        <v>331</v>
      </c>
      <c r="M234" s="114" t="s">
        <v>332</v>
      </c>
      <c r="N234" s="114" t="s">
        <v>333</v>
      </c>
      <c r="O234" s="114" t="s">
        <v>334</v>
      </c>
      <c r="W234" s="114" t="s">
        <v>75</v>
      </c>
      <c r="X234" s="82" t="s">
        <v>326</v>
      </c>
      <c r="Y234" s="82" t="s">
        <v>184</v>
      </c>
      <c r="Z234" s="82" t="s">
        <v>327</v>
      </c>
      <c r="AA234" s="82" t="s">
        <v>328</v>
      </c>
      <c r="AB234" s="82" t="s">
        <v>329</v>
      </c>
      <c r="AC234" s="82" t="s">
        <v>330</v>
      </c>
      <c r="AD234" s="82" t="s">
        <v>331</v>
      </c>
      <c r="AE234" s="82" t="s">
        <v>332</v>
      </c>
      <c r="AF234" s="82" t="s">
        <v>333</v>
      </c>
      <c r="AG234" s="82" t="s">
        <v>334</v>
      </c>
      <c r="AH234" s="16"/>
    </row>
    <row r="235" spans="4:34" ht="20" customHeight="1" x14ac:dyDescent="0.25">
      <c r="D235" s="15" t="str">
        <f>'Input - Pasture Beef'!$D$152</f>
        <v>Pasture range and paddock</v>
      </c>
      <c r="E235" s="15" t="s">
        <v>335</v>
      </c>
      <c r="F235" s="15" t="e" cm="1">
        <f t="array" aca="1" ref="F235" ca="1">MMS_PastureBeef_Methane_Equations.VEERG_4_2_1_1__1_TotalAnnualMethaneProductionFromManureManagement(E219,F177,E227)</f>
        <v>#N/A</v>
      </c>
      <c r="G235" s="15" t="e" cm="1">
        <f t="array" aca="1" ref="G235" ca="1">MMS_PastureBeef_Methane_Equations.VEERG_4_2_1_1__1_TotalAnnualMethaneProductionFromManureManagement(F219,G177,F227)</f>
        <v>#N/A</v>
      </c>
      <c r="H235" s="15" t="e" cm="1">
        <f t="array" aca="1" ref="H235" ca="1">MMS_PastureBeef_Methane_Equations.VEERG_4_2_1_1__1_TotalAnnualMethaneProductionFromManureManagement(G219,H177,G227)</f>
        <v>#N/A</v>
      </c>
      <c r="I235" s="15" t="e" cm="1">
        <f t="array" aca="1" ref="I235" ca="1">MMS_PastureBeef_Methane_Equations.VEERG_4_2_1_1__1_TotalAnnualMethaneProductionFromManureManagement(H219,I177,H227)</f>
        <v>#N/A</v>
      </c>
      <c r="J235" s="15" t="e" cm="1">
        <f t="array" aca="1" ref="J235" ca="1">MMS_PastureBeef_Methane_Equations.VEERG_4_2_1_1__1_TotalAnnualMethaneProductionFromManureManagement(I219,J177,I227)</f>
        <v>#N/A</v>
      </c>
      <c r="K235" s="15" t="e" cm="1">
        <f t="array" aca="1" ref="K235" ca="1">MMS_PastureBeef_Methane_Equations.VEERG_4_2_1_1__1_TotalAnnualMethaneProductionFromManureManagement(J219,K177,J227)</f>
        <v>#N/A</v>
      </c>
      <c r="L235" s="15" t="e" cm="1">
        <f t="array" aca="1" ref="L235" ca="1">MMS_PastureBeef_Methane_Equations.VEERG_4_2_1_1__1_TotalAnnualMethaneProductionFromManureManagement(K219,L177,K227)</f>
        <v>#N/A</v>
      </c>
      <c r="M235" s="15" t="e" cm="1">
        <f t="array" aca="1" ref="M235" ca="1">MMS_PastureBeef_Methane_Equations.VEERG_4_2_1_1__1_TotalAnnualMethaneProductionFromManureManagement(L219,M177,L227)</f>
        <v>#N/A</v>
      </c>
      <c r="N235" s="15" t="e" cm="1">
        <f t="array" aca="1" ref="N235" ca="1">MMS_PastureBeef_Methane_Equations.VEERG_4_2_1_1__1_TotalAnnualMethaneProductionFromManureManagement(M219,N177,M227)</f>
        <v>#N/A</v>
      </c>
      <c r="O235" s="15" t="e" cm="1">
        <f t="array" aca="1" ref="O235" ca="1">MMS_PastureBeef_Methane_Equations.VEERG_4_2_1_1__1_TotalAnnualMethaneProductionFromManureManagement(N219,O177,N227)</f>
        <v>#N/A</v>
      </c>
      <c r="P235" s="16" t="str">
        <f>$E$210</f>
        <v>t CH4</v>
      </c>
      <c r="Q235" s="16"/>
      <c r="R235" s="16"/>
      <c r="S235" s="16"/>
      <c r="W235" s="15" t="str">
        <f>TEXT(X_Cell_Site_StartDate,"mmmm")</f>
        <v>January</v>
      </c>
      <c r="X235" s="15" cm="1">
        <f t="array" aca="1" ref="X235:AG246" ca="1">OFFSET(X_Table_PastureBeef_Duration_Method2, 1,1, 12,10)</f>
        <v>31</v>
      </c>
      <c r="Y235" s="15">
        <f ca="1"/>
        <v>31</v>
      </c>
      <c r="Z235" s="15">
        <f ca="1"/>
        <v>31</v>
      </c>
      <c r="AA235" s="15">
        <f ca="1"/>
        <v>31</v>
      </c>
      <c r="AB235" s="15">
        <f ca="1"/>
        <v>31</v>
      </c>
      <c r="AC235" s="15">
        <f ca="1"/>
        <v>31</v>
      </c>
      <c r="AD235" s="15">
        <f ca="1"/>
        <v>31</v>
      </c>
      <c r="AE235" s="15">
        <f ca="1"/>
        <v>31</v>
      </c>
      <c r="AF235" s="15">
        <f ca="1"/>
        <v>31</v>
      </c>
      <c r="AG235" s="15">
        <f ca="1"/>
        <v>31</v>
      </c>
      <c r="AH235" s="16" t="s">
        <v>429</v>
      </c>
    </row>
    <row r="236" spans="4:34" ht="20" customHeight="1" x14ac:dyDescent="0.25">
      <c r="D236" s="15" t="str">
        <f>'Input - Pasture Beef'!$D$152</f>
        <v>Pasture range and paddock</v>
      </c>
      <c r="E236" s="15" t="s">
        <v>336</v>
      </c>
      <c r="F236" s="15" t="e" cm="1">
        <f t="array" aca="1" ref="F236" ca="1">MMS_PastureBeef_Methane_Equations.VEERG_4_2_1_1__1_TotalAnnualMethaneProductionFromManureManagement(E220,F178,E228)</f>
        <v>#N/A</v>
      </c>
      <c r="G236" s="15" t="e" cm="1">
        <f t="array" aca="1" ref="G236" ca="1">MMS_PastureBeef_Methane_Equations.VEERG_4_2_1_1__1_TotalAnnualMethaneProductionFromManureManagement(F220,G178,F228)</f>
        <v>#N/A</v>
      </c>
      <c r="H236" s="15" t="e" cm="1">
        <f t="array" aca="1" ref="H236" ca="1">MMS_PastureBeef_Methane_Equations.VEERG_4_2_1_1__1_TotalAnnualMethaneProductionFromManureManagement(G220,H178,G228)</f>
        <v>#N/A</v>
      </c>
      <c r="I236" s="15" t="e" cm="1">
        <f t="array" aca="1" ref="I236" ca="1">MMS_PastureBeef_Methane_Equations.VEERG_4_2_1_1__1_TotalAnnualMethaneProductionFromManureManagement(H220,I178,H228)</f>
        <v>#N/A</v>
      </c>
      <c r="J236" s="15" t="e" cm="1">
        <f t="array" aca="1" ref="J236" ca="1">MMS_PastureBeef_Methane_Equations.VEERG_4_2_1_1__1_TotalAnnualMethaneProductionFromManureManagement(I220,J178,I228)</f>
        <v>#N/A</v>
      </c>
      <c r="K236" s="15" t="e" cm="1">
        <f t="array" aca="1" ref="K236" ca="1">MMS_PastureBeef_Methane_Equations.VEERG_4_2_1_1__1_TotalAnnualMethaneProductionFromManureManagement(J220,K178,J228)</f>
        <v>#N/A</v>
      </c>
      <c r="L236" s="15" t="e" cm="1">
        <f t="array" aca="1" ref="L236" ca="1">MMS_PastureBeef_Methane_Equations.VEERG_4_2_1_1__1_TotalAnnualMethaneProductionFromManureManagement(K220,L178,K228)</f>
        <v>#N/A</v>
      </c>
      <c r="M236" s="15" t="e" cm="1">
        <f t="array" aca="1" ref="M236" ca="1">MMS_PastureBeef_Methane_Equations.VEERG_4_2_1_1__1_TotalAnnualMethaneProductionFromManureManagement(L220,M178,L228)</f>
        <v>#N/A</v>
      </c>
      <c r="N236" s="15" t="e" cm="1">
        <f t="array" aca="1" ref="N236" ca="1">MMS_PastureBeef_Methane_Equations.VEERG_4_2_1_1__1_TotalAnnualMethaneProductionFromManureManagement(M220,N178,M228)</f>
        <v>#N/A</v>
      </c>
      <c r="O236" s="15" t="e" cm="1">
        <f t="array" aca="1" ref="O236" ca="1">MMS_PastureBeef_Methane_Equations.VEERG_4_2_1_1__1_TotalAnnualMethaneProductionFromManureManagement(N220,O178,N228)</f>
        <v>#N/A</v>
      </c>
      <c r="P236" s="16" t="str">
        <f t="shared" ref="P236:P242" si="10">$E$210</f>
        <v>t CH4</v>
      </c>
      <c r="Q236" s="16"/>
      <c r="R236" s="16"/>
      <c r="S236" s="16"/>
      <c r="W236" s="15" t="str">
        <f>TEXT(EDATE(X_Cell_Site_StartDate,1), "mmmm")</f>
        <v>January</v>
      </c>
      <c r="X236" s="15">
        <f ca="1"/>
        <v>31</v>
      </c>
      <c r="Y236" s="15">
        <f ca="1"/>
        <v>31</v>
      </c>
      <c r="Z236" s="15">
        <f ca="1"/>
        <v>31</v>
      </c>
      <c r="AA236" s="15">
        <f ca="1"/>
        <v>31</v>
      </c>
      <c r="AB236" s="15">
        <f ca="1"/>
        <v>31</v>
      </c>
      <c r="AC236" s="15">
        <f ca="1"/>
        <v>31</v>
      </c>
      <c r="AD236" s="15">
        <f ca="1"/>
        <v>31</v>
      </c>
      <c r="AE236" s="15">
        <f ca="1"/>
        <v>31</v>
      </c>
      <c r="AF236" s="15">
        <f ca="1"/>
        <v>31</v>
      </c>
      <c r="AG236" s="15">
        <f ca="1"/>
        <v>31</v>
      </c>
      <c r="AH236" s="16" t="s">
        <v>429</v>
      </c>
    </row>
    <row r="237" spans="4:34" ht="20" customHeight="1" x14ac:dyDescent="0.25">
      <c r="D237" s="15" t="str">
        <f>'Input - Pasture Beef'!$D$152</f>
        <v>Pasture range and paddock</v>
      </c>
      <c r="E237" s="15" t="s">
        <v>337</v>
      </c>
      <c r="F237" s="15" t="e" cm="1">
        <f t="array" aca="1" ref="F237" ca="1">MMS_PastureBeef_Methane_Equations.VEERG_4_2_1_1__1_TotalAnnualMethaneProductionFromManureManagement(E221,F179,E229)</f>
        <v>#N/A</v>
      </c>
      <c r="G237" s="15" t="e" cm="1">
        <f t="array" aca="1" ref="G237" ca="1">MMS_PastureBeef_Methane_Equations.VEERG_4_2_1_1__1_TotalAnnualMethaneProductionFromManureManagement(F221,G179,F229)</f>
        <v>#N/A</v>
      </c>
      <c r="H237" s="15" t="e" cm="1">
        <f t="array" aca="1" ref="H237" ca="1">MMS_PastureBeef_Methane_Equations.VEERG_4_2_1_1__1_TotalAnnualMethaneProductionFromManureManagement(G221,H179,G229)</f>
        <v>#N/A</v>
      </c>
      <c r="I237" s="15" t="e" cm="1">
        <f t="array" aca="1" ref="I237" ca="1">MMS_PastureBeef_Methane_Equations.VEERG_4_2_1_1__1_TotalAnnualMethaneProductionFromManureManagement(H221,I179,H229)</f>
        <v>#N/A</v>
      </c>
      <c r="J237" s="15" t="e" cm="1">
        <f t="array" aca="1" ref="J237" ca="1">MMS_PastureBeef_Methane_Equations.VEERG_4_2_1_1__1_TotalAnnualMethaneProductionFromManureManagement(I221,J179,I229)</f>
        <v>#N/A</v>
      </c>
      <c r="K237" s="15" t="e" cm="1">
        <f t="array" aca="1" ref="K237" ca="1">MMS_PastureBeef_Methane_Equations.VEERG_4_2_1_1__1_TotalAnnualMethaneProductionFromManureManagement(J221,K179,J229)</f>
        <v>#N/A</v>
      </c>
      <c r="L237" s="15" t="e" cm="1">
        <f t="array" aca="1" ref="L237" ca="1">MMS_PastureBeef_Methane_Equations.VEERG_4_2_1_1__1_TotalAnnualMethaneProductionFromManureManagement(K221,L179,K229)</f>
        <v>#N/A</v>
      </c>
      <c r="M237" s="15" t="e" cm="1">
        <f t="array" aca="1" ref="M237" ca="1">MMS_PastureBeef_Methane_Equations.VEERG_4_2_1_1__1_TotalAnnualMethaneProductionFromManureManagement(L221,M179,L229)</f>
        <v>#N/A</v>
      </c>
      <c r="N237" s="15" t="e" cm="1">
        <f t="array" aca="1" ref="N237" ca="1">MMS_PastureBeef_Methane_Equations.VEERG_4_2_1_1__1_TotalAnnualMethaneProductionFromManureManagement(M221,N179,M229)</f>
        <v>#N/A</v>
      </c>
      <c r="O237" s="15" t="e" cm="1">
        <f t="array" aca="1" ref="O237" ca="1">MMS_PastureBeef_Methane_Equations.VEERG_4_2_1_1__1_TotalAnnualMethaneProductionFromManureManagement(N221,O179,N229)</f>
        <v>#N/A</v>
      </c>
      <c r="P237" s="16" t="str">
        <f t="shared" si="10"/>
        <v>t CH4</v>
      </c>
      <c r="Q237" s="16"/>
      <c r="R237" s="16"/>
      <c r="S237" s="16"/>
      <c r="W237" s="15" t="str">
        <f>TEXT(EDATE(X_Cell_Site_StartDate,2), "mmmm")</f>
        <v>February</v>
      </c>
      <c r="X237" s="15">
        <f ca="1"/>
        <v>28</v>
      </c>
      <c r="Y237" s="15">
        <f ca="1"/>
        <v>28</v>
      </c>
      <c r="Z237" s="15">
        <f ca="1"/>
        <v>28</v>
      </c>
      <c r="AA237" s="15">
        <f ca="1"/>
        <v>28</v>
      </c>
      <c r="AB237" s="15">
        <f ca="1"/>
        <v>28</v>
      </c>
      <c r="AC237" s="15">
        <f ca="1"/>
        <v>28</v>
      </c>
      <c r="AD237" s="15">
        <f ca="1"/>
        <v>28</v>
      </c>
      <c r="AE237" s="15">
        <f ca="1"/>
        <v>28</v>
      </c>
      <c r="AF237" s="15">
        <f ca="1"/>
        <v>28</v>
      </c>
      <c r="AG237" s="15">
        <f ca="1"/>
        <v>28</v>
      </c>
      <c r="AH237" s="16" t="s">
        <v>429</v>
      </c>
    </row>
    <row r="238" spans="4:34" ht="20" customHeight="1" x14ac:dyDescent="0.25">
      <c r="D238" s="15" t="str">
        <f>'Input - Pasture Beef'!$D$152</f>
        <v>Pasture range and paddock</v>
      </c>
      <c r="E238" s="15" t="s">
        <v>338</v>
      </c>
      <c r="F238" s="15" t="e" cm="1">
        <f t="array" aca="1" ref="F238" ca="1">MMS_PastureBeef_Methane_Equations.VEERG_4_2_1_1__1_TotalAnnualMethaneProductionFromManureManagement(E222,F180,E230)</f>
        <v>#N/A</v>
      </c>
      <c r="G238" s="15" t="e" cm="1">
        <f t="array" aca="1" ref="G238" ca="1">MMS_PastureBeef_Methane_Equations.VEERG_4_2_1_1__1_TotalAnnualMethaneProductionFromManureManagement(F222,G180,F230)</f>
        <v>#N/A</v>
      </c>
      <c r="H238" s="15" t="e" cm="1">
        <f t="array" aca="1" ref="H238" ca="1">MMS_PastureBeef_Methane_Equations.VEERG_4_2_1_1__1_TotalAnnualMethaneProductionFromManureManagement(G222,H180,G230)</f>
        <v>#N/A</v>
      </c>
      <c r="I238" s="15" t="e" cm="1">
        <f t="array" aca="1" ref="I238" ca="1">MMS_PastureBeef_Methane_Equations.VEERG_4_2_1_1__1_TotalAnnualMethaneProductionFromManureManagement(H222,I180,H230)</f>
        <v>#N/A</v>
      </c>
      <c r="J238" s="15" t="e" cm="1">
        <f t="array" aca="1" ref="J238" ca="1">MMS_PastureBeef_Methane_Equations.VEERG_4_2_1_1__1_TotalAnnualMethaneProductionFromManureManagement(I222,J180,I230)</f>
        <v>#N/A</v>
      </c>
      <c r="K238" s="15" t="e" cm="1">
        <f t="array" aca="1" ref="K238" ca="1">MMS_PastureBeef_Methane_Equations.VEERG_4_2_1_1__1_TotalAnnualMethaneProductionFromManureManagement(J222,K180,J230)</f>
        <v>#N/A</v>
      </c>
      <c r="L238" s="15" t="e" cm="1">
        <f t="array" aca="1" ref="L238" ca="1">MMS_PastureBeef_Methane_Equations.VEERG_4_2_1_1__1_TotalAnnualMethaneProductionFromManureManagement(K222,L180,K230)</f>
        <v>#N/A</v>
      </c>
      <c r="M238" s="15" t="e" cm="1">
        <f t="array" aca="1" ref="M238" ca="1">MMS_PastureBeef_Methane_Equations.VEERG_4_2_1_1__1_TotalAnnualMethaneProductionFromManureManagement(L222,M180,L230)</f>
        <v>#N/A</v>
      </c>
      <c r="N238" s="15" t="e" cm="1">
        <f t="array" aca="1" ref="N238" ca="1">MMS_PastureBeef_Methane_Equations.VEERG_4_2_1_1__1_TotalAnnualMethaneProductionFromManureManagement(M222,N180,M230)</f>
        <v>#N/A</v>
      </c>
      <c r="O238" s="15" t="e" cm="1">
        <f t="array" aca="1" ref="O238" ca="1">MMS_PastureBeef_Methane_Equations.VEERG_4_2_1_1__1_TotalAnnualMethaneProductionFromManureManagement(N222,O180,N230)</f>
        <v>#N/A</v>
      </c>
      <c r="P238" s="16" t="str">
        <f t="shared" si="10"/>
        <v>t CH4</v>
      </c>
      <c r="Q238" s="16"/>
      <c r="R238" s="16"/>
      <c r="S238" s="16"/>
      <c r="W238" s="15" t="str">
        <f>TEXT(EDATE(X_Cell_Site_StartDate,3), "mmmm")</f>
        <v>March</v>
      </c>
      <c r="X238" s="15">
        <f ca="1"/>
        <v>31</v>
      </c>
      <c r="Y238" s="15">
        <f ca="1"/>
        <v>31</v>
      </c>
      <c r="Z238" s="15">
        <f ca="1"/>
        <v>31</v>
      </c>
      <c r="AA238" s="15">
        <f ca="1"/>
        <v>31</v>
      </c>
      <c r="AB238" s="15">
        <f ca="1"/>
        <v>31</v>
      </c>
      <c r="AC238" s="15">
        <f ca="1"/>
        <v>31</v>
      </c>
      <c r="AD238" s="15">
        <f ca="1"/>
        <v>31</v>
      </c>
      <c r="AE238" s="15">
        <f ca="1"/>
        <v>31</v>
      </c>
      <c r="AF238" s="15">
        <f ca="1"/>
        <v>31</v>
      </c>
      <c r="AG238" s="15">
        <f ca="1"/>
        <v>31</v>
      </c>
      <c r="AH238" s="16" t="s">
        <v>429</v>
      </c>
    </row>
    <row r="239" spans="4:34" ht="20" customHeight="1" x14ac:dyDescent="0.25">
      <c r="D239" s="15" t="str">
        <f>'Input - Pasture Beef'!$D$153</f>
        <v>Anaerobic lagoon</v>
      </c>
      <c r="E239" s="15" t="s">
        <v>335</v>
      </c>
      <c r="F239" s="15" t="e" cm="1">
        <f t="array" aca="1" ref="F239" ca="1">MMS_PastureBeef_Methane_Equations.VEERG_4_2_1_1__1_TotalAnnualMethaneProductionFromManureManagement(E219,F181,E227)</f>
        <v>#N/A</v>
      </c>
      <c r="G239" s="15" t="e" cm="1">
        <f t="array" aca="1" ref="G239" ca="1">MMS_PastureBeef_Methane_Equations.VEERG_4_2_1_1__1_TotalAnnualMethaneProductionFromManureManagement(F219,G181,F227)</f>
        <v>#N/A</v>
      </c>
      <c r="H239" s="15" t="e" cm="1">
        <f t="array" aca="1" ref="H239" ca="1">MMS_PastureBeef_Methane_Equations.VEERG_4_2_1_1__1_TotalAnnualMethaneProductionFromManureManagement(G219,H181,G227)</f>
        <v>#N/A</v>
      </c>
      <c r="I239" s="15" t="e" cm="1">
        <f t="array" aca="1" ref="I239" ca="1">MMS_PastureBeef_Methane_Equations.VEERG_4_2_1_1__1_TotalAnnualMethaneProductionFromManureManagement(H219,I181,H227)</f>
        <v>#N/A</v>
      </c>
      <c r="J239" s="15" t="e" cm="1">
        <f t="array" aca="1" ref="J239" ca="1">MMS_PastureBeef_Methane_Equations.VEERG_4_2_1_1__1_TotalAnnualMethaneProductionFromManureManagement(I219,J181,I227)</f>
        <v>#N/A</v>
      </c>
      <c r="K239" s="15" t="e" cm="1">
        <f t="array" aca="1" ref="K239" ca="1">MMS_PastureBeef_Methane_Equations.VEERG_4_2_1_1__1_TotalAnnualMethaneProductionFromManureManagement(J219,K181,J227)</f>
        <v>#N/A</v>
      </c>
      <c r="L239" s="15" t="e" cm="1">
        <f t="array" aca="1" ref="L239" ca="1">MMS_PastureBeef_Methane_Equations.VEERG_4_2_1_1__1_TotalAnnualMethaneProductionFromManureManagement(K219,L181,K227)</f>
        <v>#N/A</v>
      </c>
      <c r="M239" s="15" t="e" cm="1">
        <f t="array" aca="1" ref="M239" ca="1">MMS_PastureBeef_Methane_Equations.VEERG_4_2_1_1__1_TotalAnnualMethaneProductionFromManureManagement(L219,M181,L227)</f>
        <v>#N/A</v>
      </c>
      <c r="N239" s="15" t="e" cm="1">
        <f t="array" aca="1" ref="N239" ca="1">MMS_PastureBeef_Methane_Equations.VEERG_4_2_1_1__1_TotalAnnualMethaneProductionFromManureManagement(M219,N181,M227)</f>
        <v>#N/A</v>
      </c>
      <c r="O239" s="15" t="e" cm="1">
        <f t="array" aca="1" ref="O239" ca="1">MMS_PastureBeef_Methane_Equations.VEERG_4_2_1_1__1_TotalAnnualMethaneProductionFromManureManagement(N219,O181,N227)</f>
        <v>#N/A</v>
      </c>
      <c r="P239" s="16" t="str">
        <f t="shared" si="10"/>
        <v>t CH4</v>
      </c>
      <c r="Q239" s="16"/>
      <c r="R239" s="16"/>
      <c r="S239" s="16"/>
      <c r="W239" s="15" t="str">
        <f>TEXT(EDATE(X_Cell_Site_StartDate,4), "mmmm")</f>
        <v>April</v>
      </c>
      <c r="X239" s="15">
        <f ca="1"/>
        <v>30</v>
      </c>
      <c r="Y239" s="15">
        <f ca="1"/>
        <v>30</v>
      </c>
      <c r="Z239" s="15">
        <f ca="1"/>
        <v>30</v>
      </c>
      <c r="AA239" s="15">
        <f ca="1"/>
        <v>30</v>
      </c>
      <c r="AB239" s="15">
        <f ca="1"/>
        <v>30</v>
      </c>
      <c r="AC239" s="15">
        <f ca="1"/>
        <v>30</v>
      </c>
      <c r="AD239" s="15">
        <f ca="1"/>
        <v>30</v>
      </c>
      <c r="AE239" s="15">
        <f ca="1"/>
        <v>30</v>
      </c>
      <c r="AF239" s="15">
        <f ca="1"/>
        <v>30</v>
      </c>
      <c r="AG239" s="15">
        <f ca="1"/>
        <v>30</v>
      </c>
      <c r="AH239" s="16" t="s">
        <v>429</v>
      </c>
    </row>
    <row r="240" spans="4:34" ht="20" customHeight="1" x14ac:dyDescent="0.25">
      <c r="D240" s="15" t="str">
        <f>'Input - Pasture Beef'!$D$153</f>
        <v>Anaerobic lagoon</v>
      </c>
      <c r="E240" s="15" t="s">
        <v>336</v>
      </c>
      <c r="F240" s="15" t="e" cm="1">
        <f t="array" aca="1" ref="F240" ca="1">MMS_PastureBeef_Methane_Equations.VEERG_4_2_1_1__1_TotalAnnualMethaneProductionFromManureManagement(E220,F182,E228)</f>
        <v>#N/A</v>
      </c>
      <c r="G240" s="15" t="e" cm="1">
        <f t="array" aca="1" ref="G240" ca="1">MMS_PastureBeef_Methane_Equations.VEERG_4_2_1_1__1_TotalAnnualMethaneProductionFromManureManagement(F220,G182,F228)</f>
        <v>#N/A</v>
      </c>
      <c r="H240" s="15" t="e" cm="1">
        <f t="array" aca="1" ref="H240" ca="1">MMS_PastureBeef_Methane_Equations.VEERG_4_2_1_1__1_TotalAnnualMethaneProductionFromManureManagement(G220,H182,G228)</f>
        <v>#N/A</v>
      </c>
      <c r="I240" s="15" t="e" cm="1">
        <f t="array" aca="1" ref="I240" ca="1">MMS_PastureBeef_Methane_Equations.VEERG_4_2_1_1__1_TotalAnnualMethaneProductionFromManureManagement(H220,I182,H228)</f>
        <v>#N/A</v>
      </c>
      <c r="J240" s="15" t="e" cm="1">
        <f t="array" aca="1" ref="J240" ca="1">MMS_PastureBeef_Methane_Equations.VEERG_4_2_1_1__1_TotalAnnualMethaneProductionFromManureManagement(I220,J182,I228)</f>
        <v>#N/A</v>
      </c>
      <c r="K240" s="15" t="e" cm="1">
        <f t="array" aca="1" ref="K240" ca="1">MMS_PastureBeef_Methane_Equations.VEERG_4_2_1_1__1_TotalAnnualMethaneProductionFromManureManagement(J220,K182,J228)</f>
        <v>#N/A</v>
      </c>
      <c r="L240" s="15" t="e" cm="1">
        <f t="array" aca="1" ref="L240" ca="1">MMS_PastureBeef_Methane_Equations.VEERG_4_2_1_1__1_TotalAnnualMethaneProductionFromManureManagement(K220,L182,K228)</f>
        <v>#N/A</v>
      </c>
      <c r="M240" s="15" t="e" cm="1">
        <f t="array" aca="1" ref="M240" ca="1">MMS_PastureBeef_Methane_Equations.VEERG_4_2_1_1__1_TotalAnnualMethaneProductionFromManureManagement(L220,M182,L228)</f>
        <v>#N/A</v>
      </c>
      <c r="N240" s="15" t="e" cm="1">
        <f t="array" aca="1" ref="N240" ca="1">MMS_PastureBeef_Methane_Equations.VEERG_4_2_1_1__1_TotalAnnualMethaneProductionFromManureManagement(M220,N182,M228)</f>
        <v>#N/A</v>
      </c>
      <c r="O240" s="15" t="e" cm="1">
        <f t="array" aca="1" ref="O240" ca="1">MMS_PastureBeef_Methane_Equations.VEERG_4_2_1_1__1_TotalAnnualMethaneProductionFromManureManagement(N220,O182,N228)</f>
        <v>#N/A</v>
      </c>
      <c r="P240" s="16" t="str">
        <f t="shared" si="10"/>
        <v>t CH4</v>
      </c>
      <c r="Q240" s="16"/>
      <c r="R240" s="16"/>
      <c r="S240" s="16"/>
      <c r="W240" s="15" t="str">
        <f>TEXT(EDATE(X_Cell_Site_StartDate,5), "mmmm")</f>
        <v>May</v>
      </c>
      <c r="X240" s="15">
        <f ca="1"/>
        <v>31</v>
      </c>
      <c r="Y240" s="15">
        <f ca="1"/>
        <v>31</v>
      </c>
      <c r="Z240" s="15">
        <f ca="1"/>
        <v>31</v>
      </c>
      <c r="AA240" s="15">
        <f ca="1"/>
        <v>31</v>
      </c>
      <c r="AB240" s="15">
        <f ca="1"/>
        <v>31</v>
      </c>
      <c r="AC240" s="15">
        <f ca="1"/>
        <v>31</v>
      </c>
      <c r="AD240" s="15">
        <f ca="1"/>
        <v>31</v>
      </c>
      <c r="AE240" s="15">
        <f ca="1"/>
        <v>31</v>
      </c>
      <c r="AF240" s="15">
        <f ca="1"/>
        <v>31</v>
      </c>
      <c r="AG240" s="15">
        <f ca="1"/>
        <v>31</v>
      </c>
      <c r="AH240" s="16" t="s">
        <v>429</v>
      </c>
    </row>
    <row r="241" spans="4:36" ht="20" customHeight="1" x14ac:dyDescent="0.25">
      <c r="D241" s="15" t="str">
        <f>'Input - Pasture Beef'!$D$153</f>
        <v>Anaerobic lagoon</v>
      </c>
      <c r="E241" s="15" t="s">
        <v>337</v>
      </c>
      <c r="F241" s="15" t="e" cm="1">
        <f t="array" aca="1" ref="F241" ca="1">MMS_PastureBeef_Methane_Equations.VEERG_4_2_1_1__1_TotalAnnualMethaneProductionFromManureManagement(E221,F183,E229)</f>
        <v>#N/A</v>
      </c>
      <c r="G241" s="15" t="e" cm="1">
        <f t="array" aca="1" ref="G241" ca="1">MMS_PastureBeef_Methane_Equations.VEERG_4_2_1_1__1_TotalAnnualMethaneProductionFromManureManagement(F221,G183,F229)</f>
        <v>#N/A</v>
      </c>
      <c r="H241" s="15" t="e" cm="1">
        <f t="array" aca="1" ref="H241" ca="1">MMS_PastureBeef_Methane_Equations.VEERG_4_2_1_1__1_TotalAnnualMethaneProductionFromManureManagement(G221,H183,G229)</f>
        <v>#N/A</v>
      </c>
      <c r="I241" s="15" t="e" cm="1">
        <f t="array" aca="1" ref="I241" ca="1">MMS_PastureBeef_Methane_Equations.VEERG_4_2_1_1__1_TotalAnnualMethaneProductionFromManureManagement(H221,I183,H229)</f>
        <v>#N/A</v>
      </c>
      <c r="J241" s="15" t="e" cm="1">
        <f t="array" aca="1" ref="J241" ca="1">MMS_PastureBeef_Methane_Equations.VEERG_4_2_1_1__1_TotalAnnualMethaneProductionFromManureManagement(I221,J183,I229)</f>
        <v>#N/A</v>
      </c>
      <c r="K241" s="15" t="e" cm="1">
        <f t="array" aca="1" ref="K241" ca="1">MMS_PastureBeef_Methane_Equations.VEERG_4_2_1_1__1_TotalAnnualMethaneProductionFromManureManagement(J221,K183,J229)</f>
        <v>#N/A</v>
      </c>
      <c r="L241" s="15" t="e" cm="1">
        <f t="array" aca="1" ref="L241" ca="1">MMS_PastureBeef_Methane_Equations.VEERG_4_2_1_1__1_TotalAnnualMethaneProductionFromManureManagement(K221,L183,K229)</f>
        <v>#N/A</v>
      </c>
      <c r="M241" s="15" t="e" cm="1">
        <f t="array" aca="1" ref="M241" ca="1">MMS_PastureBeef_Methane_Equations.VEERG_4_2_1_1__1_TotalAnnualMethaneProductionFromManureManagement(L221,M183,L229)</f>
        <v>#N/A</v>
      </c>
      <c r="N241" s="15" t="e" cm="1">
        <f t="array" aca="1" ref="N241" ca="1">MMS_PastureBeef_Methane_Equations.VEERG_4_2_1_1__1_TotalAnnualMethaneProductionFromManureManagement(M221,N183,M229)</f>
        <v>#N/A</v>
      </c>
      <c r="O241" s="15" t="e" cm="1">
        <f t="array" aca="1" ref="O241" ca="1">MMS_PastureBeef_Methane_Equations.VEERG_4_2_1_1__1_TotalAnnualMethaneProductionFromManureManagement(N221,O183,N229)</f>
        <v>#N/A</v>
      </c>
      <c r="P241" s="16" t="str">
        <f t="shared" si="10"/>
        <v>t CH4</v>
      </c>
      <c r="Q241" s="16"/>
      <c r="R241" s="16"/>
      <c r="S241" s="16"/>
      <c r="W241" s="15" t="str">
        <f>TEXT(EDATE(X_Cell_Site_StartDate,6), "mmmm")</f>
        <v>June</v>
      </c>
      <c r="X241" s="15">
        <f ca="1"/>
        <v>30</v>
      </c>
      <c r="Y241" s="15">
        <f ca="1"/>
        <v>30</v>
      </c>
      <c r="Z241" s="15">
        <f ca="1"/>
        <v>30</v>
      </c>
      <c r="AA241" s="15">
        <f ca="1"/>
        <v>30</v>
      </c>
      <c r="AB241" s="15">
        <f ca="1"/>
        <v>30</v>
      </c>
      <c r="AC241" s="15">
        <f ca="1"/>
        <v>30</v>
      </c>
      <c r="AD241" s="15">
        <f ca="1"/>
        <v>30</v>
      </c>
      <c r="AE241" s="15">
        <f ca="1"/>
        <v>30</v>
      </c>
      <c r="AF241" s="15">
        <f ca="1"/>
        <v>30</v>
      </c>
      <c r="AG241" s="15">
        <f ca="1"/>
        <v>30</v>
      </c>
      <c r="AH241" s="16" t="s">
        <v>429</v>
      </c>
    </row>
    <row r="242" spans="4:36" ht="20" customHeight="1" x14ac:dyDescent="0.25">
      <c r="D242" s="15" t="str">
        <f>'Input - Pasture Beef'!$D$153</f>
        <v>Anaerobic lagoon</v>
      </c>
      <c r="E242" s="15" t="s">
        <v>338</v>
      </c>
      <c r="F242" s="15" t="e" cm="1">
        <f t="array" aca="1" ref="F242" ca="1">MMS_PastureBeef_Methane_Equations.VEERG_4_2_1_1__1_TotalAnnualMethaneProductionFromManureManagement(E222,F184,E230)</f>
        <v>#N/A</v>
      </c>
      <c r="G242" s="15" t="e" cm="1">
        <f t="array" aca="1" ref="G242" ca="1">MMS_PastureBeef_Methane_Equations.VEERG_4_2_1_1__1_TotalAnnualMethaneProductionFromManureManagement(F222,G184,F230)</f>
        <v>#N/A</v>
      </c>
      <c r="H242" s="15" t="e" cm="1">
        <f t="array" aca="1" ref="H242" ca="1">MMS_PastureBeef_Methane_Equations.VEERG_4_2_1_1__1_TotalAnnualMethaneProductionFromManureManagement(G222,H184,G230)</f>
        <v>#N/A</v>
      </c>
      <c r="I242" s="15" t="e" cm="1">
        <f t="array" aca="1" ref="I242" ca="1">MMS_PastureBeef_Methane_Equations.VEERG_4_2_1_1__1_TotalAnnualMethaneProductionFromManureManagement(H222,I184,H230)</f>
        <v>#N/A</v>
      </c>
      <c r="J242" s="15" t="e" cm="1">
        <f t="array" aca="1" ref="J242" ca="1">MMS_PastureBeef_Methane_Equations.VEERG_4_2_1_1__1_TotalAnnualMethaneProductionFromManureManagement(I222,J184,I230)</f>
        <v>#N/A</v>
      </c>
      <c r="K242" s="15" t="e" cm="1">
        <f t="array" aca="1" ref="K242" ca="1">MMS_PastureBeef_Methane_Equations.VEERG_4_2_1_1__1_TotalAnnualMethaneProductionFromManureManagement(J222,K184,J230)</f>
        <v>#N/A</v>
      </c>
      <c r="L242" s="15" t="e" cm="1">
        <f t="array" aca="1" ref="L242" ca="1">MMS_PastureBeef_Methane_Equations.VEERG_4_2_1_1__1_TotalAnnualMethaneProductionFromManureManagement(K222,L184,K230)</f>
        <v>#N/A</v>
      </c>
      <c r="M242" s="15" t="e" cm="1">
        <f t="array" aca="1" ref="M242" ca="1">MMS_PastureBeef_Methane_Equations.VEERG_4_2_1_1__1_TotalAnnualMethaneProductionFromManureManagement(L222,M184,L230)</f>
        <v>#N/A</v>
      </c>
      <c r="N242" s="15" t="e" cm="1">
        <f t="array" aca="1" ref="N242" ca="1">MMS_PastureBeef_Methane_Equations.VEERG_4_2_1_1__1_TotalAnnualMethaneProductionFromManureManagement(M222,N184,M230)</f>
        <v>#N/A</v>
      </c>
      <c r="O242" s="15" t="e" cm="1">
        <f t="array" aca="1" ref="O242" ca="1">MMS_PastureBeef_Methane_Equations.VEERG_4_2_1_1__1_TotalAnnualMethaneProductionFromManureManagement(N222,O184,N230)</f>
        <v>#N/A</v>
      </c>
      <c r="P242" s="16" t="str">
        <f t="shared" si="10"/>
        <v>t CH4</v>
      </c>
      <c r="Q242" s="16"/>
      <c r="R242" s="16"/>
      <c r="S242" s="16"/>
      <c r="W242" s="15" t="str">
        <f>TEXT(EDATE(X_Cell_Site_StartDate,7), "mmmm")</f>
        <v>July</v>
      </c>
      <c r="X242" s="15">
        <f ca="1"/>
        <v>31</v>
      </c>
      <c r="Y242" s="15">
        <f ca="1"/>
        <v>31</v>
      </c>
      <c r="Z242" s="15">
        <f ca="1"/>
        <v>31</v>
      </c>
      <c r="AA242" s="15">
        <f ca="1"/>
        <v>31</v>
      </c>
      <c r="AB242" s="15">
        <f ca="1"/>
        <v>31</v>
      </c>
      <c r="AC242" s="15">
        <f ca="1"/>
        <v>31</v>
      </c>
      <c r="AD242" s="15">
        <f ca="1"/>
        <v>31</v>
      </c>
      <c r="AE242" s="15">
        <f ca="1"/>
        <v>31</v>
      </c>
      <c r="AF242" s="15">
        <f ca="1"/>
        <v>31</v>
      </c>
      <c r="AG242" s="15">
        <f ca="1"/>
        <v>31</v>
      </c>
      <c r="AH242" s="16" t="s">
        <v>429</v>
      </c>
    </row>
    <row r="243" spans="4:36" ht="20" customHeight="1" x14ac:dyDescent="0.25">
      <c r="W243" s="15" t="str">
        <f>TEXT(EDATE(X_Cell_Site_StartDate,8), "mmmm")</f>
        <v>August</v>
      </c>
      <c r="X243" s="15">
        <f ca="1"/>
        <v>31</v>
      </c>
      <c r="Y243" s="15">
        <f ca="1"/>
        <v>31</v>
      </c>
      <c r="Z243" s="15">
        <f ca="1"/>
        <v>31</v>
      </c>
      <c r="AA243" s="15">
        <f ca="1"/>
        <v>31</v>
      </c>
      <c r="AB243" s="15">
        <f ca="1"/>
        <v>31</v>
      </c>
      <c r="AC243" s="15">
        <f ca="1"/>
        <v>31</v>
      </c>
      <c r="AD243" s="15">
        <f ca="1"/>
        <v>31</v>
      </c>
      <c r="AE243" s="15">
        <f ca="1"/>
        <v>31</v>
      </c>
      <c r="AF243" s="15">
        <f ca="1"/>
        <v>31</v>
      </c>
      <c r="AG243" s="15">
        <f ca="1"/>
        <v>31</v>
      </c>
      <c r="AH243" s="16" t="s">
        <v>429</v>
      </c>
    </row>
    <row r="244" spans="4:36" ht="20" customHeight="1" x14ac:dyDescent="0.25">
      <c r="D244" s="90" t="s">
        <v>434</v>
      </c>
      <c r="E244" s="91" t="e">
        <f ca="1">SUM(F235:O242)</f>
        <v>#N/A</v>
      </c>
      <c r="F244" s="95" t="str">
        <f>E210</f>
        <v>t CH4</v>
      </c>
      <c r="W244" s="15" t="str">
        <f>TEXT(EDATE(X_Cell_Site_StartDate,9), "mmmm")</f>
        <v>September</v>
      </c>
      <c r="X244" s="15">
        <f ca="1"/>
        <v>30</v>
      </c>
      <c r="Y244" s="15">
        <f ca="1"/>
        <v>30</v>
      </c>
      <c r="Z244" s="15">
        <f ca="1"/>
        <v>30</v>
      </c>
      <c r="AA244" s="15">
        <f ca="1"/>
        <v>30</v>
      </c>
      <c r="AB244" s="15">
        <f ca="1"/>
        <v>30</v>
      </c>
      <c r="AC244" s="15">
        <f ca="1"/>
        <v>30</v>
      </c>
      <c r="AD244" s="15">
        <f ca="1"/>
        <v>30</v>
      </c>
      <c r="AE244" s="15">
        <f ca="1"/>
        <v>30</v>
      </c>
      <c r="AF244" s="15">
        <f ca="1"/>
        <v>30</v>
      </c>
      <c r="AG244" s="15">
        <f ca="1"/>
        <v>30</v>
      </c>
      <c r="AH244" s="16" t="s">
        <v>429</v>
      </c>
    </row>
    <row r="245" spans="4:36" ht="20" customHeight="1" x14ac:dyDescent="0.25">
      <c r="W245" s="15" t="str">
        <f>TEXT(EDATE(X_Cell_Site_StartDate,10), "mmmm")</f>
        <v>October</v>
      </c>
      <c r="X245" s="15">
        <f ca="1"/>
        <v>31</v>
      </c>
      <c r="Y245" s="15">
        <f ca="1"/>
        <v>31</v>
      </c>
      <c r="Z245" s="15">
        <f ca="1"/>
        <v>31</v>
      </c>
      <c r="AA245" s="15">
        <f ca="1"/>
        <v>31</v>
      </c>
      <c r="AB245" s="15">
        <f ca="1"/>
        <v>31</v>
      </c>
      <c r="AC245" s="15">
        <f ca="1"/>
        <v>31</v>
      </c>
      <c r="AD245" s="15">
        <f ca="1"/>
        <v>31</v>
      </c>
      <c r="AE245" s="15">
        <f ca="1"/>
        <v>31</v>
      </c>
      <c r="AF245" s="15">
        <f ca="1"/>
        <v>31</v>
      </c>
      <c r="AG245" s="15">
        <f ca="1"/>
        <v>31</v>
      </c>
      <c r="AH245" s="16" t="s">
        <v>429</v>
      </c>
    </row>
    <row r="246" spans="4:36" ht="20" customHeight="1" x14ac:dyDescent="0.25">
      <c r="D246" s="116" t="str" cm="1">
        <f t="array" ref="D246:E247">Common_Equations.Common_ConvertCH4ToCO2e_Arguments()</f>
        <v>ECH4</v>
      </c>
      <c r="E246" s="117" t="str">
        <v>Methane emissions (t CH4)</v>
      </c>
      <c r="F246" s="118"/>
      <c r="G246" s="15" t="e">
        <f ca="1">VEERG_4_2_1_1__1_TotalAnnualMethaneProductionFromManureManagement_Result_Method1</f>
        <v>#N/A</v>
      </c>
      <c r="W246" s="15" t="str">
        <f>TEXT(EDATE(X_Cell_Site_StartDate,11), "mmmm")</f>
        <v>November</v>
      </c>
      <c r="X246" s="15">
        <f ca="1"/>
        <v>30</v>
      </c>
      <c r="Y246" s="15">
        <f ca="1"/>
        <v>30</v>
      </c>
      <c r="Z246" s="15">
        <f ca="1"/>
        <v>30</v>
      </c>
      <c r="AA246" s="15">
        <f ca="1"/>
        <v>30</v>
      </c>
      <c r="AB246" s="15">
        <f ca="1"/>
        <v>30</v>
      </c>
      <c r="AC246" s="15">
        <f ca="1"/>
        <v>30</v>
      </c>
      <c r="AD246" s="15">
        <f ca="1"/>
        <v>30</v>
      </c>
      <c r="AE246" s="15">
        <f ca="1"/>
        <v>30</v>
      </c>
      <c r="AF246" s="15">
        <f ca="1"/>
        <v>30</v>
      </c>
      <c r="AG246" s="15">
        <f ca="1"/>
        <v>30</v>
      </c>
      <c r="AH246" s="16" t="s">
        <v>429</v>
      </c>
    </row>
    <row r="247" spans="4:36" ht="20" customHeight="1" x14ac:dyDescent="0.25">
      <c r="D247" s="116" t="str">
        <v>GWPCH4</v>
      </c>
      <c r="E247" s="117" t="str">
        <v>Global warming potential for methane (t CO2-e / t CH4)</v>
      </c>
      <c r="F247" s="118"/>
      <c r="G247" s="15">
        <f>Common_InputFunctions.Utility_LookupValueInTableNumber("CH4",Table_GWPData[Gas],Table_GWPData[CO2-e factor])</f>
        <v>28</v>
      </c>
    </row>
    <row r="248" spans="4:36" ht="20" customHeight="1" x14ac:dyDescent="0.25">
      <c r="W248" s="112" t="s">
        <v>435</v>
      </c>
    </row>
    <row r="249" spans="4:36" ht="20" customHeight="1" x14ac:dyDescent="0.25">
      <c r="D249" s="87" t="s">
        <v>436</v>
      </c>
      <c r="E249" s="87" t="e" cm="1">
        <f t="array" aca="1" ref="E249" ca="1">Common_Equations.Common_ConvertN2OToCO2e(G246,G247)</f>
        <v>#N/A</v>
      </c>
      <c r="F249" s="94" t="str" cm="1">
        <f t="array" ref="F249">Common_Equations.Common_ConvertN2OToCO2e_Unit()</f>
        <v>t CO2e</v>
      </c>
      <c r="W249" s="113" t="s">
        <v>437</v>
      </c>
    </row>
    <row r="250" spans="4:36" ht="20" customHeight="1" x14ac:dyDescent="0.25">
      <c r="W250" s="114" t="s">
        <v>411</v>
      </c>
      <c r="X250" s="114" t="s">
        <v>75</v>
      </c>
      <c r="Y250" s="114" t="s">
        <v>326</v>
      </c>
      <c r="Z250" s="114" t="s">
        <v>184</v>
      </c>
      <c r="AA250" s="114" t="s">
        <v>327</v>
      </c>
      <c r="AB250" s="114" t="s">
        <v>328</v>
      </c>
      <c r="AC250" s="114" t="s">
        <v>329</v>
      </c>
      <c r="AD250" s="114" t="s">
        <v>330</v>
      </c>
      <c r="AE250" s="114" t="s">
        <v>331</v>
      </c>
      <c r="AF250" s="114" t="s">
        <v>332</v>
      </c>
      <c r="AG250" s="114" t="s">
        <v>333</v>
      </c>
      <c r="AH250" s="114" t="s">
        <v>334</v>
      </c>
    </row>
    <row r="251" spans="4:36" ht="20" customHeight="1" x14ac:dyDescent="0.25">
      <c r="W251" s="15" t="str">
        <f>'Input - Pasture Beef'!$D$152</f>
        <v>Pasture range and paddock</v>
      </c>
      <c r="X251" s="15" t="str">
        <f>W235</f>
        <v>January</v>
      </c>
      <c r="Y251" s="15" t="e" cm="1">
        <f t="array" aca="1" ref="Y251" ca="1">MMS_PastureBeef_Methane_Equations.VEERG_4_2_1_1__1_TotalAnnualMethaneProductionFromManureManagement(X219,Y177,X235)</f>
        <v>#N/A</v>
      </c>
      <c r="Z251" s="15" t="e" cm="1">
        <f t="array" aca="1" ref="Z251" ca="1">MMS_PastureBeef_Methane_Equations.VEERG_4_2_1_1__1_TotalAnnualMethaneProductionFromManureManagement(Y219,Z177,Y235)</f>
        <v>#N/A</v>
      </c>
      <c r="AA251" s="15" t="e" cm="1">
        <f t="array" aca="1" ref="AA251" ca="1">MMS_PastureBeef_Methane_Equations.VEERG_4_2_1_1__1_TotalAnnualMethaneProductionFromManureManagement(Z219,AA177,Z235)</f>
        <v>#N/A</v>
      </c>
      <c r="AB251" s="15" t="e" cm="1">
        <f t="array" aca="1" ref="AB251" ca="1">MMS_PastureBeef_Methane_Equations.VEERG_4_2_1_1__1_TotalAnnualMethaneProductionFromManureManagement(AA219,AB177,AA235)</f>
        <v>#N/A</v>
      </c>
      <c r="AC251" s="15" t="e" cm="1">
        <f t="array" aca="1" ref="AC251" ca="1">MMS_PastureBeef_Methane_Equations.VEERG_4_2_1_1__1_TotalAnnualMethaneProductionFromManureManagement(AB219,AC177,AB235)</f>
        <v>#N/A</v>
      </c>
      <c r="AD251" s="15" t="e" cm="1">
        <f t="array" aca="1" ref="AD251" ca="1">MMS_PastureBeef_Methane_Equations.VEERG_4_2_1_1__1_TotalAnnualMethaneProductionFromManureManagement(AC219,AD177,AC235)</f>
        <v>#N/A</v>
      </c>
      <c r="AE251" s="15" t="e" cm="1">
        <f t="array" aca="1" ref="AE251" ca="1">MMS_PastureBeef_Methane_Equations.VEERG_4_2_1_1__1_TotalAnnualMethaneProductionFromManureManagement(AD219,AE177,AD235)</f>
        <v>#N/A</v>
      </c>
      <c r="AF251" s="15" t="e" cm="1">
        <f t="array" aca="1" ref="AF251" ca="1">MMS_PastureBeef_Methane_Equations.VEERG_4_2_1_1__1_TotalAnnualMethaneProductionFromManureManagement(AE219,AF177,AE235)</f>
        <v>#N/A</v>
      </c>
      <c r="AG251" s="15" t="e" cm="1">
        <f t="array" aca="1" ref="AG251" ca="1">MMS_PastureBeef_Methane_Equations.VEERG_4_2_1_1__1_TotalAnnualMethaneProductionFromManureManagement(AF219,AG177,AF235)</f>
        <v>#N/A</v>
      </c>
      <c r="AH251" s="15" t="e" cm="1">
        <f t="array" aca="1" ref="AH251" ca="1">MMS_PastureBeef_Methane_Equations.VEERG_4_2_1_1__1_TotalAnnualMethaneProductionFromManureManagement(AG219,AH177,AG235)</f>
        <v>#N/A</v>
      </c>
      <c r="AI251" s="16" t="str">
        <f t="shared" ref="AI251:AI274" si="11">$E$210</f>
        <v>t CH4</v>
      </c>
      <c r="AJ251" s="16"/>
    </row>
    <row r="252" spans="4:36" ht="20" customHeight="1" x14ac:dyDescent="0.25">
      <c r="W252" s="15" t="str">
        <f>'Input - Pasture Beef'!$D$152</f>
        <v>Pasture range and paddock</v>
      </c>
      <c r="X252" s="15" t="str">
        <f t="shared" ref="X252:X262" si="12">W236</f>
        <v>January</v>
      </c>
      <c r="Y252" s="15" t="e" cm="1">
        <f t="array" aca="1" ref="Y252" ca="1">MMS_PastureBeef_Methane_Equations.VEERG_4_2_1_1__1_TotalAnnualMethaneProductionFromManureManagement(X220,Y178,X236)</f>
        <v>#N/A</v>
      </c>
      <c r="Z252" s="15" t="e" cm="1">
        <f t="array" aca="1" ref="Z252" ca="1">MMS_PastureBeef_Methane_Equations.VEERG_4_2_1_1__1_TotalAnnualMethaneProductionFromManureManagement(Y220,Z178,Y236)</f>
        <v>#N/A</v>
      </c>
      <c r="AA252" s="15" t="e" cm="1">
        <f t="array" aca="1" ref="AA252" ca="1">MMS_PastureBeef_Methane_Equations.VEERG_4_2_1_1__1_TotalAnnualMethaneProductionFromManureManagement(Z220,AA178,Z236)</f>
        <v>#N/A</v>
      </c>
      <c r="AB252" s="15" t="e" cm="1">
        <f t="array" aca="1" ref="AB252" ca="1">MMS_PastureBeef_Methane_Equations.VEERG_4_2_1_1__1_TotalAnnualMethaneProductionFromManureManagement(AA220,AB178,AA236)</f>
        <v>#N/A</v>
      </c>
      <c r="AC252" s="15" t="e" cm="1">
        <f t="array" aca="1" ref="AC252" ca="1">MMS_PastureBeef_Methane_Equations.VEERG_4_2_1_1__1_TotalAnnualMethaneProductionFromManureManagement(AB220,AC178,AB236)</f>
        <v>#N/A</v>
      </c>
      <c r="AD252" s="15" t="e" cm="1">
        <f t="array" aca="1" ref="AD252" ca="1">MMS_PastureBeef_Methane_Equations.VEERG_4_2_1_1__1_TotalAnnualMethaneProductionFromManureManagement(AC220,AD178,AC236)</f>
        <v>#N/A</v>
      </c>
      <c r="AE252" s="15" t="e" cm="1">
        <f t="array" aca="1" ref="AE252" ca="1">MMS_PastureBeef_Methane_Equations.VEERG_4_2_1_1__1_TotalAnnualMethaneProductionFromManureManagement(AD220,AE178,AD236)</f>
        <v>#N/A</v>
      </c>
      <c r="AF252" s="15" t="e" cm="1">
        <f t="array" aca="1" ref="AF252" ca="1">MMS_PastureBeef_Methane_Equations.VEERG_4_2_1_1__1_TotalAnnualMethaneProductionFromManureManagement(AE220,AF178,AE236)</f>
        <v>#N/A</v>
      </c>
      <c r="AG252" s="15" t="e" cm="1">
        <f t="array" aca="1" ref="AG252" ca="1">MMS_PastureBeef_Methane_Equations.VEERG_4_2_1_1__1_TotalAnnualMethaneProductionFromManureManagement(AF220,AG178,AF236)</f>
        <v>#N/A</v>
      </c>
      <c r="AH252" s="15" t="e" cm="1">
        <f t="array" aca="1" ref="AH252" ca="1">MMS_PastureBeef_Methane_Equations.VEERG_4_2_1_1__1_TotalAnnualMethaneProductionFromManureManagement(AG220,AH178,AG236)</f>
        <v>#N/A</v>
      </c>
      <c r="AI252" s="16" t="str">
        <f t="shared" si="11"/>
        <v>t CH4</v>
      </c>
      <c r="AJ252" s="16"/>
    </row>
    <row r="253" spans="4:36" ht="20" customHeight="1" x14ac:dyDescent="0.25">
      <c r="W253" s="15" t="str">
        <f>'Input - Pasture Beef'!$D$152</f>
        <v>Pasture range and paddock</v>
      </c>
      <c r="X253" s="15" t="str">
        <f t="shared" si="12"/>
        <v>February</v>
      </c>
      <c r="Y253" s="15" t="e" cm="1">
        <f t="array" aca="1" ref="Y253" ca="1">MMS_PastureBeef_Methane_Equations.VEERG_4_2_1_1__1_TotalAnnualMethaneProductionFromManureManagement(X221,Y179,X237)</f>
        <v>#N/A</v>
      </c>
      <c r="Z253" s="15" t="e" cm="1">
        <f t="array" aca="1" ref="Z253" ca="1">MMS_PastureBeef_Methane_Equations.VEERG_4_2_1_1__1_TotalAnnualMethaneProductionFromManureManagement(Y221,Z179,Y237)</f>
        <v>#N/A</v>
      </c>
      <c r="AA253" s="15" t="e" cm="1">
        <f t="array" aca="1" ref="AA253" ca="1">MMS_PastureBeef_Methane_Equations.VEERG_4_2_1_1__1_TotalAnnualMethaneProductionFromManureManagement(Z221,AA179,Z237)</f>
        <v>#N/A</v>
      </c>
      <c r="AB253" s="15" t="e" cm="1">
        <f t="array" aca="1" ref="AB253" ca="1">MMS_PastureBeef_Methane_Equations.VEERG_4_2_1_1__1_TotalAnnualMethaneProductionFromManureManagement(AA221,AB179,AA237)</f>
        <v>#N/A</v>
      </c>
      <c r="AC253" s="15" t="e" cm="1">
        <f t="array" aca="1" ref="AC253" ca="1">MMS_PastureBeef_Methane_Equations.VEERG_4_2_1_1__1_TotalAnnualMethaneProductionFromManureManagement(AB221,AC179,AB237)</f>
        <v>#N/A</v>
      </c>
      <c r="AD253" s="15" t="e" cm="1">
        <f t="array" aca="1" ref="AD253" ca="1">MMS_PastureBeef_Methane_Equations.VEERG_4_2_1_1__1_TotalAnnualMethaneProductionFromManureManagement(AC221,AD179,AC237)</f>
        <v>#N/A</v>
      </c>
      <c r="AE253" s="15" t="e" cm="1">
        <f t="array" aca="1" ref="AE253" ca="1">MMS_PastureBeef_Methane_Equations.VEERG_4_2_1_1__1_TotalAnnualMethaneProductionFromManureManagement(AD221,AE179,AD237)</f>
        <v>#N/A</v>
      </c>
      <c r="AF253" s="15" t="e" cm="1">
        <f t="array" aca="1" ref="AF253" ca="1">MMS_PastureBeef_Methane_Equations.VEERG_4_2_1_1__1_TotalAnnualMethaneProductionFromManureManagement(AE221,AF179,AE237)</f>
        <v>#N/A</v>
      </c>
      <c r="AG253" s="15" t="e" cm="1">
        <f t="array" aca="1" ref="AG253" ca="1">MMS_PastureBeef_Methane_Equations.VEERG_4_2_1_1__1_TotalAnnualMethaneProductionFromManureManagement(AF221,AG179,AF237)</f>
        <v>#N/A</v>
      </c>
      <c r="AH253" s="15" t="e" cm="1">
        <f t="array" aca="1" ref="AH253" ca="1">MMS_PastureBeef_Methane_Equations.VEERG_4_2_1_1__1_TotalAnnualMethaneProductionFromManureManagement(AG221,AH179,AG237)</f>
        <v>#N/A</v>
      </c>
      <c r="AI253" s="16" t="str">
        <f t="shared" si="11"/>
        <v>t CH4</v>
      </c>
      <c r="AJ253" s="16"/>
    </row>
    <row r="254" spans="4:36" ht="20" customHeight="1" x14ac:dyDescent="0.25">
      <c r="W254" s="15" t="str">
        <f>'Input - Pasture Beef'!$D$152</f>
        <v>Pasture range and paddock</v>
      </c>
      <c r="X254" s="15" t="str">
        <f t="shared" si="12"/>
        <v>March</v>
      </c>
      <c r="Y254" s="15" t="e" cm="1">
        <f t="array" aca="1" ref="Y254" ca="1">MMS_PastureBeef_Methane_Equations.VEERG_4_2_1_1__1_TotalAnnualMethaneProductionFromManureManagement(X222,Y180,X238)</f>
        <v>#N/A</v>
      </c>
      <c r="Z254" s="15" t="e" cm="1">
        <f t="array" aca="1" ref="Z254" ca="1">MMS_PastureBeef_Methane_Equations.VEERG_4_2_1_1__1_TotalAnnualMethaneProductionFromManureManagement(Y222,Z180,Y238)</f>
        <v>#N/A</v>
      </c>
      <c r="AA254" s="15" t="e" cm="1">
        <f t="array" aca="1" ref="AA254" ca="1">MMS_PastureBeef_Methane_Equations.VEERG_4_2_1_1__1_TotalAnnualMethaneProductionFromManureManagement(Z222,AA180,Z238)</f>
        <v>#N/A</v>
      </c>
      <c r="AB254" s="15" t="e" cm="1">
        <f t="array" aca="1" ref="AB254" ca="1">MMS_PastureBeef_Methane_Equations.VEERG_4_2_1_1__1_TotalAnnualMethaneProductionFromManureManagement(AA222,AB180,AA238)</f>
        <v>#N/A</v>
      </c>
      <c r="AC254" s="15" t="e" cm="1">
        <f t="array" aca="1" ref="AC254" ca="1">MMS_PastureBeef_Methane_Equations.VEERG_4_2_1_1__1_TotalAnnualMethaneProductionFromManureManagement(AB222,AC180,AB238)</f>
        <v>#N/A</v>
      </c>
      <c r="AD254" s="15" t="e" cm="1">
        <f t="array" aca="1" ref="AD254" ca="1">MMS_PastureBeef_Methane_Equations.VEERG_4_2_1_1__1_TotalAnnualMethaneProductionFromManureManagement(AC222,AD180,AC238)</f>
        <v>#N/A</v>
      </c>
      <c r="AE254" s="15" t="e" cm="1">
        <f t="array" aca="1" ref="AE254" ca="1">MMS_PastureBeef_Methane_Equations.VEERG_4_2_1_1__1_TotalAnnualMethaneProductionFromManureManagement(AD222,AE180,AD238)</f>
        <v>#N/A</v>
      </c>
      <c r="AF254" s="15" t="e" cm="1">
        <f t="array" aca="1" ref="AF254" ca="1">MMS_PastureBeef_Methane_Equations.VEERG_4_2_1_1__1_TotalAnnualMethaneProductionFromManureManagement(AE222,AF180,AE238)</f>
        <v>#N/A</v>
      </c>
      <c r="AG254" s="15" t="e" cm="1">
        <f t="array" aca="1" ref="AG254" ca="1">MMS_PastureBeef_Methane_Equations.VEERG_4_2_1_1__1_TotalAnnualMethaneProductionFromManureManagement(AF222,AG180,AF238)</f>
        <v>#N/A</v>
      </c>
      <c r="AH254" s="15" t="e" cm="1">
        <f t="array" aca="1" ref="AH254" ca="1">MMS_PastureBeef_Methane_Equations.VEERG_4_2_1_1__1_TotalAnnualMethaneProductionFromManureManagement(AG222,AH180,AG238)</f>
        <v>#N/A</v>
      </c>
      <c r="AI254" s="16" t="str">
        <f t="shared" si="11"/>
        <v>t CH4</v>
      </c>
      <c r="AJ254" s="16"/>
    </row>
    <row r="255" spans="4:36" ht="20" customHeight="1" x14ac:dyDescent="0.25">
      <c r="W255" s="15" t="str">
        <f>'Input - Pasture Beef'!$D$152</f>
        <v>Pasture range and paddock</v>
      </c>
      <c r="X255" s="15" t="str">
        <f t="shared" si="12"/>
        <v>April</v>
      </c>
      <c r="Y255" s="15" t="e" cm="1">
        <f t="array" aca="1" ref="Y255" ca="1">MMS_PastureBeef_Methane_Equations.VEERG_4_2_1_1__1_TotalAnnualMethaneProductionFromManureManagement(X223,Y181,X239)</f>
        <v>#N/A</v>
      </c>
      <c r="Z255" s="15" t="e" cm="1">
        <f t="array" aca="1" ref="Z255" ca="1">MMS_PastureBeef_Methane_Equations.VEERG_4_2_1_1__1_TotalAnnualMethaneProductionFromManureManagement(Y223,Z181,Y239)</f>
        <v>#N/A</v>
      </c>
      <c r="AA255" s="15" t="e" cm="1">
        <f t="array" aca="1" ref="AA255" ca="1">MMS_PastureBeef_Methane_Equations.VEERG_4_2_1_1__1_TotalAnnualMethaneProductionFromManureManagement(Z223,AA181,Z239)</f>
        <v>#N/A</v>
      </c>
      <c r="AB255" s="15" t="e" cm="1">
        <f t="array" aca="1" ref="AB255" ca="1">MMS_PastureBeef_Methane_Equations.VEERG_4_2_1_1__1_TotalAnnualMethaneProductionFromManureManagement(AA223,AB181,AA239)</f>
        <v>#N/A</v>
      </c>
      <c r="AC255" s="15" t="e" cm="1">
        <f t="array" aca="1" ref="AC255" ca="1">MMS_PastureBeef_Methane_Equations.VEERG_4_2_1_1__1_TotalAnnualMethaneProductionFromManureManagement(AB223,AC181,AB239)</f>
        <v>#N/A</v>
      </c>
      <c r="AD255" s="15" t="e" cm="1">
        <f t="array" aca="1" ref="AD255" ca="1">MMS_PastureBeef_Methane_Equations.VEERG_4_2_1_1__1_TotalAnnualMethaneProductionFromManureManagement(AC223,AD181,AC239)</f>
        <v>#N/A</v>
      </c>
      <c r="AE255" s="15" t="e" cm="1">
        <f t="array" aca="1" ref="AE255" ca="1">MMS_PastureBeef_Methane_Equations.VEERG_4_2_1_1__1_TotalAnnualMethaneProductionFromManureManagement(AD223,AE181,AD239)</f>
        <v>#N/A</v>
      </c>
      <c r="AF255" s="15" t="e" cm="1">
        <f t="array" aca="1" ref="AF255" ca="1">MMS_PastureBeef_Methane_Equations.VEERG_4_2_1_1__1_TotalAnnualMethaneProductionFromManureManagement(AE223,AF181,AE239)</f>
        <v>#N/A</v>
      </c>
      <c r="AG255" s="15" t="e" cm="1">
        <f t="array" aca="1" ref="AG255" ca="1">MMS_PastureBeef_Methane_Equations.VEERG_4_2_1_1__1_TotalAnnualMethaneProductionFromManureManagement(AF223,AG181,AF239)</f>
        <v>#N/A</v>
      </c>
      <c r="AH255" s="15" t="e" cm="1">
        <f t="array" aca="1" ref="AH255" ca="1">MMS_PastureBeef_Methane_Equations.VEERG_4_2_1_1__1_TotalAnnualMethaneProductionFromManureManagement(AG223,AH181,AG239)</f>
        <v>#N/A</v>
      </c>
      <c r="AI255" s="16" t="str">
        <f t="shared" si="11"/>
        <v>t CH4</v>
      </c>
      <c r="AJ255" s="16"/>
    </row>
    <row r="256" spans="4:36" ht="20" customHeight="1" x14ac:dyDescent="0.25">
      <c r="W256" s="15" t="str">
        <f>'Input - Pasture Beef'!$D$152</f>
        <v>Pasture range and paddock</v>
      </c>
      <c r="X256" s="15" t="str">
        <f t="shared" si="12"/>
        <v>May</v>
      </c>
      <c r="Y256" s="15" t="e" cm="1">
        <f t="array" aca="1" ref="Y256" ca="1">MMS_PastureBeef_Methane_Equations.VEERG_4_2_1_1__1_TotalAnnualMethaneProductionFromManureManagement(X224,Y182,X240)</f>
        <v>#N/A</v>
      </c>
      <c r="Z256" s="15" t="e" cm="1">
        <f t="array" aca="1" ref="Z256" ca="1">MMS_PastureBeef_Methane_Equations.VEERG_4_2_1_1__1_TotalAnnualMethaneProductionFromManureManagement(Y224,Z182,Y240)</f>
        <v>#N/A</v>
      </c>
      <c r="AA256" s="15" t="e" cm="1">
        <f t="array" aca="1" ref="AA256" ca="1">MMS_PastureBeef_Methane_Equations.VEERG_4_2_1_1__1_TotalAnnualMethaneProductionFromManureManagement(Z224,AA182,Z240)</f>
        <v>#N/A</v>
      </c>
      <c r="AB256" s="15" t="e" cm="1">
        <f t="array" aca="1" ref="AB256" ca="1">MMS_PastureBeef_Methane_Equations.VEERG_4_2_1_1__1_TotalAnnualMethaneProductionFromManureManagement(AA224,AB182,AA240)</f>
        <v>#N/A</v>
      </c>
      <c r="AC256" s="15" t="e" cm="1">
        <f t="array" aca="1" ref="AC256" ca="1">MMS_PastureBeef_Methane_Equations.VEERG_4_2_1_1__1_TotalAnnualMethaneProductionFromManureManagement(AB224,AC182,AB240)</f>
        <v>#N/A</v>
      </c>
      <c r="AD256" s="15" t="e" cm="1">
        <f t="array" aca="1" ref="AD256" ca="1">MMS_PastureBeef_Methane_Equations.VEERG_4_2_1_1__1_TotalAnnualMethaneProductionFromManureManagement(AC224,AD182,AC240)</f>
        <v>#N/A</v>
      </c>
      <c r="AE256" s="15" t="e" cm="1">
        <f t="array" aca="1" ref="AE256" ca="1">MMS_PastureBeef_Methane_Equations.VEERG_4_2_1_1__1_TotalAnnualMethaneProductionFromManureManagement(AD224,AE182,AD240)</f>
        <v>#N/A</v>
      </c>
      <c r="AF256" s="15" t="e" cm="1">
        <f t="array" aca="1" ref="AF256" ca="1">MMS_PastureBeef_Methane_Equations.VEERG_4_2_1_1__1_TotalAnnualMethaneProductionFromManureManagement(AE224,AF182,AE240)</f>
        <v>#N/A</v>
      </c>
      <c r="AG256" s="15" t="e" cm="1">
        <f t="array" aca="1" ref="AG256" ca="1">MMS_PastureBeef_Methane_Equations.VEERG_4_2_1_1__1_TotalAnnualMethaneProductionFromManureManagement(AF224,AG182,AF240)</f>
        <v>#N/A</v>
      </c>
      <c r="AH256" s="15" t="e" cm="1">
        <f t="array" aca="1" ref="AH256" ca="1">MMS_PastureBeef_Methane_Equations.VEERG_4_2_1_1__1_TotalAnnualMethaneProductionFromManureManagement(AG224,AH182,AG240)</f>
        <v>#N/A</v>
      </c>
      <c r="AI256" s="16" t="str">
        <f t="shared" si="11"/>
        <v>t CH4</v>
      </c>
      <c r="AJ256" s="16"/>
    </row>
    <row r="257" spans="23:36" ht="20" customHeight="1" x14ac:dyDescent="0.25">
      <c r="W257" s="15" t="str">
        <f>'Input - Pasture Beef'!$D$152</f>
        <v>Pasture range and paddock</v>
      </c>
      <c r="X257" s="15" t="str">
        <f t="shared" si="12"/>
        <v>June</v>
      </c>
      <c r="Y257" s="15" t="e" cm="1">
        <f t="array" aca="1" ref="Y257" ca="1">MMS_PastureBeef_Methane_Equations.VEERG_4_2_1_1__1_TotalAnnualMethaneProductionFromManureManagement(X225,Y183,X241)</f>
        <v>#N/A</v>
      </c>
      <c r="Z257" s="15" t="e" cm="1">
        <f t="array" aca="1" ref="Z257" ca="1">MMS_PastureBeef_Methane_Equations.VEERG_4_2_1_1__1_TotalAnnualMethaneProductionFromManureManagement(Y225,Z183,Y241)</f>
        <v>#N/A</v>
      </c>
      <c r="AA257" s="15" t="e" cm="1">
        <f t="array" aca="1" ref="AA257" ca="1">MMS_PastureBeef_Methane_Equations.VEERG_4_2_1_1__1_TotalAnnualMethaneProductionFromManureManagement(Z225,AA183,Z241)</f>
        <v>#N/A</v>
      </c>
      <c r="AB257" s="15" t="e" cm="1">
        <f t="array" aca="1" ref="AB257" ca="1">MMS_PastureBeef_Methane_Equations.VEERG_4_2_1_1__1_TotalAnnualMethaneProductionFromManureManagement(AA225,AB183,AA241)</f>
        <v>#N/A</v>
      </c>
      <c r="AC257" s="15" t="e" cm="1">
        <f t="array" aca="1" ref="AC257" ca="1">MMS_PastureBeef_Methane_Equations.VEERG_4_2_1_1__1_TotalAnnualMethaneProductionFromManureManagement(AB225,AC183,AB241)</f>
        <v>#N/A</v>
      </c>
      <c r="AD257" s="15" t="e" cm="1">
        <f t="array" aca="1" ref="AD257" ca="1">MMS_PastureBeef_Methane_Equations.VEERG_4_2_1_1__1_TotalAnnualMethaneProductionFromManureManagement(AC225,AD183,AC241)</f>
        <v>#N/A</v>
      </c>
      <c r="AE257" s="15" t="e" cm="1">
        <f t="array" aca="1" ref="AE257" ca="1">MMS_PastureBeef_Methane_Equations.VEERG_4_2_1_1__1_TotalAnnualMethaneProductionFromManureManagement(AD225,AE183,AD241)</f>
        <v>#N/A</v>
      </c>
      <c r="AF257" s="15" t="e" cm="1">
        <f t="array" aca="1" ref="AF257" ca="1">MMS_PastureBeef_Methane_Equations.VEERG_4_2_1_1__1_TotalAnnualMethaneProductionFromManureManagement(AE225,AF183,AE241)</f>
        <v>#N/A</v>
      </c>
      <c r="AG257" s="15" t="e" cm="1">
        <f t="array" aca="1" ref="AG257" ca="1">MMS_PastureBeef_Methane_Equations.VEERG_4_2_1_1__1_TotalAnnualMethaneProductionFromManureManagement(AF225,AG183,AF241)</f>
        <v>#N/A</v>
      </c>
      <c r="AH257" s="15" t="e" cm="1">
        <f t="array" aca="1" ref="AH257" ca="1">MMS_PastureBeef_Methane_Equations.VEERG_4_2_1_1__1_TotalAnnualMethaneProductionFromManureManagement(AG225,AH183,AG241)</f>
        <v>#N/A</v>
      </c>
      <c r="AI257" s="16" t="str">
        <f t="shared" si="11"/>
        <v>t CH4</v>
      </c>
      <c r="AJ257" s="16"/>
    </row>
    <row r="258" spans="23:36" ht="20" customHeight="1" x14ac:dyDescent="0.25">
      <c r="W258" s="15" t="str">
        <f>'Input - Pasture Beef'!$D$152</f>
        <v>Pasture range and paddock</v>
      </c>
      <c r="X258" s="15" t="str">
        <f t="shared" si="12"/>
        <v>July</v>
      </c>
      <c r="Y258" s="15" t="e" cm="1">
        <f t="array" aca="1" ref="Y258" ca="1">MMS_PastureBeef_Methane_Equations.VEERG_4_2_1_1__1_TotalAnnualMethaneProductionFromManureManagement(X226,Y184,X242)</f>
        <v>#N/A</v>
      </c>
      <c r="Z258" s="15" t="e" cm="1">
        <f t="array" aca="1" ref="Z258" ca="1">MMS_PastureBeef_Methane_Equations.VEERG_4_2_1_1__1_TotalAnnualMethaneProductionFromManureManagement(Y226,Z184,Y242)</f>
        <v>#N/A</v>
      </c>
      <c r="AA258" s="15" t="e" cm="1">
        <f t="array" aca="1" ref="AA258" ca="1">MMS_PastureBeef_Methane_Equations.VEERG_4_2_1_1__1_TotalAnnualMethaneProductionFromManureManagement(Z226,AA184,Z242)</f>
        <v>#N/A</v>
      </c>
      <c r="AB258" s="15" t="e" cm="1">
        <f t="array" aca="1" ref="AB258" ca="1">MMS_PastureBeef_Methane_Equations.VEERG_4_2_1_1__1_TotalAnnualMethaneProductionFromManureManagement(AA226,AB184,AA242)</f>
        <v>#N/A</v>
      </c>
      <c r="AC258" s="15" t="e" cm="1">
        <f t="array" aca="1" ref="AC258" ca="1">MMS_PastureBeef_Methane_Equations.VEERG_4_2_1_1__1_TotalAnnualMethaneProductionFromManureManagement(AB226,AC184,AB242)</f>
        <v>#N/A</v>
      </c>
      <c r="AD258" s="15" t="e" cm="1">
        <f t="array" aca="1" ref="AD258" ca="1">MMS_PastureBeef_Methane_Equations.VEERG_4_2_1_1__1_TotalAnnualMethaneProductionFromManureManagement(AC226,AD184,AC242)</f>
        <v>#N/A</v>
      </c>
      <c r="AE258" s="15" t="e" cm="1">
        <f t="array" aca="1" ref="AE258" ca="1">MMS_PastureBeef_Methane_Equations.VEERG_4_2_1_1__1_TotalAnnualMethaneProductionFromManureManagement(AD226,AE184,AD242)</f>
        <v>#N/A</v>
      </c>
      <c r="AF258" s="15" t="e" cm="1">
        <f t="array" aca="1" ref="AF258" ca="1">MMS_PastureBeef_Methane_Equations.VEERG_4_2_1_1__1_TotalAnnualMethaneProductionFromManureManagement(AE226,AF184,AE242)</f>
        <v>#N/A</v>
      </c>
      <c r="AG258" s="15" t="e" cm="1">
        <f t="array" aca="1" ref="AG258" ca="1">MMS_PastureBeef_Methane_Equations.VEERG_4_2_1_1__1_TotalAnnualMethaneProductionFromManureManagement(AF226,AG184,AF242)</f>
        <v>#N/A</v>
      </c>
      <c r="AH258" s="15" t="e" cm="1">
        <f t="array" aca="1" ref="AH258" ca="1">MMS_PastureBeef_Methane_Equations.VEERG_4_2_1_1__1_TotalAnnualMethaneProductionFromManureManagement(AG226,AH184,AG242)</f>
        <v>#N/A</v>
      </c>
      <c r="AI258" s="16" t="str">
        <f t="shared" si="11"/>
        <v>t CH4</v>
      </c>
      <c r="AJ258" s="16"/>
    </row>
    <row r="259" spans="23:36" ht="20" customHeight="1" x14ac:dyDescent="0.25">
      <c r="W259" s="15" t="str">
        <f>'Input - Pasture Beef'!$D$152</f>
        <v>Pasture range and paddock</v>
      </c>
      <c r="X259" s="15" t="str">
        <f t="shared" si="12"/>
        <v>August</v>
      </c>
      <c r="Y259" s="15" t="e" cm="1">
        <f t="array" aca="1" ref="Y259" ca="1">MMS_PastureBeef_Methane_Equations.VEERG_4_2_1_1__1_TotalAnnualMethaneProductionFromManureManagement(X227,Y185,X243)</f>
        <v>#N/A</v>
      </c>
      <c r="Z259" s="15" t="e" cm="1">
        <f t="array" aca="1" ref="Z259" ca="1">MMS_PastureBeef_Methane_Equations.VEERG_4_2_1_1__1_TotalAnnualMethaneProductionFromManureManagement(Y227,Z185,Y243)</f>
        <v>#N/A</v>
      </c>
      <c r="AA259" s="15" t="e" cm="1">
        <f t="array" aca="1" ref="AA259" ca="1">MMS_PastureBeef_Methane_Equations.VEERG_4_2_1_1__1_TotalAnnualMethaneProductionFromManureManagement(Z227,AA185,Z243)</f>
        <v>#N/A</v>
      </c>
      <c r="AB259" s="15" t="e" cm="1">
        <f t="array" aca="1" ref="AB259" ca="1">MMS_PastureBeef_Methane_Equations.VEERG_4_2_1_1__1_TotalAnnualMethaneProductionFromManureManagement(AA227,AB185,AA243)</f>
        <v>#N/A</v>
      </c>
      <c r="AC259" s="15" t="e" cm="1">
        <f t="array" aca="1" ref="AC259" ca="1">MMS_PastureBeef_Methane_Equations.VEERG_4_2_1_1__1_TotalAnnualMethaneProductionFromManureManagement(AB227,AC185,AB243)</f>
        <v>#N/A</v>
      </c>
      <c r="AD259" s="15" t="e" cm="1">
        <f t="array" aca="1" ref="AD259" ca="1">MMS_PastureBeef_Methane_Equations.VEERG_4_2_1_1__1_TotalAnnualMethaneProductionFromManureManagement(AC227,AD185,AC243)</f>
        <v>#N/A</v>
      </c>
      <c r="AE259" s="15" t="e" cm="1">
        <f t="array" aca="1" ref="AE259" ca="1">MMS_PastureBeef_Methane_Equations.VEERG_4_2_1_1__1_TotalAnnualMethaneProductionFromManureManagement(AD227,AE185,AD243)</f>
        <v>#N/A</v>
      </c>
      <c r="AF259" s="15" t="e" cm="1">
        <f t="array" aca="1" ref="AF259" ca="1">MMS_PastureBeef_Methane_Equations.VEERG_4_2_1_1__1_TotalAnnualMethaneProductionFromManureManagement(AE227,AF185,AE243)</f>
        <v>#N/A</v>
      </c>
      <c r="AG259" s="15" t="e" cm="1">
        <f t="array" aca="1" ref="AG259" ca="1">MMS_PastureBeef_Methane_Equations.VEERG_4_2_1_1__1_TotalAnnualMethaneProductionFromManureManagement(AF227,AG185,AF243)</f>
        <v>#N/A</v>
      </c>
      <c r="AH259" s="15" t="e" cm="1">
        <f t="array" aca="1" ref="AH259" ca="1">MMS_PastureBeef_Methane_Equations.VEERG_4_2_1_1__1_TotalAnnualMethaneProductionFromManureManagement(AG227,AH185,AG243)</f>
        <v>#N/A</v>
      </c>
      <c r="AI259" s="16" t="str">
        <f t="shared" si="11"/>
        <v>t CH4</v>
      </c>
      <c r="AJ259" s="16"/>
    </row>
    <row r="260" spans="23:36" ht="20" customHeight="1" x14ac:dyDescent="0.25">
      <c r="W260" s="15" t="str">
        <f>'Input - Pasture Beef'!$D$152</f>
        <v>Pasture range and paddock</v>
      </c>
      <c r="X260" s="15" t="str">
        <f t="shared" si="12"/>
        <v>September</v>
      </c>
      <c r="Y260" s="15" t="e" cm="1">
        <f t="array" aca="1" ref="Y260" ca="1">MMS_PastureBeef_Methane_Equations.VEERG_4_2_1_1__1_TotalAnnualMethaneProductionFromManureManagement(X228,Y186,X244)</f>
        <v>#N/A</v>
      </c>
      <c r="Z260" s="15" t="e" cm="1">
        <f t="array" aca="1" ref="Z260" ca="1">MMS_PastureBeef_Methane_Equations.VEERG_4_2_1_1__1_TotalAnnualMethaneProductionFromManureManagement(Y228,Z186,Y244)</f>
        <v>#N/A</v>
      </c>
      <c r="AA260" s="15" t="e" cm="1">
        <f t="array" aca="1" ref="AA260" ca="1">MMS_PastureBeef_Methane_Equations.VEERG_4_2_1_1__1_TotalAnnualMethaneProductionFromManureManagement(Z228,AA186,Z244)</f>
        <v>#N/A</v>
      </c>
      <c r="AB260" s="15" t="e" cm="1">
        <f t="array" aca="1" ref="AB260" ca="1">MMS_PastureBeef_Methane_Equations.VEERG_4_2_1_1__1_TotalAnnualMethaneProductionFromManureManagement(AA228,AB186,AA244)</f>
        <v>#N/A</v>
      </c>
      <c r="AC260" s="15" t="e" cm="1">
        <f t="array" aca="1" ref="AC260" ca="1">MMS_PastureBeef_Methane_Equations.VEERG_4_2_1_1__1_TotalAnnualMethaneProductionFromManureManagement(AB228,AC186,AB244)</f>
        <v>#N/A</v>
      </c>
      <c r="AD260" s="15" t="e" cm="1">
        <f t="array" aca="1" ref="AD260" ca="1">MMS_PastureBeef_Methane_Equations.VEERG_4_2_1_1__1_TotalAnnualMethaneProductionFromManureManagement(AC228,AD186,AC244)</f>
        <v>#N/A</v>
      </c>
      <c r="AE260" s="15" t="e" cm="1">
        <f t="array" aca="1" ref="AE260" ca="1">MMS_PastureBeef_Methane_Equations.VEERG_4_2_1_1__1_TotalAnnualMethaneProductionFromManureManagement(AD228,AE186,AD244)</f>
        <v>#N/A</v>
      </c>
      <c r="AF260" s="15" t="e" cm="1">
        <f t="array" aca="1" ref="AF260" ca="1">MMS_PastureBeef_Methane_Equations.VEERG_4_2_1_1__1_TotalAnnualMethaneProductionFromManureManagement(AE228,AF186,AE244)</f>
        <v>#N/A</v>
      </c>
      <c r="AG260" s="15" t="e" cm="1">
        <f t="array" aca="1" ref="AG260" ca="1">MMS_PastureBeef_Methane_Equations.VEERG_4_2_1_1__1_TotalAnnualMethaneProductionFromManureManagement(AF228,AG186,AF244)</f>
        <v>#N/A</v>
      </c>
      <c r="AH260" s="15" t="e" cm="1">
        <f t="array" aca="1" ref="AH260" ca="1">MMS_PastureBeef_Methane_Equations.VEERG_4_2_1_1__1_TotalAnnualMethaneProductionFromManureManagement(AG228,AH186,AG244)</f>
        <v>#N/A</v>
      </c>
      <c r="AI260" s="16" t="str">
        <f t="shared" si="11"/>
        <v>t CH4</v>
      </c>
      <c r="AJ260" s="16"/>
    </row>
    <row r="261" spans="23:36" ht="20" customHeight="1" x14ac:dyDescent="0.25">
      <c r="W261" s="15" t="str">
        <f>'Input - Pasture Beef'!$D$152</f>
        <v>Pasture range and paddock</v>
      </c>
      <c r="X261" s="15" t="str">
        <f t="shared" si="12"/>
        <v>October</v>
      </c>
      <c r="Y261" s="15" t="e" cm="1">
        <f t="array" aca="1" ref="Y261" ca="1">MMS_PastureBeef_Methane_Equations.VEERG_4_2_1_1__1_TotalAnnualMethaneProductionFromManureManagement(X229,Y187,X245)</f>
        <v>#N/A</v>
      </c>
      <c r="Z261" s="15" t="e" cm="1">
        <f t="array" aca="1" ref="Z261" ca="1">MMS_PastureBeef_Methane_Equations.VEERG_4_2_1_1__1_TotalAnnualMethaneProductionFromManureManagement(Y229,Z187,Y245)</f>
        <v>#N/A</v>
      </c>
      <c r="AA261" s="15" t="e" cm="1">
        <f t="array" aca="1" ref="AA261" ca="1">MMS_PastureBeef_Methane_Equations.VEERG_4_2_1_1__1_TotalAnnualMethaneProductionFromManureManagement(Z229,AA187,Z245)</f>
        <v>#N/A</v>
      </c>
      <c r="AB261" s="15" t="e" cm="1">
        <f t="array" aca="1" ref="AB261" ca="1">MMS_PastureBeef_Methane_Equations.VEERG_4_2_1_1__1_TotalAnnualMethaneProductionFromManureManagement(AA229,AB187,AA245)</f>
        <v>#N/A</v>
      </c>
      <c r="AC261" s="15" t="e" cm="1">
        <f t="array" aca="1" ref="AC261" ca="1">MMS_PastureBeef_Methane_Equations.VEERG_4_2_1_1__1_TotalAnnualMethaneProductionFromManureManagement(AB229,AC187,AB245)</f>
        <v>#N/A</v>
      </c>
      <c r="AD261" s="15" t="e" cm="1">
        <f t="array" aca="1" ref="AD261" ca="1">MMS_PastureBeef_Methane_Equations.VEERG_4_2_1_1__1_TotalAnnualMethaneProductionFromManureManagement(AC229,AD187,AC245)</f>
        <v>#N/A</v>
      </c>
      <c r="AE261" s="15" t="e" cm="1">
        <f t="array" aca="1" ref="AE261" ca="1">MMS_PastureBeef_Methane_Equations.VEERG_4_2_1_1__1_TotalAnnualMethaneProductionFromManureManagement(AD229,AE187,AD245)</f>
        <v>#N/A</v>
      </c>
      <c r="AF261" s="15" t="e" cm="1">
        <f t="array" aca="1" ref="AF261" ca="1">MMS_PastureBeef_Methane_Equations.VEERG_4_2_1_1__1_TotalAnnualMethaneProductionFromManureManagement(AE229,AF187,AE245)</f>
        <v>#N/A</v>
      </c>
      <c r="AG261" s="15" t="e" cm="1">
        <f t="array" aca="1" ref="AG261" ca="1">MMS_PastureBeef_Methane_Equations.VEERG_4_2_1_1__1_TotalAnnualMethaneProductionFromManureManagement(AF229,AG187,AF245)</f>
        <v>#N/A</v>
      </c>
      <c r="AH261" s="15" t="e" cm="1">
        <f t="array" aca="1" ref="AH261" ca="1">MMS_PastureBeef_Methane_Equations.VEERG_4_2_1_1__1_TotalAnnualMethaneProductionFromManureManagement(AG229,AH187,AG245)</f>
        <v>#N/A</v>
      </c>
      <c r="AI261" s="16" t="str">
        <f t="shared" si="11"/>
        <v>t CH4</v>
      </c>
      <c r="AJ261" s="16"/>
    </row>
    <row r="262" spans="23:36" ht="20" customHeight="1" x14ac:dyDescent="0.25">
      <c r="W262" s="15" t="str">
        <f>'Input - Pasture Beef'!$D$152</f>
        <v>Pasture range and paddock</v>
      </c>
      <c r="X262" s="15" t="str">
        <f t="shared" si="12"/>
        <v>November</v>
      </c>
      <c r="Y262" s="15" t="e" cm="1">
        <f t="array" aca="1" ref="Y262" ca="1">MMS_PastureBeef_Methane_Equations.VEERG_4_2_1_1__1_TotalAnnualMethaneProductionFromManureManagement(X230,Y188,X246)</f>
        <v>#N/A</v>
      </c>
      <c r="Z262" s="15" t="e" cm="1">
        <f t="array" aca="1" ref="Z262" ca="1">MMS_PastureBeef_Methane_Equations.VEERG_4_2_1_1__1_TotalAnnualMethaneProductionFromManureManagement(Y230,Z188,Y246)</f>
        <v>#N/A</v>
      </c>
      <c r="AA262" s="15" t="e" cm="1">
        <f t="array" aca="1" ref="AA262" ca="1">MMS_PastureBeef_Methane_Equations.VEERG_4_2_1_1__1_TotalAnnualMethaneProductionFromManureManagement(Z230,AA188,Z246)</f>
        <v>#N/A</v>
      </c>
      <c r="AB262" s="15" t="e" cm="1">
        <f t="array" aca="1" ref="AB262" ca="1">MMS_PastureBeef_Methane_Equations.VEERG_4_2_1_1__1_TotalAnnualMethaneProductionFromManureManagement(AA230,AB188,AA246)</f>
        <v>#N/A</v>
      </c>
      <c r="AC262" s="15" t="e" cm="1">
        <f t="array" aca="1" ref="AC262" ca="1">MMS_PastureBeef_Methane_Equations.VEERG_4_2_1_1__1_TotalAnnualMethaneProductionFromManureManagement(AB230,AC188,AB246)</f>
        <v>#N/A</v>
      </c>
      <c r="AD262" s="15" t="e" cm="1">
        <f t="array" aca="1" ref="AD262" ca="1">MMS_PastureBeef_Methane_Equations.VEERG_4_2_1_1__1_TotalAnnualMethaneProductionFromManureManagement(AC230,AD188,AC246)</f>
        <v>#N/A</v>
      </c>
      <c r="AE262" s="15" t="e" cm="1">
        <f t="array" aca="1" ref="AE262" ca="1">MMS_PastureBeef_Methane_Equations.VEERG_4_2_1_1__1_TotalAnnualMethaneProductionFromManureManagement(AD230,AE188,AD246)</f>
        <v>#N/A</v>
      </c>
      <c r="AF262" s="15" t="e" cm="1">
        <f t="array" aca="1" ref="AF262" ca="1">MMS_PastureBeef_Methane_Equations.VEERG_4_2_1_1__1_TotalAnnualMethaneProductionFromManureManagement(AE230,AF188,AE246)</f>
        <v>#N/A</v>
      </c>
      <c r="AG262" s="15" t="e" cm="1">
        <f t="array" aca="1" ref="AG262" ca="1">MMS_PastureBeef_Methane_Equations.VEERG_4_2_1_1__1_TotalAnnualMethaneProductionFromManureManagement(AF230,AG188,AF246)</f>
        <v>#N/A</v>
      </c>
      <c r="AH262" s="15" t="e" cm="1">
        <f t="array" aca="1" ref="AH262" ca="1">MMS_PastureBeef_Methane_Equations.VEERG_4_2_1_1__1_TotalAnnualMethaneProductionFromManureManagement(AG230,AH188,AG246)</f>
        <v>#N/A</v>
      </c>
      <c r="AI262" s="16" t="str">
        <f t="shared" si="11"/>
        <v>t CH4</v>
      </c>
      <c r="AJ262" s="16"/>
    </row>
    <row r="263" spans="23:36" ht="20" customHeight="1" x14ac:dyDescent="0.25">
      <c r="W263" s="15" t="str">
        <f>'Input - Pasture Beef'!$D$153</f>
        <v>Anaerobic lagoon</v>
      </c>
      <c r="X263" s="15" t="str">
        <f>W235</f>
        <v>January</v>
      </c>
      <c r="Y263" s="15" t="e" cm="1">
        <f t="array" aca="1" ref="Y263" ca="1">MMS_PastureBeef_Methane_Equations.VEERG_4_2_1_1__1_TotalAnnualMethaneProductionFromManureManagement(X219,Y189,X235)</f>
        <v>#N/A</v>
      </c>
      <c r="Z263" s="15" t="e" cm="1">
        <f t="array" aca="1" ref="Z263" ca="1">MMS_PastureBeef_Methane_Equations.VEERG_4_2_1_1__1_TotalAnnualMethaneProductionFromManureManagement(Y219,Z189,Y235)</f>
        <v>#N/A</v>
      </c>
      <c r="AA263" s="15" t="e" cm="1">
        <f t="array" aca="1" ref="AA263" ca="1">MMS_PastureBeef_Methane_Equations.VEERG_4_2_1_1__1_TotalAnnualMethaneProductionFromManureManagement(Z219,AA189,Z235)</f>
        <v>#N/A</v>
      </c>
      <c r="AB263" s="15" t="e" cm="1">
        <f t="array" aca="1" ref="AB263" ca="1">MMS_PastureBeef_Methane_Equations.VEERG_4_2_1_1__1_TotalAnnualMethaneProductionFromManureManagement(AA219,AB189,AA235)</f>
        <v>#N/A</v>
      </c>
      <c r="AC263" s="15" t="e" cm="1">
        <f t="array" aca="1" ref="AC263" ca="1">MMS_PastureBeef_Methane_Equations.VEERG_4_2_1_1__1_TotalAnnualMethaneProductionFromManureManagement(AB219,AC189,AB235)</f>
        <v>#N/A</v>
      </c>
      <c r="AD263" s="15" t="e" cm="1">
        <f t="array" aca="1" ref="AD263" ca="1">MMS_PastureBeef_Methane_Equations.VEERG_4_2_1_1__1_TotalAnnualMethaneProductionFromManureManagement(AC219,AD189,AC235)</f>
        <v>#N/A</v>
      </c>
      <c r="AE263" s="15" t="e" cm="1">
        <f t="array" aca="1" ref="AE263" ca="1">MMS_PastureBeef_Methane_Equations.VEERG_4_2_1_1__1_TotalAnnualMethaneProductionFromManureManagement(AD219,AE189,AD235)</f>
        <v>#N/A</v>
      </c>
      <c r="AF263" s="15" t="e" cm="1">
        <f t="array" aca="1" ref="AF263" ca="1">MMS_PastureBeef_Methane_Equations.VEERG_4_2_1_1__1_TotalAnnualMethaneProductionFromManureManagement(AE219,AF189,AE235)</f>
        <v>#N/A</v>
      </c>
      <c r="AG263" s="15" t="e" cm="1">
        <f t="array" aca="1" ref="AG263" ca="1">MMS_PastureBeef_Methane_Equations.VEERG_4_2_1_1__1_TotalAnnualMethaneProductionFromManureManagement(AF219,AG189,AF235)</f>
        <v>#N/A</v>
      </c>
      <c r="AH263" s="15" t="e" cm="1">
        <f t="array" aca="1" ref="AH263" ca="1">MMS_PastureBeef_Methane_Equations.VEERG_4_2_1_1__1_TotalAnnualMethaneProductionFromManureManagement(AG219,AH189,AG235)</f>
        <v>#N/A</v>
      </c>
      <c r="AI263" s="16" t="str">
        <f t="shared" si="11"/>
        <v>t CH4</v>
      </c>
      <c r="AJ263" s="16"/>
    </row>
    <row r="264" spans="23:36" ht="20" customHeight="1" x14ac:dyDescent="0.25">
      <c r="W264" s="15" t="str">
        <f>'Input - Pasture Beef'!$D$153</f>
        <v>Anaerobic lagoon</v>
      </c>
      <c r="X264" s="15" t="str">
        <f t="shared" ref="X264:X274" si="13">W236</f>
        <v>January</v>
      </c>
      <c r="Y264" s="15" t="e" cm="1">
        <f t="array" aca="1" ref="Y264" ca="1">MMS_PastureBeef_Methane_Equations.VEERG_4_2_1_1__1_TotalAnnualMethaneProductionFromManureManagement(X220,Y190,X236)</f>
        <v>#N/A</v>
      </c>
      <c r="Z264" s="15" t="e" cm="1">
        <f t="array" aca="1" ref="Z264" ca="1">MMS_PastureBeef_Methane_Equations.VEERG_4_2_1_1__1_TotalAnnualMethaneProductionFromManureManagement(Y220,Z190,Y236)</f>
        <v>#N/A</v>
      </c>
      <c r="AA264" s="15" t="e" cm="1">
        <f t="array" aca="1" ref="AA264" ca="1">MMS_PastureBeef_Methane_Equations.VEERG_4_2_1_1__1_TotalAnnualMethaneProductionFromManureManagement(Z220,AA190,Z236)</f>
        <v>#N/A</v>
      </c>
      <c r="AB264" s="15" t="e" cm="1">
        <f t="array" aca="1" ref="AB264" ca="1">MMS_PastureBeef_Methane_Equations.VEERG_4_2_1_1__1_TotalAnnualMethaneProductionFromManureManagement(AA220,AB190,AA236)</f>
        <v>#N/A</v>
      </c>
      <c r="AC264" s="15" t="e" cm="1">
        <f t="array" aca="1" ref="AC264" ca="1">MMS_PastureBeef_Methane_Equations.VEERG_4_2_1_1__1_TotalAnnualMethaneProductionFromManureManagement(AB220,AC190,AB236)</f>
        <v>#N/A</v>
      </c>
      <c r="AD264" s="15" t="e" cm="1">
        <f t="array" aca="1" ref="AD264" ca="1">MMS_PastureBeef_Methane_Equations.VEERG_4_2_1_1__1_TotalAnnualMethaneProductionFromManureManagement(AC220,AD190,AC236)</f>
        <v>#N/A</v>
      </c>
      <c r="AE264" s="15" t="e" cm="1">
        <f t="array" aca="1" ref="AE264" ca="1">MMS_PastureBeef_Methane_Equations.VEERG_4_2_1_1__1_TotalAnnualMethaneProductionFromManureManagement(AD220,AE190,AD236)</f>
        <v>#N/A</v>
      </c>
      <c r="AF264" s="15" t="e" cm="1">
        <f t="array" aca="1" ref="AF264" ca="1">MMS_PastureBeef_Methane_Equations.VEERG_4_2_1_1__1_TotalAnnualMethaneProductionFromManureManagement(AE220,AF190,AE236)</f>
        <v>#N/A</v>
      </c>
      <c r="AG264" s="15" t="e" cm="1">
        <f t="array" aca="1" ref="AG264" ca="1">MMS_PastureBeef_Methane_Equations.VEERG_4_2_1_1__1_TotalAnnualMethaneProductionFromManureManagement(AF220,AG190,AF236)</f>
        <v>#N/A</v>
      </c>
      <c r="AH264" s="15" t="e" cm="1">
        <f t="array" aca="1" ref="AH264" ca="1">MMS_PastureBeef_Methane_Equations.VEERG_4_2_1_1__1_TotalAnnualMethaneProductionFromManureManagement(AG220,AH190,AG236)</f>
        <v>#N/A</v>
      </c>
      <c r="AI264" s="16" t="str">
        <f t="shared" si="11"/>
        <v>t CH4</v>
      </c>
      <c r="AJ264" s="16"/>
    </row>
    <row r="265" spans="23:36" ht="20" customHeight="1" x14ac:dyDescent="0.25">
      <c r="W265" s="15" t="str">
        <f>'Input - Pasture Beef'!$D$153</f>
        <v>Anaerobic lagoon</v>
      </c>
      <c r="X265" s="15" t="str">
        <f t="shared" si="13"/>
        <v>February</v>
      </c>
      <c r="Y265" s="15" t="e" cm="1">
        <f t="array" aca="1" ref="Y265" ca="1">MMS_PastureBeef_Methane_Equations.VEERG_4_2_1_1__1_TotalAnnualMethaneProductionFromManureManagement(X221,Y191,X237)</f>
        <v>#N/A</v>
      </c>
      <c r="Z265" s="15" t="e" cm="1">
        <f t="array" aca="1" ref="Z265" ca="1">MMS_PastureBeef_Methane_Equations.VEERG_4_2_1_1__1_TotalAnnualMethaneProductionFromManureManagement(Y221,Z191,Y237)</f>
        <v>#N/A</v>
      </c>
      <c r="AA265" s="15" t="e" cm="1">
        <f t="array" aca="1" ref="AA265" ca="1">MMS_PastureBeef_Methane_Equations.VEERG_4_2_1_1__1_TotalAnnualMethaneProductionFromManureManagement(Z221,AA191,Z237)</f>
        <v>#N/A</v>
      </c>
      <c r="AB265" s="15" t="e" cm="1">
        <f t="array" aca="1" ref="AB265" ca="1">MMS_PastureBeef_Methane_Equations.VEERG_4_2_1_1__1_TotalAnnualMethaneProductionFromManureManagement(AA221,AB191,AA237)</f>
        <v>#N/A</v>
      </c>
      <c r="AC265" s="15" t="e" cm="1">
        <f t="array" aca="1" ref="AC265" ca="1">MMS_PastureBeef_Methane_Equations.VEERG_4_2_1_1__1_TotalAnnualMethaneProductionFromManureManagement(AB221,AC191,AB237)</f>
        <v>#N/A</v>
      </c>
      <c r="AD265" s="15" t="e" cm="1">
        <f t="array" aca="1" ref="AD265" ca="1">MMS_PastureBeef_Methane_Equations.VEERG_4_2_1_1__1_TotalAnnualMethaneProductionFromManureManagement(AC221,AD191,AC237)</f>
        <v>#N/A</v>
      </c>
      <c r="AE265" s="15" t="e" cm="1">
        <f t="array" aca="1" ref="AE265" ca="1">MMS_PastureBeef_Methane_Equations.VEERG_4_2_1_1__1_TotalAnnualMethaneProductionFromManureManagement(AD221,AE191,AD237)</f>
        <v>#N/A</v>
      </c>
      <c r="AF265" s="15" t="e" cm="1">
        <f t="array" aca="1" ref="AF265" ca="1">MMS_PastureBeef_Methane_Equations.VEERG_4_2_1_1__1_TotalAnnualMethaneProductionFromManureManagement(AE221,AF191,AE237)</f>
        <v>#N/A</v>
      </c>
      <c r="AG265" s="15" t="e" cm="1">
        <f t="array" aca="1" ref="AG265" ca="1">MMS_PastureBeef_Methane_Equations.VEERG_4_2_1_1__1_TotalAnnualMethaneProductionFromManureManagement(AF221,AG191,AF237)</f>
        <v>#N/A</v>
      </c>
      <c r="AH265" s="15" t="e" cm="1">
        <f t="array" aca="1" ref="AH265" ca="1">MMS_PastureBeef_Methane_Equations.VEERG_4_2_1_1__1_TotalAnnualMethaneProductionFromManureManagement(AG221,AH191,AG237)</f>
        <v>#N/A</v>
      </c>
      <c r="AI265" s="16" t="str">
        <f t="shared" si="11"/>
        <v>t CH4</v>
      </c>
      <c r="AJ265" s="16"/>
    </row>
    <row r="266" spans="23:36" ht="20" customHeight="1" x14ac:dyDescent="0.25">
      <c r="W266" s="15" t="str">
        <f>'Input - Pasture Beef'!$D$153</f>
        <v>Anaerobic lagoon</v>
      </c>
      <c r="X266" s="15" t="str">
        <f t="shared" si="13"/>
        <v>March</v>
      </c>
      <c r="Y266" s="15" t="e" cm="1">
        <f t="array" aca="1" ref="Y266" ca="1">MMS_PastureBeef_Methane_Equations.VEERG_4_2_1_1__1_TotalAnnualMethaneProductionFromManureManagement(X222,Y192,X238)</f>
        <v>#N/A</v>
      </c>
      <c r="Z266" s="15" t="e" cm="1">
        <f t="array" aca="1" ref="Z266" ca="1">MMS_PastureBeef_Methane_Equations.VEERG_4_2_1_1__1_TotalAnnualMethaneProductionFromManureManagement(Y222,Z192,Y238)</f>
        <v>#N/A</v>
      </c>
      <c r="AA266" s="15" t="e" cm="1">
        <f t="array" aca="1" ref="AA266" ca="1">MMS_PastureBeef_Methane_Equations.VEERG_4_2_1_1__1_TotalAnnualMethaneProductionFromManureManagement(Z222,AA192,Z238)</f>
        <v>#N/A</v>
      </c>
      <c r="AB266" s="15" t="e" cm="1">
        <f t="array" aca="1" ref="AB266" ca="1">MMS_PastureBeef_Methane_Equations.VEERG_4_2_1_1__1_TotalAnnualMethaneProductionFromManureManagement(AA222,AB192,AA238)</f>
        <v>#N/A</v>
      </c>
      <c r="AC266" s="15" t="e" cm="1">
        <f t="array" aca="1" ref="AC266" ca="1">MMS_PastureBeef_Methane_Equations.VEERG_4_2_1_1__1_TotalAnnualMethaneProductionFromManureManagement(AB222,AC192,AB238)</f>
        <v>#N/A</v>
      </c>
      <c r="AD266" s="15" t="e" cm="1">
        <f t="array" aca="1" ref="AD266" ca="1">MMS_PastureBeef_Methane_Equations.VEERG_4_2_1_1__1_TotalAnnualMethaneProductionFromManureManagement(AC222,AD192,AC238)</f>
        <v>#N/A</v>
      </c>
      <c r="AE266" s="15" t="e" cm="1">
        <f t="array" aca="1" ref="AE266" ca="1">MMS_PastureBeef_Methane_Equations.VEERG_4_2_1_1__1_TotalAnnualMethaneProductionFromManureManagement(AD222,AE192,AD238)</f>
        <v>#N/A</v>
      </c>
      <c r="AF266" s="15" t="e" cm="1">
        <f t="array" aca="1" ref="AF266" ca="1">MMS_PastureBeef_Methane_Equations.VEERG_4_2_1_1__1_TotalAnnualMethaneProductionFromManureManagement(AE222,AF192,AE238)</f>
        <v>#N/A</v>
      </c>
      <c r="AG266" s="15" t="e" cm="1">
        <f t="array" aca="1" ref="AG266" ca="1">MMS_PastureBeef_Methane_Equations.VEERG_4_2_1_1__1_TotalAnnualMethaneProductionFromManureManagement(AF222,AG192,AF238)</f>
        <v>#N/A</v>
      </c>
      <c r="AH266" s="15" t="e" cm="1">
        <f t="array" aca="1" ref="AH266" ca="1">MMS_PastureBeef_Methane_Equations.VEERG_4_2_1_1__1_TotalAnnualMethaneProductionFromManureManagement(AG222,AH192,AG238)</f>
        <v>#N/A</v>
      </c>
      <c r="AI266" s="16" t="str">
        <f t="shared" si="11"/>
        <v>t CH4</v>
      </c>
      <c r="AJ266" s="16"/>
    </row>
    <row r="267" spans="23:36" ht="20" customHeight="1" x14ac:dyDescent="0.25">
      <c r="W267" s="15" t="str">
        <f>'Input - Pasture Beef'!$D$153</f>
        <v>Anaerobic lagoon</v>
      </c>
      <c r="X267" s="15" t="str">
        <f t="shared" si="13"/>
        <v>April</v>
      </c>
      <c r="Y267" s="15" t="e" cm="1">
        <f t="array" aca="1" ref="Y267" ca="1">MMS_PastureBeef_Methane_Equations.VEERG_4_2_1_1__1_TotalAnnualMethaneProductionFromManureManagement(X223,Y193,X239)</f>
        <v>#N/A</v>
      </c>
      <c r="Z267" s="15" t="e" cm="1">
        <f t="array" aca="1" ref="Z267" ca="1">MMS_PastureBeef_Methane_Equations.VEERG_4_2_1_1__1_TotalAnnualMethaneProductionFromManureManagement(Y223,Z193,Y239)</f>
        <v>#N/A</v>
      </c>
      <c r="AA267" s="15" t="e" cm="1">
        <f t="array" aca="1" ref="AA267" ca="1">MMS_PastureBeef_Methane_Equations.VEERG_4_2_1_1__1_TotalAnnualMethaneProductionFromManureManagement(Z223,AA193,Z239)</f>
        <v>#N/A</v>
      </c>
      <c r="AB267" s="15" t="e" cm="1">
        <f t="array" aca="1" ref="AB267" ca="1">MMS_PastureBeef_Methane_Equations.VEERG_4_2_1_1__1_TotalAnnualMethaneProductionFromManureManagement(AA223,AB193,AA239)</f>
        <v>#N/A</v>
      </c>
      <c r="AC267" s="15" t="e" cm="1">
        <f t="array" aca="1" ref="AC267" ca="1">MMS_PastureBeef_Methane_Equations.VEERG_4_2_1_1__1_TotalAnnualMethaneProductionFromManureManagement(AB223,AC193,AB239)</f>
        <v>#N/A</v>
      </c>
      <c r="AD267" s="15" t="e" cm="1">
        <f t="array" aca="1" ref="AD267" ca="1">MMS_PastureBeef_Methane_Equations.VEERG_4_2_1_1__1_TotalAnnualMethaneProductionFromManureManagement(AC223,AD193,AC239)</f>
        <v>#N/A</v>
      </c>
      <c r="AE267" s="15" t="e" cm="1">
        <f t="array" aca="1" ref="AE267" ca="1">MMS_PastureBeef_Methane_Equations.VEERG_4_2_1_1__1_TotalAnnualMethaneProductionFromManureManagement(AD223,AE193,AD239)</f>
        <v>#N/A</v>
      </c>
      <c r="AF267" s="15" t="e" cm="1">
        <f t="array" aca="1" ref="AF267" ca="1">MMS_PastureBeef_Methane_Equations.VEERG_4_2_1_1__1_TotalAnnualMethaneProductionFromManureManagement(AE223,AF193,AE239)</f>
        <v>#N/A</v>
      </c>
      <c r="AG267" s="15" t="e" cm="1">
        <f t="array" aca="1" ref="AG267" ca="1">MMS_PastureBeef_Methane_Equations.VEERG_4_2_1_1__1_TotalAnnualMethaneProductionFromManureManagement(AF223,AG193,AF239)</f>
        <v>#N/A</v>
      </c>
      <c r="AH267" s="15" t="e" cm="1">
        <f t="array" aca="1" ref="AH267" ca="1">MMS_PastureBeef_Methane_Equations.VEERG_4_2_1_1__1_TotalAnnualMethaneProductionFromManureManagement(AG223,AH193,AG239)</f>
        <v>#N/A</v>
      </c>
      <c r="AI267" s="16" t="str">
        <f t="shared" si="11"/>
        <v>t CH4</v>
      </c>
      <c r="AJ267" s="16"/>
    </row>
    <row r="268" spans="23:36" ht="20" customHeight="1" x14ac:dyDescent="0.25">
      <c r="W268" s="15" t="str">
        <f>'Input - Pasture Beef'!$D$153</f>
        <v>Anaerobic lagoon</v>
      </c>
      <c r="X268" s="15" t="str">
        <f t="shared" si="13"/>
        <v>May</v>
      </c>
      <c r="Y268" s="15" t="e" cm="1">
        <f t="array" aca="1" ref="Y268" ca="1">MMS_PastureBeef_Methane_Equations.VEERG_4_2_1_1__1_TotalAnnualMethaneProductionFromManureManagement(X224,Y194,X240)</f>
        <v>#N/A</v>
      </c>
      <c r="Z268" s="15" t="e" cm="1">
        <f t="array" aca="1" ref="Z268" ca="1">MMS_PastureBeef_Methane_Equations.VEERG_4_2_1_1__1_TotalAnnualMethaneProductionFromManureManagement(Y224,Z194,Y240)</f>
        <v>#N/A</v>
      </c>
      <c r="AA268" s="15" t="e" cm="1">
        <f t="array" aca="1" ref="AA268" ca="1">MMS_PastureBeef_Methane_Equations.VEERG_4_2_1_1__1_TotalAnnualMethaneProductionFromManureManagement(Z224,AA194,Z240)</f>
        <v>#N/A</v>
      </c>
      <c r="AB268" s="15" t="e" cm="1">
        <f t="array" aca="1" ref="AB268" ca="1">MMS_PastureBeef_Methane_Equations.VEERG_4_2_1_1__1_TotalAnnualMethaneProductionFromManureManagement(AA224,AB194,AA240)</f>
        <v>#N/A</v>
      </c>
      <c r="AC268" s="15" t="e" cm="1">
        <f t="array" aca="1" ref="AC268" ca="1">MMS_PastureBeef_Methane_Equations.VEERG_4_2_1_1__1_TotalAnnualMethaneProductionFromManureManagement(AB224,AC194,AB240)</f>
        <v>#N/A</v>
      </c>
      <c r="AD268" s="15" t="e" cm="1">
        <f t="array" aca="1" ref="AD268" ca="1">MMS_PastureBeef_Methane_Equations.VEERG_4_2_1_1__1_TotalAnnualMethaneProductionFromManureManagement(AC224,AD194,AC240)</f>
        <v>#N/A</v>
      </c>
      <c r="AE268" s="15" t="e" cm="1">
        <f t="array" aca="1" ref="AE268" ca="1">MMS_PastureBeef_Methane_Equations.VEERG_4_2_1_1__1_TotalAnnualMethaneProductionFromManureManagement(AD224,AE194,AD240)</f>
        <v>#N/A</v>
      </c>
      <c r="AF268" s="15" t="e" cm="1">
        <f t="array" aca="1" ref="AF268" ca="1">MMS_PastureBeef_Methane_Equations.VEERG_4_2_1_1__1_TotalAnnualMethaneProductionFromManureManagement(AE224,AF194,AE240)</f>
        <v>#N/A</v>
      </c>
      <c r="AG268" s="15" t="e" cm="1">
        <f t="array" aca="1" ref="AG268" ca="1">MMS_PastureBeef_Methane_Equations.VEERG_4_2_1_1__1_TotalAnnualMethaneProductionFromManureManagement(AF224,AG194,AF240)</f>
        <v>#N/A</v>
      </c>
      <c r="AH268" s="15" t="e" cm="1">
        <f t="array" aca="1" ref="AH268" ca="1">MMS_PastureBeef_Methane_Equations.VEERG_4_2_1_1__1_TotalAnnualMethaneProductionFromManureManagement(AG224,AH194,AG240)</f>
        <v>#N/A</v>
      </c>
      <c r="AI268" s="16" t="str">
        <f t="shared" si="11"/>
        <v>t CH4</v>
      </c>
      <c r="AJ268" s="16"/>
    </row>
    <row r="269" spans="23:36" ht="20" customHeight="1" x14ac:dyDescent="0.25">
      <c r="W269" s="15" t="str">
        <f>'Input - Pasture Beef'!$D$153</f>
        <v>Anaerobic lagoon</v>
      </c>
      <c r="X269" s="15" t="str">
        <f t="shared" si="13"/>
        <v>June</v>
      </c>
      <c r="Y269" s="15" t="e" cm="1">
        <f t="array" aca="1" ref="Y269" ca="1">MMS_PastureBeef_Methane_Equations.VEERG_4_2_1_1__1_TotalAnnualMethaneProductionFromManureManagement(X225,Y195,X241)</f>
        <v>#N/A</v>
      </c>
      <c r="Z269" s="15" t="e" cm="1">
        <f t="array" aca="1" ref="Z269" ca="1">MMS_PastureBeef_Methane_Equations.VEERG_4_2_1_1__1_TotalAnnualMethaneProductionFromManureManagement(Y225,Z195,Y241)</f>
        <v>#N/A</v>
      </c>
      <c r="AA269" s="15" t="e" cm="1">
        <f t="array" aca="1" ref="AA269" ca="1">MMS_PastureBeef_Methane_Equations.VEERG_4_2_1_1__1_TotalAnnualMethaneProductionFromManureManagement(Z225,AA195,Z241)</f>
        <v>#N/A</v>
      </c>
      <c r="AB269" s="15" t="e" cm="1">
        <f t="array" aca="1" ref="AB269" ca="1">MMS_PastureBeef_Methane_Equations.VEERG_4_2_1_1__1_TotalAnnualMethaneProductionFromManureManagement(AA225,AB195,AA241)</f>
        <v>#N/A</v>
      </c>
      <c r="AC269" s="15" t="e" cm="1">
        <f t="array" aca="1" ref="AC269" ca="1">MMS_PastureBeef_Methane_Equations.VEERG_4_2_1_1__1_TotalAnnualMethaneProductionFromManureManagement(AB225,AC195,AB241)</f>
        <v>#N/A</v>
      </c>
      <c r="AD269" s="15" t="e" cm="1">
        <f t="array" aca="1" ref="AD269" ca="1">MMS_PastureBeef_Methane_Equations.VEERG_4_2_1_1__1_TotalAnnualMethaneProductionFromManureManagement(AC225,AD195,AC241)</f>
        <v>#N/A</v>
      </c>
      <c r="AE269" s="15" t="e" cm="1">
        <f t="array" aca="1" ref="AE269" ca="1">MMS_PastureBeef_Methane_Equations.VEERG_4_2_1_1__1_TotalAnnualMethaneProductionFromManureManagement(AD225,AE195,AD241)</f>
        <v>#N/A</v>
      </c>
      <c r="AF269" s="15" t="e" cm="1">
        <f t="array" aca="1" ref="AF269" ca="1">MMS_PastureBeef_Methane_Equations.VEERG_4_2_1_1__1_TotalAnnualMethaneProductionFromManureManagement(AE225,AF195,AE241)</f>
        <v>#N/A</v>
      </c>
      <c r="AG269" s="15" t="e" cm="1">
        <f t="array" aca="1" ref="AG269" ca="1">MMS_PastureBeef_Methane_Equations.VEERG_4_2_1_1__1_TotalAnnualMethaneProductionFromManureManagement(AF225,AG195,AF241)</f>
        <v>#N/A</v>
      </c>
      <c r="AH269" s="15" t="e" cm="1">
        <f t="array" aca="1" ref="AH269" ca="1">MMS_PastureBeef_Methane_Equations.VEERG_4_2_1_1__1_TotalAnnualMethaneProductionFromManureManagement(AG225,AH195,AG241)</f>
        <v>#N/A</v>
      </c>
      <c r="AI269" s="16" t="str">
        <f t="shared" si="11"/>
        <v>t CH4</v>
      </c>
      <c r="AJ269" s="16"/>
    </row>
    <row r="270" spans="23:36" ht="20" customHeight="1" x14ac:dyDescent="0.25">
      <c r="W270" s="15" t="str">
        <f>'Input - Pasture Beef'!$D$153</f>
        <v>Anaerobic lagoon</v>
      </c>
      <c r="X270" s="15" t="str">
        <f t="shared" si="13"/>
        <v>July</v>
      </c>
      <c r="Y270" s="15" t="e" cm="1">
        <f t="array" aca="1" ref="Y270" ca="1">MMS_PastureBeef_Methane_Equations.VEERG_4_2_1_1__1_TotalAnnualMethaneProductionFromManureManagement(X226,Y196,X242)</f>
        <v>#N/A</v>
      </c>
      <c r="Z270" s="15" t="e" cm="1">
        <f t="array" aca="1" ref="Z270" ca="1">MMS_PastureBeef_Methane_Equations.VEERG_4_2_1_1__1_TotalAnnualMethaneProductionFromManureManagement(Y226,Z196,Y242)</f>
        <v>#N/A</v>
      </c>
      <c r="AA270" s="15" t="e" cm="1">
        <f t="array" aca="1" ref="AA270" ca="1">MMS_PastureBeef_Methane_Equations.VEERG_4_2_1_1__1_TotalAnnualMethaneProductionFromManureManagement(Z226,AA196,Z242)</f>
        <v>#N/A</v>
      </c>
      <c r="AB270" s="15" t="e" cm="1">
        <f t="array" aca="1" ref="AB270" ca="1">MMS_PastureBeef_Methane_Equations.VEERG_4_2_1_1__1_TotalAnnualMethaneProductionFromManureManagement(AA226,AB196,AA242)</f>
        <v>#N/A</v>
      </c>
      <c r="AC270" s="15" t="e" cm="1">
        <f t="array" aca="1" ref="AC270" ca="1">MMS_PastureBeef_Methane_Equations.VEERG_4_2_1_1__1_TotalAnnualMethaneProductionFromManureManagement(AB226,AC196,AB242)</f>
        <v>#N/A</v>
      </c>
      <c r="AD270" s="15" t="e" cm="1">
        <f t="array" aca="1" ref="AD270" ca="1">MMS_PastureBeef_Methane_Equations.VEERG_4_2_1_1__1_TotalAnnualMethaneProductionFromManureManagement(AC226,AD196,AC242)</f>
        <v>#N/A</v>
      </c>
      <c r="AE270" s="15" t="e" cm="1">
        <f t="array" aca="1" ref="AE270" ca="1">MMS_PastureBeef_Methane_Equations.VEERG_4_2_1_1__1_TotalAnnualMethaneProductionFromManureManagement(AD226,AE196,AD242)</f>
        <v>#N/A</v>
      </c>
      <c r="AF270" s="15" t="e" cm="1">
        <f t="array" aca="1" ref="AF270" ca="1">MMS_PastureBeef_Methane_Equations.VEERG_4_2_1_1__1_TotalAnnualMethaneProductionFromManureManagement(AE226,AF196,AE242)</f>
        <v>#N/A</v>
      </c>
      <c r="AG270" s="15" t="e" cm="1">
        <f t="array" aca="1" ref="AG270" ca="1">MMS_PastureBeef_Methane_Equations.VEERG_4_2_1_1__1_TotalAnnualMethaneProductionFromManureManagement(AF226,AG196,AF242)</f>
        <v>#N/A</v>
      </c>
      <c r="AH270" s="15" t="e" cm="1">
        <f t="array" aca="1" ref="AH270" ca="1">MMS_PastureBeef_Methane_Equations.VEERG_4_2_1_1__1_TotalAnnualMethaneProductionFromManureManagement(AG226,AH196,AG242)</f>
        <v>#N/A</v>
      </c>
      <c r="AI270" s="16" t="str">
        <f t="shared" si="11"/>
        <v>t CH4</v>
      </c>
      <c r="AJ270" s="16"/>
    </row>
    <row r="271" spans="23:36" ht="20" customHeight="1" x14ac:dyDescent="0.25">
      <c r="W271" s="15" t="str">
        <f>'Input - Pasture Beef'!$D$153</f>
        <v>Anaerobic lagoon</v>
      </c>
      <c r="X271" s="15" t="str">
        <f t="shared" si="13"/>
        <v>August</v>
      </c>
      <c r="Y271" s="15" t="e" cm="1">
        <f t="array" aca="1" ref="Y271" ca="1">MMS_PastureBeef_Methane_Equations.VEERG_4_2_1_1__1_TotalAnnualMethaneProductionFromManureManagement(X227,Y197,X243)</f>
        <v>#N/A</v>
      </c>
      <c r="Z271" s="15" t="e" cm="1">
        <f t="array" aca="1" ref="Z271" ca="1">MMS_PastureBeef_Methane_Equations.VEERG_4_2_1_1__1_TotalAnnualMethaneProductionFromManureManagement(Y227,Z197,Y243)</f>
        <v>#N/A</v>
      </c>
      <c r="AA271" s="15" t="e" cm="1">
        <f t="array" aca="1" ref="AA271" ca="1">MMS_PastureBeef_Methane_Equations.VEERG_4_2_1_1__1_TotalAnnualMethaneProductionFromManureManagement(Z227,AA197,Z243)</f>
        <v>#N/A</v>
      </c>
      <c r="AB271" s="15" t="e" cm="1">
        <f t="array" aca="1" ref="AB271" ca="1">MMS_PastureBeef_Methane_Equations.VEERG_4_2_1_1__1_TotalAnnualMethaneProductionFromManureManagement(AA227,AB197,AA243)</f>
        <v>#N/A</v>
      </c>
      <c r="AC271" s="15" t="e" cm="1">
        <f t="array" aca="1" ref="AC271" ca="1">MMS_PastureBeef_Methane_Equations.VEERG_4_2_1_1__1_TotalAnnualMethaneProductionFromManureManagement(AB227,AC197,AB243)</f>
        <v>#N/A</v>
      </c>
      <c r="AD271" s="15" t="e" cm="1">
        <f t="array" aca="1" ref="AD271" ca="1">MMS_PastureBeef_Methane_Equations.VEERG_4_2_1_1__1_TotalAnnualMethaneProductionFromManureManagement(AC227,AD197,AC243)</f>
        <v>#N/A</v>
      </c>
      <c r="AE271" s="15" t="e" cm="1">
        <f t="array" aca="1" ref="AE271" ca="1">MMS_PastureBeef_Methane_Equations.VEERG_4_2_1_1__1_TotalAnnualMethaneProductionFromManureManagement(AD227,AE197,AD243)</f>
        <v>#N/A</v>
      </c>
      <c r="AF271" s="15" t="e" cm="1">
        <f t="array" aca="1" ref="AF271" ca="1">MMS_PastureBeef_Methane_Equations.VEERG_4_2_1_1__1_TotalAnnualMethaneProductionFromManureManagement(AE227,AF197,AE243)</f>
        <v>#N/A</v>
      </c>
      <c r="AG271" s="15" t="e" cm="1">
        <f t="array" aca="1" ref="AG271" ca="1">MMS_PastureBeef_Methane_Equations.VEERG_4_2_1_1__1_TotalAnnualMethaneProductionFromManureManagement(AF227,AG197,AF243)</f>
        <v>#N/A</v>
      </c>
      <c r="AH271" s="15" t="e" cm="1">
        <f t="array" aca="1" ref="AH271" ca="1">MMS_PastureBeef_Methane_Equations.VEERG_4_2_1_1__1_TotalAnnualMethaneProductionFromManureManagement(AG227,AH197,AG243)</f>
        <v>#N/A</v>
      </c>
      <c r="AI271" s="16" t="str">
        <f t="shared" si="11"/>
        <v>t CH4</v>
      </c>
      <c r="AJ271" s="16"/>
    </row>
    <row r="272" spans="23:36" x14ac:dyDescent="0.25" ht="20" customHeight="1">
      <c r="W272" s="15" t="str">
        <f>'Input - Pasture Beef'!$D$153</f>
        <v>Anaerobic lagoon</v>
      </c>
      <c r="X272" s="15" t="str">
        <f t="shared" si="13"/>
        <v>September</v>
      </c>
      <c r="Y272" s="15" t="e" cm="1">
        <f t="array" aca="1" ref="Y272" ca="1">MMS_PastureBeef_Methane_Equations.VEERG_4_2_1_1__1_TotalAnnualMethaneProductionFromManureManagement(X228,Y198,X244)</f>
        <v>#N/A</v>
      </c>
      <c r="Z272" s="15" t="e" cm="1">
        <f t="array" aca="1" ref="Z272" ca="1">MMS_PastureBeef_Methane_Equations.VEERG_4_2_1_1__1_TotalAnnualMethaneProductionFromManureManagement(Y228,Z198,Y244)</f>
        <v>#N/A</v>
      </c>
      <c r="AA272" s="15" t="e" cm="1">
        <f t="array" aca="1" ref="AA272" ca="1">MMS_PastureBeef_Methane_Equations.VEERG_4_2_1_1__1_TotalAnnualMethaneProductionFromManureManagement(Z228,AA198,Z244)</f>
        <v>#N/A</v>
      </c>
      <c r="AB272" s="15" t="e" cm="1">
        <f t="array" aca="1" ref="AB272" ca="1">MMS_PastureBeef_Methane_Equations.VEERG_4_2_1_1__1_TotalAnnualMethaneProductionFromManureManagement(AA228,AB198,AA244)</f>
        <v>#N/A</v>
      </c>
      <c r="AC272" s="15" t="e" cm="1">
        <f t="array" aca="1" ref="AC272" ca="1">MMS_PastureBeef_Methane_Equations.VEERG_4_2_1_1__1_TotalAnnualMethaneProductionFromManureManagement(AB228,AC198,AB244)</f>
        <v>#N/A</v>
      </c>
      <c r="AD272" s="15" t="e" cm="1">
        <f t="array" aca="1" ref="AD272" ca="1">MMS_PastureBeef_Methane_Equations.VEERG_4_2_1_1__1_TotalAnnualMethaneProductionFromManureManagement(AC228,AD198,AC244)</f>
        <v>#N/A</v>
      </c>
      <c r="AE272" s="15" t="e" cm="1">
        <f t="array" aca="1" ref="AE272" ca="1">MMS_PastureBeef_Methane_Equations.VEERG_4_2_1_1__1_TotalAnnualMethaneProductionFromManureManagement(AD228,AE198,AD244)</f>
        <v>#N/A</v>
      </c>
      <c r="AF272" s="15" t="e" cm="1">
        <f t="array" aca="1" ref="AF272" ca="1">MMS_PastureBeef_Methane_Equations.VEERG_4_2_1_1__1_TotalAnnualMethaneProductionFromManureManagement(AE228,AF198,AE244)</f>
        <v>#N/A</v>
      </c>
      <c r="AG272" s="15" t="e" cm="1">
        <f t="array" aca="1" ref="AG272" ca="1">MMS_PastureBeef_Methane_Equations.VEERG_4_2_1_1__1_TotalAnnualMethaneProductionFromManureManagement(AF228,AG198,AF244)</f>
        <v>#N/A</v>
      </c>
      <c r="AH272" s="15" t="e" cm="1">
        <f t="array" aca="1" ref="AH272" ca="1">MMS_PastureBeef_Methane_Equations.VEERG_4_2_1_1__1_TotalAnnualMethaneProductionFromManureManagement(AG228,AH198,AG244)</f>
        <v>#N/A</v>
      </c>
      <c r="AI272" s="16" t="str">
        <f t="shared" si="11"/>
        <v>t CH4</v>
      </c>
      <c r="AJ272" s="16"/>
    </row>
    <row r="273" spans="23:36" x14ac:dyDescent="0.25" ht="20" customHeight="1">
      <c r="W273" s="15" t="str">
        <f>'Input - Pasture Beef'!$D$153</f>
        <v>Anaerobic lagoon</v>
      </c>
      <c r="X273" s="15" t="str">
        <f t="shared" si="13"/>
        <v>October</v>
      </c>
      <c r="Y273" s="15" t="e" cm="1">
        <f t="array" aca="1" ref="Y273" ca="1">MMS_PastureBeef_Methane_Equations.VEERG_4_2_1_1__1_TotalAnnualMethaneProductionFromManureManagement(X229,Y199,X245)</f>
        <v>#N/A</v>
      </c>
      <c r="Z273" s="15" t="e" cm="1">
        <f t="array" aca="1" ref="Z273" ca="1">MMS_PastureBeef_Methane_Equations.VEERG_4_2_1_1__1_TotalAnnualMethaneProductionFromManureManagement(Y229,Z199,Y245)</f>
        <v>#N/A</v>
      </c>
      <c r="AA273" s="15" t="e" cm="1">
        <f t="array" aca="1" ref="AA273" ca="1">MMS_PastureBeef_Methane_Equations.VEERG_4_2_1_1__1_TotalAnnualMethaneProductionFromManureManagement(Z229,AA199,Z245)</f>
        <v>#N/A</v>
      </c>
      <c r="AB273" s="15" t="e" cm="1">
        <f t="array" aca="1" ref="AB273" ca="1">MMS_PastureBeef_Methane_Equations.VEERG_4_2_1_1__1_TotalAnnualMethaneProductionFromManureManagement(AA229,AB199,AA245)</f>
        <v>#N/A</v>
      </c>
      <c r="AC273" s="15" t="e" cm="1">
        <f t="array" aca="1" ref="AC273" ca="1">MMS_PastureBeef_Methane_Equations.VEERG_4_2_1_1__1_TotalAnnualMethaneProductionFromManureManagement(AB229,AC199,AB245)</f>
        <v>#N/A</v>
      </c>
      <c r="AD273" s="15" t="e" cm="1">
        <f t="array" aca="1" ref="AD273" ca="1">MMS_PastureBeef_Methane_Equations.VEERG_4_2_1_1__1_TotalAnnualMethaneProductionFromManureManagement(AC229,AD199,AC245)</f>
        <v>#N/A</v>
      </c>
      <c r="AE273" s="15" t="e" cm="1">
        <f t="array" aca="1" ref="AE273" ca="1">MMS_PastureBeef_Methane_Equations.VEERG_4_2_1_1__1_TotalAnnualMethaneProductionFromManureManagement(AD229,AE199,AD245)</f>
        <v>#N/A</v>
      </c>
      <c r="AF273" s="15" t="e" cm="1">
        <f t="array" aca="1" ref="AF273" ca="1">MMS_PastureBeef_Methane_Equations.VEERG_4_2_1_1__1_TotalAnnualMethaneProductionFromManureManagement(AE229,AF199,AE245)</f>
        <v>#N/A</v>
      </c>
      <c r="AG273" s="15" t="e" cm="1">
        <f t="array" aca="1" ref="AG273" ca="1">MMS_PastureBeef_Methane_Equations.VEERG_4_2_1_1__1_TotalAnnualMethaneProductionFromManureManagement(AF229,AG199,AF245)</f>
        <v>#N/A</v>
      </c>
      <c r="AH273" s="15" t="e" cm="1">
        <f t="array" aca="1" ref="AH273" ca="1">MMS_PastureBeef_Methane_Equations.VEERG_4_2_1_1__1_TotalAnnualMethaneProductionFromManureManagement(AG229,AH199,AG245)</f>
        <v>#N/A</v>
      </c>
      <c r="AI273" s="16" t="str">
        <f t="shared" si="11"/>
        <v>t CH4</v>
      </c>
      <c r="AJ273" s="16"/>
    </row>
    <row r="274" spans="23:36" x14ac:dyDescent="0.25" ht="20" customHeight="1">
      <c r="W274" s="15" t="str">
        <f>'Input - Pasture Beef'!$D$153</f>
        <v>Anaerobic lagoon</v>
      </c>
      <c r="X274" s="15" t="str">
        <f t="shared" si="13"/>
        <v>November</v>
      </c>
      <c r="Y274" s="15" t="e" cm="1">
        <f t="array" aca="1" ref="Y274" ca="1">MMS_PastureBeef_Methane_Equations.VEERG_4_2_1_1__1_TotalAnnualMethaneProductionFromManureManagement(X230,Y200,X246)</f>
        <v>#N/A</v>
      </c>
      <c r="Z274" s="15" t="e" cm="1">
        <f t="array" aca="1" ref="Z274" ca="1">MMS_PastureBeef_Methane_Equations.VEERG_4_2_1_1__1_TotalAnnualMethaneProductionFromManureManagement(Y230,Z200,Y246)</f>
        <v>#N/A</v>
      </c>
      <c r="AA274" s="15" t="e" cm="1">
        <f t="array" aca="1" ref="AA274" ca="1">MMS_PastureBeef_Methane_Equations.VEERG_4_2_1_1__1_TotalAnnualMethaneProductionFromManureManagement(Z230,AA200,Z246)</f>
        <v>#N/A</v>
      </c>
      <c r="AB274" s="15" t="e" cm="1">
        <f t="array" aca="1" ref="AB274" ca="1">MMS_PastureBeef_Methane_Equations.VEERG_4_2_1_1__1_TotalAnnualMethaneProductionFromManureManagement(AA230,AB200,AA246)</f>
        <v>#N/A</v>
      </c>
      <c r="AC274" s="15" t="e" cm="1">
        <f t="array" aca="1" ref="AC274" ca="1">MMS_PastureBeef_Methane_Equations.VEERG_4_2_1_1__1_TotalAnnualMethaneProductionFromManureManagement(AB230,AC200,AB246)</f>
        <v>#N/A</v>
      </c>
      <c r="AD274" s="15" t="e" cm="1">
        <f t="array" aca="1" ref="AD274" ca="1">MMS_PastureBeef_Methane_Equations.VEERG_4_2_1_1__1_TotalAnnualMethaneProductionFromManureManagement(AC230,AD200,AC246)</f>
        <v>#N/A</v>
      </c>
      <c r="AE274" s="15" t="e" cm="1">
        <f t="array" aca="1" ref="AE274" ca="1">MMS_PastureBeef_Methane_Equations.VEERG_4_2_1_1__1_TotalAnnualMethaneProductionFromManureManagement(AD230,AE200,AD246)</f>
        <v>#N/A</v>
      </c>
      <c r="AF274" s="15" t="e" cm="1">
        <f t="array" aca="1" ref="AF274" ca="1">MMS_PastureBeef_Methane_Equations.VEERG_4_2_1_1__1_TotalAnnualMethaneProductionFromManureManagement(AE230,AF200,AE246)</f>
        <v>#N/A</v>
      </c>
      <c r="AG274" s="15" t="e" cm="1">
        <f t="array" aca="1" ref="AG274" ca="1">MMS_PastureBeef_Methane_Equations.VEERG_4_2_1_1__1_TotalAnnualMethaneProductionFromManureManagement(AF230,AG200,AF246)</f>
        <v>#N/A</v>
      </c>
      <c r="AH274" s="15" t="e" cm="1">
        <f t="array" aca="1" ref="AH274" ca="1">MMS_PastureBeef_Methane_Equations.VEERG_4_2_1_1__1_TotalAnnualMethaneProductionFromManureManagement(AG230,AH200,AG246)</f>
        <v>#N/A</v>
      </c>
      <c r="AI274" s="16" t="str">
        <f t="shared" si="11"/>
        <v>t CH4</v>
      </c>
      <c r="AJ274" s="16"/>
    </row>
    <row r="276" spans="23:36" ht="20" x14ac:dyDescent="0.25" customHeight="1">
      <c r="W276" s="90" t="s">
        <v>434</v>
      </c>
      <c r="X276" s="91" t="e">
        <f ca="1">SUM(Y251:AH274)</f>
        <v>#N/A</v>
      </c>
      <c r="Y276" s="95">
        <f ca="1">X242</f>
        <v>31</v>
      </c>
    </row>
    <row r="278" spans="23:36" x14ac:dyDescent="0.25" ht="20" customHeight="1">
      <c r="W278" s="116" t="str" cm="1">
        <f t="array" ref="W278:X279">Common_Equations.Common_ConvertCH4ToCO2e_Arguments()</f>
        <v>ECH4</v>
      </c>
      <c r="X278" s="117" t="str">
        <v>Methane emissions (t CH4)</v>
      </c>
      <c r="Y278" s="118"/>
      <c r="Z278" s="15" t="e">
        <f ca="1">VEERG_4_2_1_1__1_TotalAnnualMethaneProductionFromManureManagement_Result_Method2</f>
        <v>#N/A</v>
      </c>
    </row>
    <row r="279" spans="23:36" x14ac:dyDescent="0.25" ht="20" customHeight="1">
      <c r="W279" s="116" t="str">
        <v>GWPCH4</v>
      </c>
      <c r="X279" s="117" t="str">
        <v>Global warming potential for methane (t CO2-e / t CH4)</v>
      </c>
      <c r="Y279" s="118"/>
      <c r="Z279" s="15">
        <f>Common_InputFunctions.Utility_LookupValueInTableNumber("CH4",Table_GWPData[Gas],Table_GWPData[CO2-e factor])</f>
        <v>28</v>
      </c>
    </row>
    <row r="281" spans="23:36" ht="20" x14ac:dyDescent="0.25" customHeight="1">
      <c r="W281" s="87" t="s">
        <v>436</v>
      </c>
      <c r="X281" s="87" t="e" cm="1">
        <f t="array" aca="1" ref="X281" ca="1">Common_Equations.Common_ConvertN2OToCO2e(Z278,Z279)</f>
        <v>#N/A</v>
      </c>
      <c r="Y281" s="94"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1CA7F163-99E1-4FD4-99A7-5B1D89A96BA7}"/>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5CC81-1F2E-4DF3-8C0F-C2406FE85A6D}">
  <sheetPr>
    <tabColor rgb="FF008000"/>
  </sheetPr>
  <dimension ref="A1:AI291"/>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438</v>
      </c>
    </row>
    <row r="2" spans="1:35" s="3" customFormat="1" ht="20" customHeight="1" x14ac:dyDescent="0.25">
      <c r="A2"/>
    </row>
    <row r="3" spans="1:35" ht="20" customHeight="1" x14ac:dyDescent="0.25">
      <c r="A3" s="5" t="str">
        <f>HYPERLINK("#'Home'!A1", "Home")</f>
        <v>Home</v>
      </c>
      <c r="C3" s="23"/>
      <c r="D3" s="23" t="s">
        <v>136</v>
      </c>
      <c r="E3" s="23"/>
      <c r="F3" s="23"/>
      <c r="G3" s="23"/>
      <c r="H3" s="23"/>
      <c r="I3" s="23"/>
      <c r="J3" s="23"/>
      <c r="K3" s="23"/>
      <c r="L3" s="23"/>
      <c r="M3" s="23"/>
      <c r="N3" s="23"/>
      <c r="O3" s="23"/>
      <c r="P3" s="23"/>
      <c r="Q3" s="23"/>
      <c r="R3" s="23"/>
      <c r="T3" s="23"/>
      <c r="U3" s="23" t="s">
        <v>137</v>
      </c>
      <c r="V3" s="23"/>
      <c r="W3" s="23"/>
      <c r="X3" s="23"/>
      <c r="Y3" s="23"/>
      <c r="Z3" s="23"/>
      <c r="AA3" s="23"/>
      <c r="AB3" s="23"/>
      <c r="AC3" s="23"/>
      <c r="AD3" s="23"/>
      <c r="AE3" s="23"/>
      <c r="AF3" s="23"/>
      <c r="AG3" s="23"/>
      <c r="AH3" s="23"/>
      <c r="AI3" s="23"/>
    </row>
    <row r="4" spans="1:35" ht="20" customHeight="1" x14ac:dyDescent="0.25">
      <c r="A4" s="5" t="str">
        <f>HYPERLINK("#'Results - Activity period'!A1", "Results - Activity period")</f>
        <v>Results - Activity period</v>
      </c>
    </row>
    <row r="5" spans="1:35" ht="20" customHeight="1" x14ac:dyDescent="0.25">
      <c r="A5" s="5" t="str">
        <f>HYPERLINK("#'Results - Product EI'!A1", "Results - Product Emissions Intensity")</f>
        <v>Results - Product Emissions Intensity</v>
      </c>
      <c r="D5" s="2" t="str" cm="1">
        <f t="array" ref="D5">MMS_PastureBeef_Soil_N2ODirect_Equations.VEERG_4_2_1_3__7_RelativeSize_Title()</f>
        <v>Relative size of the cattle</v>
      </c>
    </row>
    <row r="6" spans="1:35" ht="20" customHeight="1" x14ac:dyDescent="0.25">
      <c r="D6" s="17" t="str" cm="1">
        <f t="array" ref="D6">MMS_PastureBeef_Soil_N2ODirect_Equations.VEERG_4_2_1_3__7_RelativeSize_Source()</f>
        <v>VEERG 2026: 4.2.1.3, Equation (7)</v>
      </c>
    </row>
    <row r="7" spans="1:35" ht="20" customHeight="1" x14ac:dyDescent="0.25">
      <c r="D7" s="103" t="s">
        <v>372</v>
      </c>
      <c r="E7" s="103" t="str" cm="1">
        <f t="array" aca="1" ref="E7" ca="1">Common_InputFunctions.Utility_DisplayFunctionName(E33)</f>
        <v>=MMS_PastureBeef_Soil_N2ODirect_Equations.VEERG_4_2_1_3__7_RelativeSize</v>
      </c>
    </row>
    <row r="8" spans="1:35" ht="20" customHeight="1" x14ac:dyDescent="0.25">
      <c r="A8" s="7" t="s">
        <v>0</v>
      </c>
    </row>
    <row r="9" spans="1:35" ht="20" customHeight="1" x14ac:dyDescent="0.25">
      <c r="A9" s="5" t="str">
        <f>HYPERLINK("#'Input - Enterprise'!A1", "Enterprise")</f>
        <v>Enterprise</v>
      </c>
    </row>
    <row r="10" spans="1:35" ht="20" customHeight="1" x14ac:dyDescent="0.25">
      <c r="A10" s="5" t="str">
        <f>HYPERLINK("#'Input - Site'!A1", "Site")</f>
        <v>Site</v>
      </c>
      <c r="D10" s="77" t="s">
        <v>374</v>
      </c>
      <c r="E10" s="1" t="str" cm="1">
        <f t="array" ref="E10">MMS_PastureBeef_Soil_N2ODirect_Equations.VEERG_4_2_1_3__7_RelativeSize_Variable()</f>
        <v>Z_jkl</v>
      </c>
    </row>
    <row r="11" spans="1:35" ht="20" customHeight="1" x14ac:dyDescent="0.25">
      <c r="A11" s="5" t="str">
        <f>HYPERLINK("#'Input - Pasture Beef'!A1", "Pasture Beef")</f>
        <v>Pasture Beef</v>
      </c>
      <c r="D11" s="77" t="s">
        <v>121</v>
      </c>
      <c r="E11" s="9" t="str" cm="1">
        <f t="array" ref="E11">MMS_PastureBeef_Soil_N2ODirect_Equations.VEERG_4_2_1_3__7_RelativeSize_Unit()</f>
        <v>ratio</v>
      </c>
    </row>
    <row r="12" spans="1:35" ht="20" customHeight="1" x14ac:dyDescent="0.25">
      <c r="A12" s="5" t="str">
        <f>HYPERLINK("#'Input - Livestock sales'!A1", "Livestock sales")</f>
        <v>Livestock sales</v>
      </c>
    </row>
    <row r="13" spans="1:35" ht="20" customHeight="1" x14ac:dyDescent="0.25">
      <c r="A13" s="5" t="str">
        <f>HYPERLINK("#'Input - Beef cattle purchases'!A1", "Beef cattle purchases")</f>
        <v>Beef cattle purchases</v>
      </c>
      <c r="D13" s="105" t="str" cm="1">
        <f t="array" ref="D13:E15">_xlfn.CHOOSECOLS(MMS_PastureBeef_Soil_N2ODirect_Equations.VEERG_4_2_1_3__7_RelativeSize_Arguments(),1,2)</f>
        <v>W_jkl</v>
      </c>
      <c r="E13" s="105" t="str">
        <v>liveweight (kg)</v>
      </c>
      <c r="F13" s="105" t="str" cm="1">
        <f t="array" ref="F13:G15">_xlfn.CHOOSECOLS(MMS_PastureBeef_Soil_N2ODirect_Equations.VEERG_4_2_1_3__7_RelativeSize_Arguments(),3,4)</f>
        <v>kg</v>
      </c>
      <c r="G13" s="109" t="str">
        <v>Input</v>
      </c>
      <c r="H13" s="111" t="str" cm="1">
        <f t="array" aca="1" ref="H13" ca="1">HYPERLINK(Common_InputFunctions.Utility_SourceHyperlink(D17), D17)</f>
        <v>M1_Table_W_j_k_l</v>
      </c>
    </row>
    <row r="14" spans="1:35" ht="20" customHeight="1" x14ac:dyDescent="0.25">
      <c r="A14" s="5" t="str">
        <f>HYPERLINK("#'Input - Pasture'!A1", "Pasture")</f>
        <v>Pasture</v>
      </c>
      <c r="D14" s="105" t="str">
        <v>SRW_k</v>
      </c>
      <c r="E14" s="105" t="str">
        <v>standard reference weight (kg)</v>
      </c>
      <c r="F14" s="105" t="str">
        <v>kg</v>
      </c>
      <c r="G14" s="110" t="str">
        <v>Constant</v>
      </c>
      <c r="H14" s="111" t="str" cm="1">
        <f t="array" aca="1" ref="H14" ca="1">HYPERLINK(Common_InputFunctions.Utility_SourceHyperlink(D25), D25)</f>
        <v>Table_SRW_k</v>
      </c>
    </row>
    <row r="15" spans="1:35" ht="20" customHeight="1" x14ac:dyDescent="0.25">
      <c r="A15" s="5" t="str">
        <f>HYPERLINK("#'Input - Fert Prod System'!A1", "Fert Prod System")</f>
        <v>Fert Prod System</v>
      </c>
      <c r="D15" s="105" t="str">
        <v>i</v>
      </c>
      <c r="E15" s="105" t="str">
        <v>state</v>
      </c>
      <c r="F15" s="105" t="str">
        <v/>
      </c>
      <c r="G15" s="109" t="str">
        <v>Input</v>
      </c>
      <c r="H15" s="105">
        <f>X_Cell_Site_State</f>
        <v>0</v>
      </c>
    </row>
    <row r="16" spans="1:35" ht="20" customHeight="1" x14ac:dyDescent="0.25">
      <c r="A16" s="5" t="str">
        <f>HYPERLINK("#'Input - Fertiliser'!A1", "Fertiliser")</f>
        <v>Fertiliser</v>
      </c>
    </row>
    <row r="17" spans="1:34" ht="20" customHeight="1" x14ac:dyDescent="0.25">
      <c r="A17" s="5" t="str">
        <f>HYPERLINK("#'Input - Fuel'!A1", "Fuel")</f>
        <v>Fuel</v>
      </c>
      <c r="D17" s="112" t="s">
        <v>391</v>
      </c>
      <c r="U17" s="112" t="s">
        <v>439</v>
      </c>
    </row>
    <row r="18" spans="1:34" ht="20" customHeight="1" x14ac:dyDescent="0.25">
      <c r="A18" s="5" t="str">
        <f>HYPERLINK("#'Input - Electricity'!A1", "Electricity")</f>
        <v>Electricity</v>
      </c>
      <c r="D18" s="113" t="s">
        <v>392</v>
      </c>
      <c r="U18" s="113" t="s">
        <v>390</v>
      </c>
    </row>
    <row r="19" spans="1:34" ht="20" customHeight="1" x14ac:dyDescent="0.25">
      <c r="A19" s="5" t="str">
        <f>HYPERLINK("#'Input - Common farm inputs'!A1", "Common farm inputs")</f>
        <v>Common farm inputs</v>
      </c>
      <c r="D19" s="114" t="s">
        <v>76</v>
      </c>
      <c r="E19" s="82" t="s">
        <v>326</v>
      </c>
      <c r="F19" s="82" t="s">
        <v>184</v>
      </c>
      <c r="G19" s="82" t="s">
        <v>327</v>
      </c>
      <c r="H19" s="82" t="s">
        <v>328</v>
      </c>
      <c r="I19" s="82" t="s">
        <v>329</v>
      </c>
      <c r="J19" s="82" t="s">
        <v>330</v>
      </c>
      <c r="K19" s="82" t="s">
        <v>331</v>
      </c>
      <c r="L19" s="82" t="s">
        <v>332</v>
      </c>
      <c r="M19" s="82" t="s">
        <v>333</v>
      </c>
      <c r="N19" s="82" t="s">
        <v>334</v>
      </c>
      <c r="U19" s="114" t="s">
        <v>75</v>
      </c>
      <c r="V19" s="82" t="s">
        <v>326</v>
      </c>
      <c r="W19" s="82" t="s">
        <v>184</v>
      </c>
      <c r="X19" s="82" t="s">
        <v>327</v>
      </c>
      <c r="Y19" s="82" t="s">
        <v>328</v>
      </c>
      <c r="Z19" s="82" t="s">
        <v>329</v>
      </c>
      <c r="AA19" s="82" t="s">
        <v>330</v>
      </c>
      <c r="AB19" s="82" t="s">
        <v>331</v>
      </c>
      <c r="AC19" s="82" t="s">
        <v>332</v>
      </c>
      <c r="AD19" s="82" t="s">
        <v>333</v>
      </c>
      <c r="AE19" s="82" t="s">
        <v>334</v>
      </c>
      <c r="AF19" s="16"/>
      <c r="AG19" s="16"/>
      <c r="AH19" s="16"/>
    </row>
    <row r="20" spans="1:34" ht="20" customHeight="1" x14ac:dyDescent="0.25">
      <c r="A20" s="5" t="str">
        <f>HYPERLINK("#'Input - Crop pasture farm input'!A1", "Crop pasture farm input")</f>
        <v>Crop pasture farm input</v>
      </c>
      <c r="D20" s="15" t="str">
        <f>INDEX(X_Table_PastureBeef_Liveweight_Method1,2,1)</f>
        <v>Spring</v>
      </c>
      <c r="E20" s="15" t="e" cm="1">
        <f t="array" aca="1" ref="E20:N23" ca="1">OFFSET(X_Table_PastureBeef_Liveweight_Method1, 1,1, 4,10)</f>
        <v>#N/A</v>
      </c>
      <c r="F20" s="15" t="e">
        <f ca="1"/>
        <v>#N/A</v>
      </c>
      <c r="G20" s="15" t="e">
        <f ca="1"/>
        <v>#N/A</v>
      </c>
      <c r="H20" s="15" t="e">
        <f ca="1"/>
        <v>#N/A</v>
      </c>
      <c r="I20" s="15" t="e">
        <f ca="1"/>
        <v>#N/A</v>
      </c>
      <c r="J20" s="15" t="e">
        <f ca="1"/>
        <v>#N/A</v>
      </c>
      <c r="K20" s="15" t="e">
        <f ca="1"/>
        <v>#N/A</v>
      </c>
      <c r="L20" s="15" t="e">
        <f ca="1"/>
        <v>#N/A</v>
      </c>
      <c r="M20" s="15" t="e">
        <f ca="1"/>
        <v>#N/A</v>
      </c>
      <c r="N20" s="15" t="e">
        <f ca="1"/>
        <v>#N/A</v>
      </c>
      <c r="O20" s="16" t="s">
        <v>343</v>
      </c>
      <c r="U20" s="15" t="str">
        <f>TEXT(X_Cell_Site_StartDate,"mmmm")</f>
        <v>January</v>
      </c>
      <c r="V20" s="15" t="e" cm="1">
        <f t="array" aca="1" ref="V20:AE31" ca="1">OFFSET(X_Table_PastureBeef_Liveweight_Method2, 1,1, 12,10)</f>
        <v>#N/A</v>
      </c>
      <c r="W20" s="15" t="e">
        <f ca="1"/>
        <v>#N/A</v>
      </c>
      <c r="X20" s="15" t="e">
        <f ca="1"/>
        <v>#N/A</v>
      </c>
      <c r="Y20" s="15" t="e">
        <f ca="1"/>
        <v>#N/A</v>
      </c>
      <c r="Z20" s="15" t="e">
        <f ca="1"/>
        <v>#N/A</v>
      </c>
      <c r="AA20" s="15" t="e">
        <f ca="1"/>
        <v>#N/A</v>
      </c>
      <c r="AB20" s="15" t="e">
        <f ca="1"/>
        <v>#N/A</v>
      </c>
      <c r="AC20" s="15" t="e">
        <f ca="1"/>
        <v>#N/A</v>
      </c>
      <c r="AD20" s="15" t="e">
        <f ca="1"/>
        <v>#N/A</v>
      </c>
      <c r="AE20" s="15" t="e">
        <f ca="1"/>
        <v>#N/A</v>
      </c>
      <c r="AF20" s="16" t="s">
        <v>343</v>
      </c>
      <c r="AG20" s="16"/>
      <c r="AH20" s="16"/>
    </row>
    <row r="21" spans="1:34" ht="20" customHeight="1" x14ac:dyDescent="0.25">
      <c r="A21" s="5" t="str">
        <f>HYPERLINK("#'Input - Livestock farm Inputs'!A1", "Livestock farm Inputs")</f>
        <v>Livestock farm Inputs</v>
      </c>
      <c r="D21" s="15" t="str">
        <f>INDEX(X_Table_PastureBeef_Liveweight_Method1,3,1)</f>
        <v>Summer</v>
      </c>
      <c r="E21" s="15" t="e">
        <f ca="1"/>
        <v>#N/A</v>
      </c>
      <c r="F21" s="15" t="e">
        <f ca="1"/>
        <v>#N/A</v>
      </c>
      <c r="G21" s="15" t="e">
        <f ca="1"/>
        <v>#N/A</v>
      </c>
      <c r="H21" s="15" t="e">
        <f ca="1"/>
        <v>#N/A</v>
      </c>
      <c r="I21" s="15" t="e">
        <f ca="1"/>
        <v>#N/A</v>
      </c>
      <c r="J21" s="15" t="e">
        <f ca="1"/>
        <v>#N/A</v>
      </c>
      <c r="K21" s="15" t="e">
        <f ca="1"/>
        <v>#N/A</v>
      </c>
      <c r="L21" s="15" t="e">
        <f ca="1"/>
        <v>#N/A</v>
      </c>
      <c r="M21" s="15" t="e">
        <f ca="1"/>
        <v>#N/A</v>
      </c>
      <c r="N21" s="15" t="e">
        <f ca="1"/>
        <v>#N/A</v>
      </c>
      <c r="O21" s="16" t="s">
        <v>343</v>
      </c>
      <c r="U21" s="15" t="str">
        <f>TEXT(EDATE(X_Cell_Site_StartDate,1), "mmmm")</f>
        <v>January</v>
      </c>
      <c r="V21" s="15" t="e">
        <f ca="1"/>
        <v>#N/A</v>
      </c>
      <c r="W21" s="15" t="e">
        <f ca="1"/>
        <v>#N/A</v>
      </c>
      <c r="X21" s="15" t="e">
        <f ca="1"/>
        <v>#N/A</v>
      </c>
      <c r="Y21" s="15" t="e">
        <f ca="1"/>
        <v>#N/A</v>
      </c>
      <c r="Z21" s="15" t="e">
        <f ca="1"/>
        <v>#N/A</v>
      </c>
      <c r="AA21" s="15" t="e">
        <f ca="1"/>
        <v>#N/A</v>
      </c>
      <c r="AB21" s="15" t="e">
        <f ca="1"/>
        <v>#N/A</v>
      </c>
      <c r="AC21" s="15" t="e">
        <f ca="1"/>
        <v>#N/A</v>
      </c>
      <c r="AD21" s="15" t="e">
        <f ca="1"/>
        <v>#N/A</v>
      </c>
      <c r="AE21" s="15" t="e">
        <f ca="1"/>
        <v>#N/A</v>
      </c>
      <c r="AF21" s="16" t="s">
        <v>343</v>
      </c>
      <c r="AG21" s="16"/>
      <c r="AH21" s="16"/>
    </row>
    <row r="22" spans="1:34" ht="20" customHeight="1" x14ac:dyDescent="0.25">
      <c r="A22" s="5" t="str">
        <f>HYPERLINK("#'Input - Freight'!A1", "Freight")</f>
        <v>Freight</v>
      </c>
      <c r="D22" s="15" t="str">
        <f>INDEX(X_Table_PastureBeef_Liveweight_Method1,4,1)</f>
        <v>Autumn</v>
      </c>
      <c r="E22" s="15" t="e">
        <f ca="1"/>
        <v>#N/A</v>
      </c>
      <c r="F22" s="15" t="e">
        <f ca="1"/>
        <v>#N/A</v>
      </c>
      <c r="G22" s="15" t="e">
        <f ca="1"/>
        <v>#N/A</v>
      </c>
      <c r="H22" s="15" t="e">
        <f ca="1"/>
        <v>#N/A</v>
      </c>
      <c r="I22" s="15" t="e">
        <f ca="1"/>
        <v>#N/A</v>
      </c>
      <c r="J22" s="15" t="e">
        <f ca="1"/>
        <v>#N/A</v>
      </c>
      <c r="K22" s="15" t="e">
        <f ca="1"/>
        <v>#N/A</v>
      </c>
      <c r="L22" s="15" t="e">
        <f ca="1"/>
        <v>#N/A</v>
      </c>
      <c r="M22" s="15" t="e">
        <f ca="1"/>
        <v>#N/A</v>
      </c>
      <c r="N22" s="15" t="e">
        <f ca="1"/>
        <v>#N/A</v>
      </c>
      <c r="O22" s="16" t="s">
        <v>343</v>
      </c>
      <c r="U22" s="15" t="str">
        <f>TEXT(EDATE(X_Cell_Site_StartDate,2), "mmmm")</f>
        <v>February</v>
      </c>
      <c r="V22" s="15" t="e">
        <f ca="1"/>
        <v>#N/A</v>
      </c>
      <c r="W22" s="15" t="e">
        <f ca="1"/>
        <v>#N/A</v>
      </c>
      <c r="X22" s="15" t="e">
        <f ca="1"/>
        <v>#N/A</v>
      </c>
      <c r="Y22" s="15" t="e">
        <f ca="1"/>
        <v>#N/A</v>
      </c>
      <c r="Z22" s="15" t="e">
        <f ca="1"/>
        <v>#N/A</v>
      </c>
      <c r="AA22" s="15" t="e">
        <f ca="1"/>
        <v>#N/A</v>
      </c>
      <c r="AB22" s="15" t="e">
        <f ca="1"/>
        <v>#N/A</v>
      </c>
      <c r="AC22" s="15" t="e">
        <f ca="1"/>
        <v>#N/A</v>
      </c>
      <c r="AD22" s="15" t="e">
        <f ca="1"/>
        <v>#N/A</v>
      </c>
      <c r="AE22" s="15" t="e">
        <f ca="1"/>
        <v>#N/A</v>
      </c>
      <c r="AF22" s="16" t="s">
        <v>343</v>
      </c>
      <c r="AG22" s="16"/>
      <c r="AH22" s="16"/>
    </row>
    <row r="23" spans="1:34" ht="20" customHeight="1" x14ac:dyDescent="0.25">
      <c r="A23" s="5" t="str">
        <f>HYPERLINK("#'Input - Solid waste'!A1", "Solid waste")</f>
        <v>Solid waste</v>
      </c>
      <c r="D23" s="15" t="str">
        <f>INDEX(X_Table_PastureBeef_Liveweight_Method1,5,1)</f>
        <v>Winter</v>
      </c>
      <c r="E23" s="15" t="e">
        <f ca="1"/>
        <v>#N/A</v>
      </c>
      <c r="F23" s="15" t="e">
        <f ca="1"/>
        <v>#N/A</v>
      </c>
      <c r="G23" s="15" t="e">
        <f ca="1"/>
        <v>#N/A</v>
      </c>
      <c r="H23" s="15" t="e">
        <f ca="1"/>
        <v>#N/A</v>
      </c>
      <c r="I23" s="15" t="e">
        <f ca="1"/>
        <v>#N/A</v>
      </c>
      <c r="J23" s="15" t="e">
        <f ca="1"/>
        <v>#N/A</v>
      </c>
      <c r="K23" s="15" t="e">
        <f ca="1"/>
        <v>#N/A</v>
      </c>
      <c r="L23" s="15" t="e">
        <f ca="1"/>
        <v>#N/A</v>
      </c>
      <c r="M23" s="15" t="e">
        <f ca="1"/>
        <v>#N/A</v>
      </c>
      <c r="N23" s="15" t="e">
        <f ca="1"/>
        <v>#N/A</v>
      </c>
      <c r="O23" s="16" t="s">
        <v>343</v>
      </c>
      <c r="U23" s="15" t="str">
        <f>TEXT(EDATE(X_Cell_Site_StartDate,3), "mmmm")</f>
        <v>March</v>
      </c>
      <c r="V23" s="15" t="e">
        <f ca="1"/>
        <v>#N/A</v>
      </c>
      <c r="W23" s="15" t="e">
        <f ca="1"/>
        <v>#N/A</v>
      </c>
      <c r="X23" s="15" t="e">
        <f ca="1"/>
        <v>#N/A</v>
      </c>
      <c r="Y23" s="15" t="e">
        <f ca="1"/>
        <v>#N/A</v>
      </c>
      <c r="Z23" s="15" t="e">
        <f ca="1"/>
        <v>#N/A</v>
      </c>
      <c r="AA23" s="15" t="e">
        <f ca="1"/>
        <v>#N/A</v>
      </c>
      <c r="AB23" s="15" t="e">
        <f ca="1"/>
        <v>#N/A</v>
      </c>
      <c r="AC23" s="15" t="e">
        <f ca="1"/>
        <v>#N/A</v>
      </c>
      <c r="AD23" s="15" t="e">
        <f ca="1"/>
        <v>#N/A</v>
      </c>
      <c r="AE23" s="15" t="e">
        <f ca="1"/>
        <v>#N/A</v>
      </c>
      <c r="AF23" s="16" t="s">
        <v>343</v>
      </c>
      <c r="AG23" s="16"/>
      <c r="AH23" s="16"/>
    </row>
    <row r="24" spans="1:34" ht="20" customHeight="1" x14ac:dyDescent="0.25">
      <c r="A24" s="5" t="str">
        <f>HYPERLINK("#'Input - Manure sent off-site'!A1", "Manure sent off-site")</f>
        <v>Manure sent off-site</v>
      </c>
      <c r="U24" s="15" t="str">
        <f>TEXT(EDATE(X_Cell_Site_StartDate,4), "mmmm")</f>
        <v>April</v>
      </c>
      <c r="V24" s="15" t="e">
        <f ca="1"/>
        <v>#N/A</v>
      </c>
      <c r="W24" s="15" t="e">
        <f ca="1"/>
        <v>#N/A</v>
      </c>
      <c r="X24" s="15" t="e">
        <f ca="1"/>
        <v>#N/A</v>
      </c>
      <c r="Y24" s="15" t="e">
        <f ca="1"/>
        <v>#N/A</v>
      </c>
      <c r="Z24" s="15" t="e">
        <f ca="1"/>
        <v>#N/A</v>
      </c>
      <c r="AA24" s="15" t="e">
        <f ca="1"/>
        <v>#N/A</v>
      </c>
      <c r="AB24" s="15" t="e">
        <f ca="1"/>
        <v>#N/A</v>
      </c>
      <c r="AC24" s="15" t="e">
        <f ca="1"/>
        <v>#N/A</v>
      </c>
      <c r="AD24" s="15" t="e">
        <f ca="1"/>
        <v>#N/A</v>
      </c>
      <c r="AE24" s="15" t="e">
        <f ca="1"/>
        <v>#N/A</v>
      </c>
      <c r="AF24" s="16" t="s">
        <v>343</v>
      </c>
      <c r="AG24" s="16"/>
      <c r="AH24" s="16"/>
    </row>
    <row r="25" spans="1:34" ht="20" customHeight="1" x14ac:dyDescent="0.25">
      <c r="A25" s="5" t="str">
        <f>HYPERLINK("#'Input - Data quality'!A1", "Data quality")</f>
        <v>Data quality</v>
      </c>
      <c r="D25" s="112" t="s">
        <v>440</v>
      </c>
      <c r="U25" s="15" t="str">
        <f>TEXT(EDATE(X_Cell_Site_StartDate,5), "mmmm")</f>
        <v>May</v>
      </c>
      <c r="V25" s="15" t="e">
        <f ca="1"/>
        <v>#N/A</v>
      </c>
      <c r="W25" s="15" t="e">
        <f ca="1"/>
        <v>#N/A</v>
      </c>
      <c r="X25" s="15" t="e">
        <f ca="1"/>
        <v>#N/A</v>
      </c>
      <c r="Y25" s="15" t="e">
        <f ca="1"/>
        <v>#N/A</v>
      </c>
      <c r="Z25" s="15" t="e">
        <f ca="1"/>
        <v>#N/A</v>
      </c>
      <c r="AA25" s="15" t="e">
        <f ca="1"/>
        <v>#N/A</v>
      </c>
      <c r="AB25" s="15" t="e">
        <f ca="1"/>
        <v>#N/A</v>
      </c>
      <c r="AC25" s="15" t="e">
        <f ca="1"/>
        <v>#N/A</v>
      </c>
      <c r="AD25" s="15" t="e">
        <f ca="1"/>
        <v>#N/A</v>
      </c>
      <c r="AE25" s="15" t="e">
        <f ca="1"/>
        <v>#N/A</v>
      </c>
      <c r="AF25" s="16" t="s">
        <v>343</v>
      </c>
      <c r="AG25" s="16"/>
      <c r="AH25" s="16"/>
    </row>
    <row r="26" spans="1:34" ht="20" customHeight="1" x14ac:dyDescent="0.25">
      <c r="D26" s="113" t="s">
        <v>441</v>
      </c>
      <c r="U26" s="15" t="str">
        <f>TEXT(EDATE(X_Cell_Site_StartDate,6), "mmmm")</f>
        <v>June</v>
      </c>
      <c r="V26" s="15" t="e">
        <f ca="1"/>
        <v>#N/A</v>
      </c>
      <c r="W26" s="15" t="e">
        <f ca="1"/>
        <v>#N/A</v>
      </c>
      <c r="X26" s="15" t="e">
        <f ca="1"/>
        <v>#N/A</v>
      </c>
      <c r="Y26" s="15" t="e">
        <f ca="1"/>
        <v>#N/A</v>
      </c>
      <c r="Z26" s="15" t="e">
        <f ca="1"/>
        <v>#N/A</v>
      </c>
      <c r="AA26" s="15" t="e">
        <f ca="1"/>
        <v>#N/A</v>
      </c>
      <c r="AB26" s="15" t="e">
        <f ca="1"/>
        <v>#N/A</v>
      </c>
      <c r="AC26" s="15" t="e">
        <f ca="1"/>
        <v>#N/A</v>
      </c>
      <c r="AD26" s="15" t="e">
        <f ca="1"/>
        <v>#N/A</v>
      </c>
      <c r="AE26" s="15" t="e">
        <f ca="1"/>
        <v>#N/A</v>
      </c>
      <c r="AF26" s="16" t="s">
        <v>343</v>
      </c>
      <c r="AG26" s="16"/>
      <c r="AH26" s="16"/>
    </row>
    <row r="27" spans="1:34" ht="20" customHeight="1" x14ac:dyDescent="0.25">
      <c r="D27" s="114" t="s">
        <v>326</v>
      </c>
      <c r="E27" s="114" t="s">
        <v>184</v>
      </c>
      <c r="F27" s="114" t="s">
        <v>327</v>
      </c>
      <c r="G27" s="114" t="s">
        <v>328</v>
      </c>
      <c r="H27" s="114" t="s">
        <v>329</v>
      </c>
      <c r="I27" s="114" t="s">
        <v>330</v>
      </c>
      <c r="J27" s="114" t="s">
        <v>331</v>
      </c>
      <c r="K27" s="114" t="s">
        <v>332</v>
      </c>
      <c r="L27" s="114" t="s">
        <v>333</v>
      </c>
      <c r="M27" s="114" t="s">
        <v>334</v>
      </c>
      <c r="U27" s="15" t="str">
        <f>TEXT(EDATE(X_Cell_Site_StartDate,7), "mmmm")</f>
        <v>July</v>
      </c>
      <c r="V27" s="15" t="e">
        <f ca="1"/>
        <v>#N/A</v>
      </c>
      <c r="W27" s="15" t="e">
        <f ca="1"/>
        <v>#N/A</v>
      </c>
      <c r="X27" s="15" t="e">
        <f ca="1"/>
        <v>#N/A</v>
      </c>
      <c r="Y27" s="15" t="e">
        <f ca="1"/>
        <v>#N/A</v>
      </c>
      <c r="Z27" s="15" t="e">
        <f ca="1"/>
        <v>#N/A</v>
      </c>
      <c r="AA27" s="15" t="e">
        <f ca="1"/>
        <v>#N/A</v>
      </c>
      <c r="AB27" s="15" t="e">
        <f ca="1"/>
        <v>#N/A</v>
      </c>
      <c r="AC27" s="15" t="e">
        <f ca="1"/>
        <v>#N/A</v>
      </c>
      <c r="AD27" s="15" t="e">
        <f ca="1"/>
        <v>#N/A</v>
      </c>
      <c r="AE27" s="15" t="e">
        <f ca="1"/>
        <v>#N/A</v>
      </c>
      <c r="AF27" s="16" t="s">
        <v>343</v>
      </c>
      <c r="AG27" s="16"/>
      <c r="AH27" s="16"/>
    </row>
    <row r="28" spans="1:34" ht="20" customHeight="1" x14ac:dyDescent="0.25">
      <c r="A28" s="6" t="s">
        <v>2</v>
      </c>
      <c r="D28" s="15" t="str">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
      </c>
      <c r="E28" s="15" t="str">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
      </c>
      <c r="F28" s="15" t="str">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
      </c>
      <c r="G28" s="15" t="str">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
      </c>
      <c r="H28" s="15" t="str">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
      </c>
      <c r="I28" s="15" t="str">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
      </c>
      <c r="J28" s="15" t="str">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
      </c>
      <c r="K28" s="15" t="str">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
      </c>
      <c r="L28" s="15" t="str">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
      </c>
      <c r="M28" s="15" t="str">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
      </c>
      <c r="N28" s="16" t="s">
        <v>343</v>
      </c>
      <c r="U28" s="15" t="str">
        <f>TEXT(EDATE(X_Cell_Site_StartDate,8), "mmmm")</f>
        <v>August</v>
      </c>
      <c r="V28" s="15" t="e">
        <f ca="1"/>
        <v>#N/A</v>
      </c>
      <c r="W28" s="15" t="e">
        <f ca="1"/>
        <v>#N/A</v>
      </c>
      <c r="X28" s="15" t="e">
        <f ca="1"/>
        <v>#N/A</v>
      </c>
      <c r="Y28" s="15" t="e">
        <f ca="1"/>
        <v>#N/A</v>
      </c>
      <c r="Z28" s="15" t="e">
        <f ca="1"/>
        <v>#N/A</v>
      </c>
      <c r="AA28" s="15" t="e">
        <f ca="1"/>
        <v>#N/A</v>
      </c>
      <c r="AB28" s="15" t="e">
        <f ca="1"/>
        <v>#N/A</v>
      </c>
      <c r="AC28" s="15" t="e">
        <f ca="1"/>
        <v>#N/A</v>
      </c>
      <c r="AD28" s="15" t="e">
        <f ca="1"/>
        <v>#N/A</v>
      </c>
      <c r="AE28" s="15" t="e">
        <f ca="1"/>
        <v>#N/A</v>
      </c>
      <c r="AF28" s="16" t="s">
        <v>343</v>
      </c>
      <c r="AG28" s="16"/>
      <c r="AH28" s="16"/>
    </row>
    <row r="29" spans="1:34" ht="20" customHeight="1" x14ac:dyDescent="0.25">
      <c r="A29" s="5" t="str">
        <f>HYPERLINK("#'3.2.1.1-2 Enteric Methane'!A1", "3.2.1.1-2 Enteric Methane")</f>
        <v>3.2.1.1-2 Enteric Methane</v>
      </c>
      <c r="U29" s="15" t="str">
        <f>TEXT(EDATE(X_Cell_Site_StartDate,9), "mmmm")</f>
        <v>September</v>
      </c>
      <c r="V29" s="15" t="e">
        <f ca="1"/>
        <v>#N/A</v>
      </c>
      <c r="W29" s="15" t="e">
        <f ca="1"/>
        <v>#N/A</v>
      </c>
      <c r="X29" s="15" t="e">
        <f ca="1"/>
        <v>#N/A</v>
      </c>
      <c r="Y29" s="15" t="e">
        <f ca="1"/>
        <v>#N/A</v>
      </c>
      <c r="Z29" s="15" t="e">
        <f ca="1"/>
        <v>#N/A</v>
      </c>
      <c r="AA29" s="15" t="e">
        <f ca="1"/>
        <v>#N/A</v>
      </c>
      <c r="AB29" s="15" t="e">
        <f ca="1"/>
        <v>#N/A</v>
      </c>
      <c r="AC29" s="15" t="e">
        <f ca="1"/>
        <v>#N/A</v>
      </c>
      <c r="AD29" s="15" t="e">
        <f ca="1"/>
        <v>#N/A</v>
      </c>
      <c r="AE29" s="15" t="e">
        <f ca="1"/>
        <v>#N/A</v>
      </c>
      <c r="AF29" s="16" t="s">
        <v>343</v>
      </c>
      <c r="AG29" s="16"/>
      <c r="AH29" s="16"/>
    </row>
    <row r="30" spans="1:34" ht="20" customHeight="1" x14ac:dyDescent="0.25">
      <c r="A30" s="5" t="str">
        <f>HYPERLINK("#'4.2.1.1-2 Methane'!A1", "4.2.1.1-2 Manure methane")</f>
        <v>4.2.1.1-2 Manure methane</v>
      </c>
      <c r="D30" s="112" t="s">
        <v>442</v>
      </c>
      <c r="U30" s="15" t="str">
        <f>TEXT(EDATE(X_Cell_Site_StartDate,10), "mmmm")</f>
        <v>October</v>
      </c>
      <c r="V30" s="15" t="e">
        <f ca="1"/>
        <v>#N/A</v>
      </c>
      <c r="W30" s="15" t="e">
        <f ca="1"/>
        <v>#N/A</v>
      </c>
      <c r="X30" s="15" t="e">
        <f ca="1"/>
        <v>#N/A</v>
      </c>
      <c r="Y30" s="15" t="e">
        <f ca="1"/>
        <v>#N/A</v>
      </c>
      <c r="Z30" s="15" t="e">
        <f ca="1"/>
        <v>#N/A</v>
      </c>
      <c r="AA30" s="15" t="e">
        <f ca="1"/>
        <v>#N/A</v>
      </c>
      <c r="AB30" s="15" t="e">
        <f ca="1"/>
        <v>#N/A</v>
      </c>
      <c r="AC30" s="15" t="e">
        <f ca="1"/>
        <v>#N/A</v>
      </c>
      <c r="AD30" s="15" t="e">
        <f ca="1"/>
        <v>#N/A</v>
      </c>
      <c r="AE30" s="15" t="e">
        <f ca="1"/>
        <v>#N/A</v>
      </c>
      <c r="AF30" s="16" t="s">
        <v>343</v>
      </c>
      <c r="AG30" s="16"/>
      <c r="AH30" s="16"/>
    </row>
    <row r="31" spans="1:34" ht="20" customHeight="1" x14ac:dyDescent="0.25">
      <c r="A31" s="104" t="str">
        <f>HYPERLINK("#'4.2.1.3-4 Soil direct N20'!A1", "4.2.1.3-4 Soil direct N2O")</f>
        <v>4.2.1.3-4 Soil direct N2O</v>
      </c>
      <c r="D31" s="113" t="s">
        <v>443</v>
      </c>
      <c r="U31" s="15" t="str">
        <f>TEXT(EDATE(X_Cell_Site_StartDate,11), "mmmm")</f>
        <v>November</v>
      </c>
      <c r="V31" s="15" t="e">
        <f ca="1"/>
        <v>#N/A</v>
      </c>
      <c r="W31" s="15" t="e">
        <f ca="1"/>
        <v>#N/A</v>
      </c>
      <c r="X31" s="15" t="e">
        <f ca="1"/>
        <v>#N/A</v>
      </c>
      <c r="Y31" s="15" t="e">
        <f ca="1"/>
        <v>#N/A</v>
      </c>
      <c r="Z31" s="15" t="e">
        <f ca="1"/>
        <v>#N/A</v>
      </c>
      <c r="AA31" s="15" t="e">
        <f ca="1"/>
        <v>#N/A</v>
      </c>
      <c r="AB31" s="15" t="e">
        <f ca="1"/>
        <v>#N/A</v>
      </c>
      <c r="AC31" s="15" t="e">
        <f ca="1"/>
        <v>#N/A</v>
      </c>
      <c r="AD31" s="15" t="e">
        <f ca="1"/>
        <v>#N/A</v>
      </c>
      <c r="AE31" s="15" t="e">
        <f ca="1"/>
        <v>#N/A</v>
      </c>
      <c r="AF31" s="16" t="s">
        <v>343</v>
      </c>
      <c r="AG31" s="16"/>
      <c r="AH31" s="16"/>
    </row>
    <row r="32" spans="1:34" ht="20" customHeight="1" x14ac:dyDescent="0.25">
      <c r="A32" s="5" t="str">
        <f>HYPERLINK("#'4.2.1.5-6 Soil Atmos Dep'!A1", "4.2.1.5-6 Soil atm. deposition")</f>
        <v>4.2.1.5-6 Soil atm. deposition</v>
      </c>
      <c r="D32" s="114" t="s">
        <v>76</v>
      </c>
      <c r="E32" s="114" t="s">
        <v>326</v>
      </c>
      <c r="F32" s="114" t="s">
        <v>184</v>
      </c>
      <c r="G32" s="114" t="s">
        <v>327</v>
      </c>
      <c r="H32" s="114" t="s">
        <v>328</v>
      </c>
      <c r="I32" s="114" t="s">
        <v>329</v>
      </c>
      <c r="J32" s="114" t="s">
        <v>330</v>
      </c>
      <c r="K32" s="114" t="s">
        <v>331</v>
      </c>
      <c r="L32" s="114" t="s">
        <v>332</v>
      </c>
      <c r="M32" s="114" t="s">
        <v>333</v>
      </c>
      <c r="N32" s="114" t="s">
        <v>334</v>
      </c>
    </row>
    <row r="33" spans="1:34" ht="20" customHeight="1" x14ac:dyDescent="0.25">
      <c r="A33" s="5" t="str">
        <f>HYPERLINK("#'4.2.1.7-8 Soil leach runoff'!A1", "4.2.1.7-8 Soil leach &amp; runoff")</f>
        <v>4.2.1.7-8 Soil leach &amp; runoff</v>
      </c>
      <c r="D33" s="15" t="str">
        <f>INDEX(X_Table_PastureBeef_Liveweight_Method1,2,1)</f>
        <v>Spring</v>
      </c>
      <c r="E33" s="15" t="e" cm="1">
        <f t="array" aca="1" ref="E33" ca="1">MMS_PastureBeef_Soil_N2ODirect_Equations.VEERG_4_2_1_3__7_RelativeSize(E20,D$28)</f>
        <v>#N/A</v>
      </c>
      <c r="F33" s="15" t="e" cm="1">
        <f t="array" aca="1" ref="F33" ca="1">MMS_PastureBeef_Soil_N2ODirect_Equations.VEERG_4_2_1_3__7_RelativeSize(F20,E$28)</f>
        <v>#N/A</v>
      </c>
      <c r="G33" s="15" t="e" cm="1">
        <f t="array" aca="1" ref="G33" ca="1">MMS_PastureBeef_Soil_N2ODirect_Equations.VEERG_4_2_1_3__7_RelativeSize(G20,F$28)</f>
        <v>#N/A</v>
      </c>
      <c r="H33" s="15" t="e" cm="1">
        <f t="array" aca="1" ref="H33" ca="1">MMS_PastureBeef_Soil_N2ODirect_Equations.VEERG_4_2_1_3__7_RelativeSize(H20,G$28)</f>
        <v>#N/A</v>
      </c>
      <c r="I33" s="15" t="e" cm="1">
        <f t="array" aca="1" ref="I33" ca="1">MMS_PastureBeef_Soil_N2ODirect_Equations.VEERG_4_2_1_3__7_RelativeSize(I20,H$28)</f>
        <v>#N/A</v>
      </c>
      <c r="J33" s="15" t="e" cm="1">
        <f t="array" aca="1" ref="J33" ca="1">MMS_PastureBeef_Soil_N2ODirect_Equations.VEERG_4_2_1_3__7_RelativeSize(J20,I$28)</f>
        <v>#N/A</v>
      </c>
      <c r="K33" s="15" t="e" cm="1">
        <f t="array" aca="1" ref="K33" ca="1">MMS_PastureBeef_Soil_N2ODirect_Equations.VEERG_4_2_1_3__7_RelativeSize(K20,J$28)</f>
        <v>#N/A</v>
      </c>
      <c r="L33" s="15" t="e" cm="1">
        <f t="array" aca="1" ref="L33" ca="1">MMS_PastureBeef_Soil_N2ODirect_Equations.VEERG_4_2_1_3__7_RelativeSize(L20,K$28)</f>
        <v>#N/A</v>
      </c>
      <c r="M33" s="15" t="e" cm="1">
        <f t="array" aca="1" ref="M33" ca="1">MMS_PastureBeef_Soil_N2ODirect_Equations.VEERG_4_2_1_3__7_RelativeSize(M20,L$28)</f>
        <v>#N/A</v>
      </c>
      <c r="N33" s="15" t="e" cm="1">
        <f t="array" aca="1" ref="N33" ca="1">MMS_PastureBeef_Soil_N2ODirect_Equations.VEERG_4_2_1_3__7_RelativeSize(N20,M$28)</f>
        <v>#N/A</v>
      </c>
      <c r="O33" s="16" t="str">
        <f>$E$11</f>
        <v>ratio</v>
      </c>
      <c r="U33" s="112" t="s">
        <v>444</v>
      </c>
    </row>
    <row r="34" spans="1:34" ht="20" customHeight="1" x14ac:dyDescent="0.25">
      <c r="A34" s="5" t="str">
        <f>HYPERLINK("#'5.1.1.1-2 Inorganic fert N2O'!A1", "5.1.1.1-2 Inorganic fert N2O")</f>
        <v>5.1.1.1-2 Inorganic fert N2O</v>
      </c>
      <c r="D34" s="15" t="str">
        <f>INDEX(X_Table_PastureBeef_Liveweight_Method1,3,1)</f>
        <v>Summer</v>
      </c>
      <c r="E34" s="15" t="e" cm="1">
        <f t="array" aca="1" ref="E34" ca="1">MMS_PastureBeef_Soil_N2ODirect_Equations.VEERG_4_2_1_3__7_RelativeSize(E21,D$28)</f>
        <v>#N/A</v>
      </c>
      <c r="F34" s="15" t="e" cm="1">
        <f t="array" aca="1" ref="F34" ca="1">MMS_PastureBeef_Soil_N2ODirect_Equations.VEERG_4_2_1_3__7_RelativeSize(F21,E$28)</f>
        <v>#N/A</v>
      </c>
      <c r="G34" s="15" t="e" cm="1">
        <f t="array" aca="1" ref="G34" ca="1">MMS_PastureBeef_Soil_N2ODirect_Equations.VEERG_4_2_1_3__7_RelativeSize(G21,F$28)</f>
        <v>#N/A</v>
      </c>
      <c r="H34" s="15" t="e" cm="1">
        <f t="array" aca="1" ref="H34" ca="1">MMS_PastureBeef_Soil_N2ODirect_Equations.VEERG_4_2_1_3__7_RelativeSize(H21,G$28)</f>
        <v>#N/A</v>
      </c>
      <c r="I34" s="15" t="e" cm="1">
        <f t="array" aca="1" ref="I34" ca="1">MMS_PastureBeef_Soil_N2ODirect_Equations.VEERG_4_2_1_3__7_RelativeSize(I21,H$28)</f>
        <v>#N/A</v>
      </c>
      <c r="J34" s="15" t="e" cm="1">
        <f t="array" aca="1" ref="J34" ca="1">MMS_PastureBeef_Soil_N2ODirect_Equations.VEERG_4_2_1_3__7_RelativeSize(J21,I$28)</f>
        <v>#N/A</v>
      </c>
      <c r="K34" s="15" t="e" cm="1">
        <f t="array" aca="1" ref="K34" ca="1">MMS_PastureBeef_Soil_N2ODirect_Equations.VEERG_4_2_1_3__7_RelativeSize(K21,J$28)</f>
        <v>#N/A</v>
      </c>
      <c r="L34" s="15" t="e" cm="1">
        <f t="array" aca="1" ref="L34" ca="1">MMS_PastureBeef_Soil_N2ODirect_Equations.VEERG_4_2_1_3__7_RelativeSize(L21,K$28)</f>
        <v>#N/A</v>
      </c>
      <c r="M34" s="15" t="e" cm="1">
        <f t="array" aca="1" ref="M34" ca="1">MMS_PastureBeef_Soil_N2ODirect_Equations.VEERG_4_2_1_3__7_RelativeSize(M21,L$28)</f>
        <v>#N/A</v>
      </c>
      <c r="N34" s="15" t="e" cm="1">
        <f t="array" aca="1" ref="N34" ca="1">MMS_PastureBeef_Soil_N2ODirect_Equations.VEERG_4_2_1_3__7_RelativeSize(N21,M$28)</f>
        <v>#N/A</v>
      </c>
      <c r="O34" s="16" t="str">
        <f t="shared" ref="O34:O36" si="0">$E$11</f>
        <v>ratio</v>
      </c>
      <c r="U34" s="113" t="s">
        <v>445</v>
      </c>
    </row>
    <row r="35" spans="1:34" ht="20" customHeight="1" x14ac:dyDescent="0.25">
      <c r="A35" s="5" t="str">
        <f>HYPERLINK("#'5.1.1.3-4 Inorganic fert CO2'!A1", "5.1.1.3-4 Inorganic fert CO2")</f>
        <v>5.1.1.3-4 Inorganic fert CO2</v>
      </c>
      <c r="D35" s="15" t="str">
        <f>INDEX(X_Table_PastureBeef_Liveweight_Method1,4,1)</f>
        <v>Autumn</v>
      </c>
      <c r="E35" s="15" t="e" cm="1">
        <f t="array" aca="1" ref="E35" ca="1">MMS_PastureBeef_Soil_N2ODirect_Equations.VEERG_4_2_1_3__7_RelativeSize(E22,D$28)</f>
        <v>#N/A</v>
      </c>
      <c r="F35" s="15" t="e" cm="1">
        <f t="array" aca="1" ref="F35" ca="1">MMS_PastureBeef_Soil_N2ODirect_Equations.VEERG_4_2_1_3__7_RelativeSize(F22,E$28)</f>
        <v>#N/A</v>
      </c>
      <c r="G35" s="15" t="e" cm="1">
        <f t="array" aca="1" ref="G35" ca="1">MMS_PastureBeef_Soil_N2ODirect_Equations.VEERG_4_2_1_3__7_RelativeSize(G22,F$28)</f>
        <v>#N/A</v>
      </c>
      <c r="H35" s="15" t="e" cm="1">
        <f t="array" aca="1" ref="H35" ca="1">MMS_PastureBeef_Soil_N2ODirect_Equations.VEERG_4_2_1_3__7_RelativeSize(H22,G$28)</f>
        <v>#N/A</v>
      </c>
      <c r="I35" s="15" t="e" cm="1">
        <f t="array" aca="1" ref="I35" ca="1">MMS_PastureBeef_Soil_N2ODirect_Equations.VEERG_4_2_1_3__7_RelativeSize(I22,H$28)</f>
        <v>#N/A</v>
      </c>
      <c r="J35" s="15" t="e" cm="1">
        <f t="array" aca="1" ref="J35" ca="1">MMS_PastureBeef_Soil_N2ODirect_Equations.VEERG_4_2_1_3__7_RelativeSize(J22,I$28)</f>
        <v>#N/A</v>
      </c>
      <c r="K35" s="15" t="e" cm="1">
        <f t="array" aca="1" ref="K35" ca="1">MMS_PastureBeef_Soil_N2ODirect_Equations.VEERG_4_2_1_3__7_RelativeSize(K22,J$28)</f>
        <v>#N/A</v>
      </c>
      <c r="L35" s="15" t="e" cm="1">
        <f t="array" aca="1" ref="L35" ca="1">MMS_PastureBeef_Soil_N2ODirect_Equations.VEERG_4_2_1_3__7_RelativeSize(L22,K$28)</f>
        <v>#N/A</v>
      </c>
      <c r="M35" s="15" t="e" cm="1">
        <f t="array" aca="1" ref="M35" ca="1">MMS_PastureBeef_Soil_N2ODirect_Equations.VEERG_4_2_1_3__7_RelativeSize(M22,L$28)</f>
        <v>#N/A</v>
      </c>
      <c r="N35" s="15" t="e" cm="1">
        <f t="array" aca="1" ref="N35" ca="1">MMS_PastureBeef_Soil_N2ODirect_Equations.VEERG_4_2_1_3__7_RelativeSize(N22,M$28)</f>
        <v>#N/A</v>
      </c>
      <c r="O35" s="16" t="str">
        <f t="shared" si="0"/>
        <v>ratio</v>
      </c>
      <c r="U35" s="114" t="s">
        <v>75</v>
      </c>
      <c r="V35" s="114" t="s">
        <v>326</v>
      </c>
      <c r="W35" s="114" t="s">
        <v>184</v>
      </c>
      <c r="X35" s="114" t="s">
        <v>327</v>
      </c>
      <c r="Y35" s="114" t="s">
        <v>328</v>
      </c>
      <c r="Z35" s="114" t="s">
        <v>329</v>
      </c>
      <c r="AA35" s="114" t="s">
        <v>330</v>
      </c>
      <c r="AB35" s="114" t="s">
        <v>331</v>
      </c>
      <c r="AC35" s="114" t="s">
        <v>332</v>
      </c>
      <c r="AD35" s="114" t="s">
        <v>333</v>
      </c>
      <c r="AE35" s="114" t="s">
        <v>334</v>
      </c>
      <c r="AF35" s="16"/>
      <c r="AG35" s="16"/>
      <c r="AH35" s="16"/>
    </row>
    <row r="36" spans="1:34" ht="20" customHeight="1" x14ac:dyDescent="0.25">
      <c r="A36" s="5" t="str">
        <f>HYPERLINK("#'5.2.1.1-2 Organic Fert N2O'!A1", "5.2.1.1-2 Organic fert N2O")</f>
        <v>5.2.1.1-2 Organic fert N2O</v>
      </c>
      <c r="D36" s="15" t="str">
        <f>INDEX(X_Table_PastureBeef_Liveweight_Method1,5,1)</f>
        <v>Winter</v>
      </c>
      <c r="E36" s="15" t="e" cm="1">
        <f t="array" aca="1" ref="E36" ca="1">MMS_PastureBeef_Soil_N2ODirect_Equations.VEERG_4_2_1_3__7_RelativeSize(E23,D$28)</f>
        <v>#N/A</v>
      </c>
      <c r="F36" s="15" t="e" cm="1">
        <f t="array" aca="1" ref="F36" ca="1">MMS_PastureBeef_Soil_N2ODirect_Equations.VEERG_4_2_1_3__7_RelativeSize(F23,E$28)</f>
        <v>#N/A</v>
      </c>
      <c r="G36" s="15" t="e" cm="1">
        <f t="array" aca="1" ref="G36" ca="1">MMS_PastureBeef_Soil_N2ODirect_Equations.VEERG_4_2_1_3__7_RelativeSize(G23,F$28)</f>
        <v>#N/A</v>
      </c>
      <c r="H36" s="15" t="e" cm="1">
        <f t="array" aca="1" ref="H36" ca="1">MMS_PastureBeef_Soil_N2ODirect_Equations.VEERG_4_2_1_3__7_RelativeSize(H23,G$28)</f>
        <v>#N/A</v>
      </c>
      <c r="I36" s="15" t="e" cm="1">
        <f t="array" aca="1" ref="I36" ca="1">MMS_PastureBeef_Soil_N2ODirect_Equations.VEERG_4_2_1_3__7_RelativeSize(I23,H$28)</f>
        <v>#N/A</v>
      </c>
      <c r="J36" s="15" t="e" cm="1">
        <f t="array" aca="1" ref="J36" ca="1">MMS_PastureBeef_Soil_N2ODirect_Equations.VEERG_4_2_1_3__7_RelativeSize(J23,I$28)</f>
        <v>#N/A</v>
      </c>
      <c r="K36" s="15" t="e" cm="1">
        <f t="array" aca="1" ref="K36" ca="1">MMS_PastureBeef_Soil_N2ODirect_Equations.VEERG_4_2_1_3__7_RelativeSize(K23,J$28)</f>
        <v>#N/A</v>
      </c>
      <c r="L36" s="15" t="e" cm="1">
        <f t="array" aca="1" ref="L36" ca="1">MMS_PastureBeef_Soil_N2ODirect_Equations.VEERG_4_2_1_3__7_RelativeSize(L23,K$28)</f>
        <v>#N/A</v>
      </c>
      <c r="M36" s="15" t="e" cm="1">
        <f t="array" aca="1" ref="M36" ca="1">MMS_PastureBeef_Soil_N2ODirect_Equations.VEERG_4_2_1_3__7_RelativeSize(M23,L$28)</f>
        <v>#N/A</v>
      </c>
      <c r="N36" s="15" t="e" cm="1">
        <f t="array" aca="1" ref="N36" ca="1">MMS_PastureBeef_Soil_N2ODirect_Equations.VEERG_4_2_1_3__7_RelativeSize(N23,M$28)</f>
        <v>#N/A</v>
      </c>
      <c r="O36" s="16" t="str">
        <f t="shared" si="0"/>
        <v>ratio</v>
      </c>
      <c r="U36" s="15" t="str">
        <f>TEXT(X_Cell_Site_StartDate,"mmmm")</f>
        <v>January</v>
      </c>
      <c r="V36" s="15" t="e" cm="1">
        <f t="array" aca="1" ref="V36" ca="1">MMS_PastureBeef_Soil_N2ODirect_Equations.VEERG_4_2_1_3__7_RelativeSize(V20,D$28)</f>
        <v>#N/A</v>
      </c>
      <c r="W36" s="15" t="e" cm="1">
        <f t="array" aca="1" ref="W36" ca="1">MMS_PastureBeef_Soil_N2ODirect_Equations.VEERG_4_2_1_3__7_RelativeSize(W20,E$28)</f>
        <v>#N/A</v>
      </c>
      <c r="X36" s="15" t="e" cm="1">
        <f t="array" aca="1" ref="X36" ca="1">MMS_PastureBeef_Soil_N2ODirect_Equations.VEERG_4_2_1_3__7_RelativeSize(X20,F$28)</f>
        <v>#N/A</v>
      </c>
      <c r="Y36" s="15" t="e" cm="1">
        <f t="array" aca="1" ref="Y36" ca="1">MMS_PastureBeef_Soil_N2ODirect_Equations.VEERG_4_2_1_3__7_RelativeSize(Y20,G$28)</f>
        <v>#N/A</v>
      </c>
      <c r="Z36" s="15" t="e" cm="1">
        <f t="array" aca="1" ref="Z36" ca="1">MMS_PastureBeef_Soil_N2ODirect_Equations.VEERG_4_2_1_3__7_RelativeSize(Z20,H$28)</f>
        <v>#N/A</v>
      </c>
      <c r="AA36" s="15" t="e" cm="1">
        <f t="array" aca="1" ref="AA36" ca="1">MMS_PastureBeef_Soil_N2ODirect_Equations.VEERG_4_2_1_3__7_RelativeSize(AA20,I$28)</f>
        <v>#N/A</v>
      </c>
      <c r="AB36" s="15" t="e" cm="1">
        <f t="array" aca="1" ref="AB36" ca="1">MMS_PastureBeef_Soil_N2ODirect_Equations.VEERG_4_2_1_3__7_RelativeSize(AB20,J$28)</f>
        <v>#N/A</v>
      </c>
      <c r="AC36" s="15" t="e" cm="1">
        <f t="array" aca="1" ref="AC36" ca="1">MMS_PastureBeef_Soil_N2ODirect_Equations.VEERG_4_2_1_3__7_RelativeSize(AC20,K$28)</f>
        <v>#N/A</v>
      </c>
      <c r="AD36" s="15" t="e" cm="1">
        <f t="array" aca="1" ref="AD36" ca="1">MMS_PastureBeef_Soil_N2ODirect_Equations.VEERG_4_2_1_3__7_RelativeSize(AD20,L$28)</f>
        <v>#N/A</v>
      </c>
      <c r="AE36" s="15" t="e" cm="1">
        <f t="array" aca="1" ref="AE36" ca="1">MMS_PastureBeef_Soil_N2ODirect_Equations.VEERG_4_2_1_3__7_RelativeSize(AE20,M$28)</f>
        <v>#N/A</v>
      </c>
      <c r="AF36" s="16" t="str">
        <f t="shared" ref="AF36:AF47" si="1">$E$11</f>
        <v>ratio</v>
      </c>
      <c r="AG36" s="16"/>
      <c r="AH36" s="16"/>
    </row>
    <row r="37" spans="1:34" ht="20" customHeight="1" x14ac:dyDescent="0.25">
      <c r="A37" s="5" t="str">
        <f>HYPERLINK("#'5.3.1.1-2 Lime CO2'!A1", "5.3.1.1-2 Lime CO2")</f>
        <v>5.3.1.1-2 Lime CO2</v>
      </c>
      <c r="U37" s="15" t="str">
        <f>TEXT(EDATE(X_Cell_Site_StartDate,1), "mmmm")</f>
        <v>January</v>
      </c>
      <c r="V37" s="15" t="e" cm="1">
        <f t="array" aca="1" ref="V37" ca="1">MMS_PastureBeef_Soil_N2ODirect_Equations.VEERG_4_2_1_3__7_RelativeSize(V21,D$28)</f>
        <v>#N/A</v>
      </c>
      <c r="W37" s="15" t="e" cm="1">
        <f t="array" aca="1" ref="W37" ca="1">MMS_PastureBeef_Soil_N2ODirect_Equations.VEERG_4_2_1_3__7_RelativeSize(W21,E$28)</f>
        <v>#N/A</v>
      </c>
      <c r="X37" s="15" t="e" cm="1">
        <f t="array" aca="1" ref="X37" ca="1">MMS_PastureBeef_Soil_N2ODirect_Equations.VEERG_4_2_1_3__7_RelativeSize(X21,F$28)</f>
        <v>#N/A</v>
      </c>
      <c r="Y37" s="15" t="e" cm="1">
        <f t="array" aca="1" ref="Y37" ca="1">MMS_PastureBeef_Soil_N2ODirect_Equations.VEERG_4_2_1_3__7_RelativeSize(Y21,G$28)</f>
        <v>#N/A</v>
      </c>
      <c r="Z37" s="15" t="e" cm="1">
        <f t="array" aca="1" ref="Z37" ca="1">MMS_PastureBeef_Soil_N2ODirect_Equations.VEERG_4_2_1_3__7_RelativeSize(Z21,H$28)</f>
        <v>#N/A</v>
      </c>
      <c r="AA37" s="15" t="e" cm="1">
        <f t="array" aca="1" ref="AA37" ca="1">MMS_PastureBeef_Soil_N2ODirect_Equations.VEERG_4_2_1_3__7_RelativeSize(AA21,I$28)</f>
        <v>#N/A</v>
      </c>
      <c r="AB37" s="15" t="e" cm="1">
        <f t="array" aca="1" ref="AB37" ca="1">MMS_PastureBeef_Soil_N2ODirect_Equations.VEERG_4_2_1_3__7_RelativeSize(AB21,J$28)</f>
        <v>#N/A</v>
      </c>
      <c r="AC37" s="15" t="e" cm="1">
        <f t="array" aca="1" ref="AC37" ca="1">MMS_PastureBeef_Soil_N2ODirect_Equations.VEERG_4_2_1_3__7_RelativeSize(AC21,K$28)</f>
        <v>#N/A</v>
      </c>
      <c r="AD37" s="15" t="e" cm="1">
        <f t="array" aca="1" ref="AD37" ca="1">MMS_PastureBeef_Soil_N2ODirect_Equations.VEERG_4_2_1_3__7_RelativeSize(AD21,L$28)</f>
        <v>#N/A</v>
      </c>
      <c r="AE37" s="15" t="e" cm="1">
        <f t="array" aca="1" ref="AE37" ca="1">MMS_PastureBeef_Soil_N2ODirect_Equations.VEERG_4_2_1_3__7_RelativeSize(AE21,M$28)</f>
        <v>#N/A</v>
      </c>
      <c r="AF37" s="16" t="str">
        <f t="shared" si="1"/>
        <v>ratio</v>
      </c>
      <c r="AG37" s="16"/>
      <c r="AH37" s="16"/>
    </row>
    <row r="38" spans="1:34" ht="20" customHeight="1" x14ac:dyDescent="0.25">
      <c r="A38" s="5" t="str">
        <f>HYPERLINK("#'5.4.1.1-4 Atmos deposition'!A1", "5.4.1.1-4 Atmos. deposition")</f>
        <v>5.4.1.1-4 Atmos. deposition</v>
      </c>
      <c r="U38" s="15" t="str">
        <f>TEXT(EDATE(X_Cell_Site_StartDate,2), "mmmm")</f>
        <v>February</v>
      </c>
      <c r="V38" s="15" t="e" cm="1">
        <f t="array" aca="1" ref="V38" ca="1">MMS_PastureBeef_Soil_N2ODirect_Equations.VEERG_4_2_1_3__7_RelativeSize(V22,D$28)</f>
        <v>#N/A</v>
      </c>
      <c r="W38" s="15" t="e" cm="1">
        <f t="array" aca="1" ref="W38" ca="1">MMS_PastureBeef_Soil_N2ODirect_Equations.VEERG_4_2_1_3__7_RelativeSize(W22,E$28)</f>
        <v>#N/A</v>
      </c>
      <c r="X38" s="15" t="e" cm="1">
        <f t="array" aca="1" ref="X38" ca="1">MMS_PastureBeef_Soil_N2ODirect_Equations.VEERG_4_2_1_3__7_RelativeSize(X22,F$28)</f>
        <v>#N/A</v>
      </c>
      <c r="Y38" s="15" t="e" cm="1">
        <f t="array" aca="1" ref="Y38" ca="1">MMS_PastureBeef_Soil_N2ODirect_Equations.VEERG_4_2_1_3__7_RelativeSize(Y22,G$28)</f>
        <v>#N/A</v>
      </c>
      <c r="Z38" s="15" t="e" cm="1">
        <f t="array" aca="1" ref="Z38" ca="1">MMS_PastureBeef_Soil_N2ODirect_Equations.VEERG_4_2_1_3__7_RelativeSize(Z22,H$28)</f>
        <v>#N/A</v>
      </c>
      <c r="AA38" s="15" t="e" cm="1">
        <f t="array" aca="1" ref="AA38" ca="1">MMS_PastureBeef_Soil_N2ODirect_Equations.VEERG_4_2_1_3__7_RelativeSize(AA22,I$28)</f>
        <v>#N/A</v>
      </c>
      <c r="AB38" s="15" t="e" cm="1">
        <f t="array" aca="1" ref="AB38" ca="1">MMS_PastureBeef_Soil_N2ODirect_Equations.VEERG_4_2_1_3__7_RelativeSize(AB22,J$28)</f>
        <v>#N/A</v>
      </c>
      <c r="AC38" s="15" t="e" cm="1">
        <f t="array" aca="1" ref="AC38" ca="1">MMS_PastureBeef_Soil_N2ODirect_Equations.VEERG_4_2_1_3__7_RelativeSize(AC22,K$28)</f>
        <v>#N/A</v>
      </c>
      <c r="AD38" s="15" t="e" cm="1">
        <f t="array" aca="1" ref="AD38" ca="1">MMS_PastureBeef_Soil_N2ODirect_Equations.VEERG_4_2_1_3__7_RelativeSize(AD22,L$28)</f>
        <v>#N/A</v>
      </c>
      <c r="AE38" s="15" t="e" cm="1">
        <f t="array" aca="1" ref="AE38" ca="1">MMS_PastureBeef_Soil_N2ODirect_Equations.VEERG_4_2_1_3__7_RelativeSize(AE22,M$28)</f>
        <v>#N/A</v>
      </c>
      <c r="AF38" s="16" t="str">
        <f t="shared" si="1"/>
        <v>ratio</v>
      </c>
      <c r="AG38" s="16"/>
      <c r="AH38" s="16"/>
    </row>
    <row r="39" spans="1:34" ht="20" customHeight="1" x14ac:dyDescent="0.25">
      <c r="A39" s="5" t="str">
        <f>HYPERLINK("#'5.5.1.1-2 Leaching and runoff'!A1", "5.5.1.1-2 Leaching &amp; runoff")</f>
        <v>5.5.1.1-2 Leaching &amp; runoff</v>
      </c>
      <c r="C39" s="87"/>
      <c r="D39" s="87"/>
      <c r="E39" s="87"/>
      <c r="F39" s="87"/>
      <c r="G39" s="87"/>
      <c r="H39" s="87"/>
      <c r="I39" s="87"/>
      <c r="J39" s="87"/>
      <c r="K39" s="87"/>
      <c r="L39" s="87"/>
      <c r="M39" s="87"/>
      <c r="N39" s="87"/>
      <c r="O39" s="87"/>
      <c r="P39" s="87"/>
      <c r="Q39" s="87"/>
      <c r="R39" s="87"/>
      <c r="U39" s="15" t="str">
        <f>TEXT(EDATE(X_Cell_Site_StartDate,3), "mmmm")</f>
        <v>March</v>
      </c>
      <c r="V39" s="15" t="e" cm="1">
        <f t="array" aca="1" ref="V39" ca="1">MMS_PastureBeef_Soil_N2ODirect_Equations.VEERG_4_2_1_3__7_RelativeSize(V23,D$28)</f>
        <v>#N/A</v>
      </c>
      <c r="W39" s="15" t="e" cm="1">
        <f t="array" aca="1" ref="W39" ca="1">MMS_PastureBeef_Soil_N2ODirect_Equations.VEERG_4_2_1_3__7_RelativeSize(W23,E$28)</f>
        <v>#N/A</v>
      </c>
      <c r="X39" s="15" t="e" cm="1">
        <f t="array" aca="1" ref="X39" ca="1">MMS_PastureBeef_Soil_N2ODirect_Equations.VEERG_4_2_1_3__7_RelativeSize(X23,F$28)</f>
        <v>#N/A</v>
      </c>
      <c r="Y39" s="15" t="e" cm="1">
        <f t="array" aca="1" ref="Y39" ca="1">MMS_PastureBeef_Soil_N2ODirect_Equations.VEERG_4_2_1_3__7_RelativeSize(Y23,G$28)</f>
        <v>#N/A</v>
      </c>
      <c r="Z39" s="15" t="e" cm="1">
        <f t="array" aca="1" ref="Z39" ca="1">MMS_PastureBeef_Soil_N2ODirect_Equations.VEERG_4_2_1_3__7_RelativeSize(Z23,H$28)</f>
        <v>#N/A</v>
      </c>
      <c r="AA39" s="15" t="e" cm="1">
        <f t="array" aca="1" ref="AA39" ca="1">MMS_PastureBeef_Soil_N2ODirect_Equations.VEERG_4_2_1_3__7_RelativeSize(AA23,I$28)</f>
        <v>#N/A</v>
      </c>
      <c r="AB39" s="15" t="e" cm="1">
        <f t="array" aca="1" ref="AB39" ca="1">MMS_PastureBeef_Soil_N2ODirect_Equations.VEERG_4_2_1_3__7_RelativeSize(AB23,J$28)</f>
        <v>#N/A</v>
      </c>
      <c r="AC39" s="15" t="e" cm="1">
        <f t="array" aca="1" ref="AC39" ca="1">MMS_PastureBeef_Soil_N2ODirect_Equations.VEERG_4_2_1_3__7_RelativeSize(AC23,K$28)</f>
        <v>#N/A</v>
      </c>
      <c r="AD39" s="15" t="e" cm="1">
        <f t="array" aca="1" ref="AD39" ca="1">MMS_PastureBeef_Soil_N2ODirect_Equations.VEERG_4_2_1_3__7_RelativeSize(AD23,L$28)</f>
        <v>#N/A</v>
      </c>
      <c r="AE39" s="15" t="e" cm="1">
        <f t="array" aca="1" ref="AE39" ca="1">MMS_PastureBeef_Soil_N2ODirect_Equations.VEERG_4_2_1_3__7_RelativeSize(AE23,M$28)</f>
        <v>#N/A</v>
      </c>
      <c r="AF39" s="16" t="str">
        <f t="shared" si="1"/>
        <v>ratio</v>
      </c>
      <c r="AG39" s="16"/>
      <c r="AH39" s="16"/>
    </row>
    <row r="40" spans="1:34" ht="20" customHeight="1" x14ac:dyDescent="0.25">
      <c r="A40" s="5" t="str">
        <f>HYPERLINK("#'6.2.1.1-2 Pasture residue N2O'!A1", "6.2.1.1-2 Pasture residue N2O")</f>
        <v>6.2.1.1-2 Pasture residue N2O</v>
      </c>
      <c r="D40" s="2" t="str" cm="1">
        <f t="array" ref="D40">MMS_PastureBeef_Soil_N2ODirect_Equations.VEERG_4_2_1_3__6_IntakeRelativeToMaintenance_Title()</f>
        <v>Intake relative to that needed for maintenance</v>
      </c>
      <c r="U40" s="15" t="str">
        <f>TEXT(EDATE(X_Cell_Site_StartDate,4), "mmmm")</f>
        <v>April</v>
      </c>
      <c r="V40" s="15" t="e" cm="1">
        <f t="array" aca="1" ref="V40" ca="1">MMS_PastureBeef_Soil_N2ODirect_Equations.VEERG_4_2_1_3__7_RelativeSize(V24,D$28)</f>
        <v>#N/A</v>
      </c>
      <c r="W40" s="15" t="e" cm="1">
        <f t="array" aca="1" ref="W40" ca="1">MMS_PastureBeef_Soil_N2ODirect_Equations.VEERG_4_2_1_3__7_RelativeSize(W24,E$28)</f>
        <v>#N/A</v>
      </c>
      <c r="X40" s="15" t="e" cm="1">
        <f t="array" aca="1" ref="X40" ca="1">MMS_PastureBeef_Soil_N2ODirect_Equations.VEERG_4_2_1_3__7_RelativeSize(X24,F$28)</f>
        <v>#N/A</v>
      </c>
      <c r="Y40" s="15" t="e" cm="1">
        <f t="array" aca="1" ref="Y40" ca="1">MMS_PastureBeef_Soil_N2ODirect_Equations.VEERG_4_2_1_3__7_RelativeSize(Y24,G$28)</f>
        <v>#N/A</v>
      </c>
      <c r="Z40" s="15" t="e" cm="1">
        <f t="array" aca="1" ref="Z40" ca="1">MMS_PastureBeef_Soil_N2ODirect_Equations.VEERG_4_2_1_3__7_RelativeSize(Z24,H$28)</f>
        <v>#N/A</v>
      </c>
      <c r="AA40" s="15" t="e" cm="1">
        <f t="array" aca="1" ref="AA40" ca="1">MMS_PastureBeef_Soil_N2ODirect_Equations.VEERG_4_2_1_3__7_RelativeSize(AA24,I$28)</f>
        <v>#N/A</v>
      </c>
      <c r="AB40" s="15" t="e" cm="1">
        <f t="array" aca="1" ref="AB40" ca="1">MMS_PastureBeef_Soil_N2ODirect_Equations.VEERG_4_2_1_3__7_RelativeSize(AB24,J$28)</f>
        <v>#N/A</v>
      </c>
      <c r="AC40" s="15" t="e" cm="1">
        <f t="array" aca="1" ref="AC40" ca="1">MMS_PastureBeef_Soil_N2ODirect_Equations.VEERG_4_2_1_3__7_RelativeSize(AC24,K$28)</f>
        <v>#N/A</v>
      </c>
      <c r="AD40" s="15" t="e" cm="1">
        <f t="array" aca="1" ref="AD40" ca="1">MMS_PastureBeef_Soil_N2ODirect_Equations.VEERG_4_2_1_3__7_RelativeSize(AD24,L$28)</f>
        <v>#N/A</v>
      </c>
      <c r="AE40" s="15" t="e" cm="1">
        <f t="array" aca="1" ref="AE40" ca="1">MMS_PastureBeef_Soil_N2ODirect_Equations.VEERG_4_2_1_3__7_RelativeSize(AE24,M$28)</f>
        <v>#N/A</v>
      </c>
      <c r="AF40" s="16" t="str">
        <f t="shared" si="1"/>
        <v>ratio</v>
      </c>
      <c r="AG40" s="16"/>
      <c r="AH40" s="16"/>
    </row>
    <row r="41" spans="1:34" ht="20" customHeight="1" x14ac:dyDescent="0.25">
      <c r="A41" s="5" t="str">
        <f>HYPERLINK("#'6.3.1.1-2 Leach runoff pasture'!A1", "6.3.1.1-2 Leach &amp; runoff (pasture)")</f>
        <v>6.3.1.1-2 Leach &amp; runoff (pasture)</v>
      </c>
      <c r="D41" s="17" t="str" cm="1">
        <f t="array" ref="D41">MMS_PastureBeef_Soil_N2ODirect_Equations.VEERG_4_2_1_3__6_IntakeRelativeToMaintenance_Source()</f>
        <v>VEERG 2026: 4.2.1.3, Equation (6)</v>
      </c>
      <c r="U41" s="15" t="str">
        <f>TEXT(EDATE(X_Cell_Site_StartDate,5), "mmmm")</f>
        <v>May</v>
      </c>
      <c r="V41" s="15" t="e" cm="1">
        <f t="array" aca="1" ref="V41" ca="1">MMS_PastureBeef_Soil_N2ODirect_Equations.VEERG_4_2_1_3__7_RelativeSize(V25,D$28)</f>
        <v>#N/A</v>
      </c>
      <c r="W41" s="15" t="e" cm="1">
        <f t="array" aca="1" ref="W41" ca="1">MMS_PastureBeef_Soil_N2ODirect_Equations.VEERG_4_2_1_3__7_RelativeSize(W25,E$28)</f>
        <v>#N/A</v>
      </c>
      <c r="X41" s="15" t="e" cm="1">
        <f t="array" aca="1" ref="X41" ca="1">MMS_PastureBeef_Soil_N2ODirect_Equations.VEERG_4_2_1_3__7_RelativeSize(X25,F$28)</f>
        <v>#N/A</v>
      </c>
      <c r="Y41" s="15" t="e" cm="1">
        <f t="array" aca="1" ref="Y41" ca="1">MMS_PastureBeef_Soil_N2ODirect_Equations.VEERG_4_2_1_3__7_RelativeSize(Y25,G$28)</f>
        <v>#N/A</v>
      </c>
      <c r="Z41" s="15" t="e" cm="1">
        <f t="array" aca="1" ref="Z41" ca="1">MMS_PastureBeef_Soil_N2ODirect_Equations.VEERG_4_2_1_3__7_RelativeSize(Z25,H$28)</f>
        <v>#N/A</v>
      </c>
      <c r="AA41" s="15" t="e" cm="1">
        <f t="array" aca="1" ref="AA41" ca="1">MMS_PastureBeef_Soil_N2ODirect_Equations.VEERG_4_2_1_3__7_RelativeSize(AA25,I$28)</f>
        <v>#N/A</v>
      </c>
      <c r="AB41" s="15" t="e" cm="1">
        <f t="array" aca="1" ref="AB41" ca="1">MMS_PastureBeef_Soil_N2ODirect_Equations.VEERG_4_2_1_3__7_RelativeSize(AB25,J$28)</f>
        <v>#N/A</v>
      </c>
      <c r="AC41" s="15" t="e" cm="1">
        <f t="array" aca="1" ref="AC41" ca="1">MMS_PastureBeef_Soil_N2ODirect_Equations.VEERG_4_2_1_3__7_RelativeSize(AC25,K$28)</f>
        <v>#N/A</v>
      </c>
      <c r="AD41" s="15" t="e" cm="1">
        <f t="array" aca="1" ref="AD41" ca="1">MMS_PastureBeef_Soil_N2ODirect_Equations.VEERG_4_2_1_3__7_RelativeSize(AD25,L$28)</f>
        <v>#N/A</v>
      </c>
      <c r="AE41" s="15" t="e" cm="1">
        <f t="array" aca="1" ref="AE41" ca="1">MMS_PastureBeef_Soil_N2ODirect_Equations.VEERG_4_2_1_3__7_RelativeSize(AE25,M$28)</f>
        <v>#N/A</v>
      </c>
      <c r="AF41" s="16" t="str">
        <f t="shared" si="1"/>
        <v>ratio</v>
      </c>
      <c r="AG41" s="16"/>
      <c r="AH41" s="16"/>
    </row>
    <row r="42" spans="1:34" ht="20" customHeight="1" x14ac:dyDescent="0.25">
      <c r="A42" s="5" t="str">
        <f>HYPERLINK("#'8.1.1.1-2 Transport fuel'!A1", "8.1.1.1-2 Transport fuel")</f>
        <v>8.1.1.1-2 Transport fuel</v>
      </c>
      <c r="D42" s="103" t="s">
        <v>372</v>
      </c>
      <c r="E42" s="103" t="str" cm="1">
        <f t="array" aca="1" ref="E42" ca="1">Common_InputFunctions.Utility_DisplayFunctionName(E62)</f>
        <v>=MMS_PastureBeef_Soil_N2ODirect_Equations.VEERG_4_2_1_3__6_IntakeRelativeToMaintenance</v>
      </c>
      <c r="U42" s="15" t="str">
        <f>TEXT(EDATE(X_Cell_Site_StartDate,6), "mmmm")</f>
        <v>June</v>
      </c>
      <c r="V42" s="15" t="e" cm="1">
        <f t="array" aca="1" ref="V42" ca="1">MMS_PastureBeef_Soil_N2ODirect_Equations.VEERG_4_2_1_3__7_RelativeSize(V26,D$28)</f>
        <v>#N/A</v>
      </c>
      <c r="W42" s="15" t="e" cm="1">
        <f t="array" aca="1" ref="W42" ca="1">MMS_PastureBeef_Soil_N2ODirect_Equations.VEERG_4_2_1_3__7_RelativeSize(W26,E$28)</f>
        <v>#N/A</v>
      </c>
      <c r="X42" s="15" t="e" cm="1">
        <f t="array" aca="1" ref="X42" ca="1">MMS_PastureBeef_Soil_N2ODirect_Equations.VEERG_4_2_1_3__7_RelativeSize(X26,F$28)</f>
        <v>#N/A</v>
      </c>
      <c r="Y42" s="15" t="e" cm="1">
        <f t="array" aca="1" ref="Y42" ca="1">MMS_PastureBeef_Soil_N2ODirect_Equations.VEERG_4_2_1_3__7_RelativeSize(Y26,G$28)</f>
        <v>#N/A</v>
      </c>
      <c r="Z42" s="15" t="e" cm="1">
        <f t="array" aca="1" ref="Z42" ca="1">MMS_PastureBeef_Soil_N2ODirect_Equations.VEERG_4_2_1_3__7_RelativeSize(Z26,H$28)</f>
        <v>#N/A</v>
      </c>
      <c r="AA42" s="15" t="e" cm="1">
        <f t="array" aca="1" ref="AA42" ca="1">MMS_PastureBeef_Soil_N2ODirect_Equations.VEERG_4_2_1_3__7_RelativeSize(AA26,I$28)</f>
        <v>#N/A</v>
      </c>
      <c r="AB42" s="15" t="e" cm="1">
        <f t="array" aca="1" ref="AB42" ca="1">MMS_PastureBeef_Soil_N2ODirect_Equations.VEERG_4_2_1_3__7_RelativeSize(AB26,J$28)</f>
        <v>#N/A</v>
      </c>
      <c r="AC42" s="15" t="e" cm="1">
        <f t="array" aca="1" ref="AC42" ca="1">MMS_PastureBeef_Soil_N2ODirect_Equations.VEERG_4_2_1_3__7_RelativeSize(AC26,K$28)</f>
        <v>#N/A</v>
      </c>
      <c r="AD42" s="15" t="e" cm="1">
        <f t="array" aca="1" ref="AD42" ca="1">MMS_PastureBeef_Soil_N2ODirect_Equations.VEERG_4_2_1_3__7_RelativeSize(AD26,L$28)</f>
        <v>#N/A</v>
      </c>
      <c r="AE42" s="15" t="e" cm="1">
        <f t="array" aca="1" ref="AE42" ca="1">MMS_PastureBeef_Soil_N2ODirect_Equations.VEERG_4_2_1_3__7_RelativeSize(AE26,M$28)</f>
        <v>#N/A</v>
      </c>
      <c r="AF42" s="16" t="str">
        <f t="shared" si="1"/>
        <v>ratio</v>
      </c>
      <c r="AG42" s="16"/>
      <c r="AH42" s="16"/>
    </row>
    <row r="43" spans="1:34" ht="20" customHeight="1" x14ac:dyDescent="0.25">
      <c r="A43" s="5" t="str">
        <f>HYPERLINK("#'8.2.1.1-2 Stationary fuel'!A1", "8.2.1.1-2 Stationary fuel")</f>
        <v>8.2.1.1-2 Stationary fuel</v>
      </c>
      <c r="U43" s="15" t="str">
        <f>TEXT(EDATE(X_Cell_Site_StartDate,7), "mmmm")</f>
        <v>July</v>
      </c>
      <c r="V43" s="15" t="e" cm="1">
        <f t="array" aca="1" ref="V43" ca="1">MMS_PastureBeef_Soil_N2ODirect_Equations.VEERG_4_2_1_3__7_RelativeSize(V27,D$28)</f>
        <v>#N/A</v>
      </c>
      <c r="W43" s="15" t="e" cm="1">
        <f t="array" aca="1" ref="W43" ca="1">MMS_PastureBeef_Soil_N2ODirect_Equations.VEERG_4_2_1_3__7_RelativeSize(W27,E$28)</f>
        <v>#N/A</v>
      </c>
      <c r="X43" s="15" t="e" cm="1">
        <f t="array" aca="1" ref="X43" ca="1">MMS_PastureBeef_Soil_N2ODirect_Equations.VEERG_4_2_1_3__7_RelativeSize(X27,F$28)</f>
        <v>#N/A</v>
      </c>
      <c r="Y43" s="15" t="e" cm="1">
        <f t="array" aca="1" ref="Y43" ca="1">MMS_PastureBeef_Soil_N2ODirect_Equations.VEERG_4_2_1_3__7_RelativeSize(Y27,G$28)</f>
        <v>#N/A</v>
      </c>
      <c r="Z43" s="15" t="e" cm="1">
        <f t="array" aca="1" ref="Z43" ca="1">MMS_PastureBeef_Soil_N2ODirect_Equations.VEERG_4_2_1_3__7_RelativeSize(Z27,H$28)</f>
        <v>#N/A</v>
      </c>
      <c r="AA43" s="15" t="e" cm="1">
        <f t="array" aca="1" ref="AA43" ca="1">MMS_PastureBeef_Soil_N2ODirect_Equations.VEERG_4_2_1_3__7_RelativeSize(AA27,I$28)</f>
        <v>#N/A</v>
      </c>
      <c r="AB43" s="15" t="e" cm="1">
        <f t="array" aca="1" ref="AB43" ca="1">MMS_PastureBeef_Soil_N2ODirect_Equations.VEERG_4_2_1_3__7_RelativeSize(AB27,J$28)</f>
        <v>#N/A</v>
      </c>
      <c r="AC43" s="15" t="e" cm="1">
        <f t="array" aca="1" ref="AC43" ca="1">MMS_PastureBeef_Soil_N2ODirect_Equations.VEERG_4_2_1_3__7_RelativeSize(AC27,K$28)</f>
        <v>#N/A</v>
      </c>
      <c r="AD43" s="15" t="e" cm="1">
        <f t="array" aca="1" ref="AD43" ca="1">MMS_PastureBeef_Soil_N2ODirect_Equations.VEERG_4_2_1_3__7_RelativeSize(AD27,L$28)</f>
        <v>#N/A</v>
      </c>
      <c r="AE43" s="15" t="e" cm="1">
        <f t="array" aca="1" ref="AE43" ca="1">MMS_PastureBeef_Soil_N2ODirect_Equations.VEERG_4_2_1_3__7_RelativeSize(AE27,M$28)</f>
        <v>#N/A</v>
      </c>
      <c r="AF43" s="16" t="str">
        <f t="shared" si="1"/>
        <v>ratio</v>
      </c>
      <c r="AG43" s="16"/>
      <c r="AH43" s="16"/>
    </row>
    <row r="44" spans="1:34" ht="20" customHeight="1" x14ac:dyDescent="0.25">
      <c r="A44" s="5" t="str">
        <f>HYPERLINK("#'10.1.1-2 Solid waste treatment'!A1", "10.1.1.1-2 Solid waste")</f>
        <v>10.1.1.1-2 Solid waste</v>
      </c>
      <c r="U44" s="15" t="str">
        <f>TEXT(EDATE(X_Cell_Site_StartDate,8), "mmmm")</f>
        <v>August</v>
      </c>
      <c r="V44" s="15" t="e" cm="1">
        <f t="array" aca="1" ref="V44" ca="1">MMS_PastureBeef_Soil_N2ODirect_Equations.VEERG_4_2_1_3__7_RelativeSize(V28,D$28)</f>
        <v>#N/A</v>
      </c>
      <c r="W44" s="15" t="e" cm="1">
        <f t="array" aca="1" ref="W44" ca="1">MMS_PastureBeef_Soil_N2ODirect_Equations.VEERG_4_2_1_3__7_RelativeSize(W28,E$28)</f>
        <v>#N/A</v>
      </c>
      <c r="X44" s="15" t="e" cm="1">
        <f t="array" aca="1" ref="X44" ca="1">MMS_PastureBeef_Soil_N2ODirect_Equations.VEERG_4_2_1_3__7_RelativeSize(X28,F$28)</f>
        <v>#N/A</v>
      </c>
      <c r="Y44" s="15" t="e" cm="1">
        <f t="array" aca="1" ref="Y44" ca="1">MMS_PastureBeef_Soil_N2ODirect_Equations.VEERG_4_2_1_3__7_RelativeSize(Y28,G$28)</f>
        <v>#N/A</v>
      </c>
      <c r="Z44" s="15" t="e" cm="1">
        <f t="array" aca="1" ref="Z44" ca="1">MMS_PastureBeef_Soil_N2ODirect_Equations.VEERG_4_2_1_3__7_RelativeSize(Z28,H$28)</f>
        <v>#N/A</v>
      </c>
      <c r="AA44" s="15" t="e" cm="1">
        <f t="array" aca="1" ref="AA44" ca="1">MMS_PastureBeef_Soil_N2ODirect_Equations.VEERG_4_2_1_3__7_RelativeSize(AA28,I$28)</f>
        <v>#N/A</v>
      </c>
      <c r="AB44" s="15" t="e" cm="1">
        <f t="array" aca="1" ref="AB44" ca="1">MMS_PastureBeef_Soil_N2ODirect_Equations.VEERG_4_2_1_3__7_RelativeSize(AB28,J$28)</f>
        <v>#N/A</v>
      </c>
      <c r="AC44" s="15" t="e" cm="1">
        <f t="array" aca="1" ref="AC44" ca="1">MMS_PastureBeef_Soil_N2ODirect_Equations.VEERG_4_2_1_3__7_RelativeSize(AC28,K$28)</f>
        <v>#N/A</v>
      </c>
      <c r="AD44" s="15" t="e" cm="1">
        <f t="array" aca="1" ref="AD44" ca="1">MMS_PastureBeef_Soil_N2ODirect_Equations.VEERG_4_2_1_3__7_RelativeSize(AD28,L$28)</f>
        <v>#N/A</v>
      </c>
      <c r="AE44" s="15" t="e" cm="1">
        <f t="array" aca="1" ref="AE44" ca="1">MMS_PastureBeef_Soil_N2ODirect_Equations.VEERG_4_2_1_3__7_RelativeSize(AE28,M$28)</f>
        <v>#N/A</v>
      </c>
      <c r="AF44" s="16" t="str">
        <f t="shared" si="1"/>
        <v>ratio</v>
      </c>
      <c r="AG44" s="16"/>
      <c r="AH44" s="16"/>
    </row>
    <row r="45" spans="1:34" ht="20" customHeight="1" x14ac:dyDescent="0.25">
      <c r="A45" s="5" t="str">
        <f>HYPERLINK("#'14.1.1-2 Purchased electricity'!A1", "14.1.1-2 Purchased electricity")</f>
        <v>14.1.1-2 Purchased electricity</v>
      </c>
      <c r="D45" s="77" t="s">
        <v>374</v>
      </c>
      <c r="E45" s="1" t="str" cm="1">
        <f t="array" ref="E45">MMS_PastureBeef_Soil_N2ODirect_Equations.VEERG_4_2_1_3__6_IntakeRelativeToMaintenance_Variable()</f>
        <v>L_jkl</v>
      </c>
      <c r="U45" s="15" t="str">
        <f>TEXT(EDATE(X_Cell_Site_StartDate,9), "mmmm")</f>
        <v>September</v>
      </c>
      <c r="V45" s="15" t="e" cm="1">
        <f t="array" aca="1" ref="V45" ca="1">MMS_PastureBeef_Soil_N2ODirect_Equations.VEERG_4_2_1_3__7_RelativeSize(V29,D$28)</f>
        <v>#N/A</v>
      </c>
      <c r="W45" s="15" t="e" cm="1">
        <f t="array" aca="1" ref="W45" ca="1">MMS_PastureBeef_Soil_N2ODirect_Equations.VEERG_4_2_1_3__7_RelativeSize(W29,E$28)</f>
        <v>#N/A</v>
      </c>
      <c r="X45" s="15" t="e" cm="1">
        <f t="array" aca="1" ref="X45" ca="1">MMS_PastureBeef_Soil_N2ODirect_Equations.VEERG_4_2_1_3__7_RelativeSize(X29,F$28)</f>
        <v>#N/A</v>
      </c>
      <c r="Y45" s="15" t="e" cm="1">
        <f t="array" aca="1" ref="Y45" ca="1">MMS_PastureBeef_Soil_N2ODirect_Equations.VEERG_4_2_1_3__7_RelativeSize(Y29,G$28)</f>
        <v>#N/A</v>
      </c>
      <c r="Z45" s="15" t="e" cm="1">
        <f t="array" aca="1" ref="Z45" ca="1">MMS_PastureBeef_Soil_N2ODirect_Equations.VEERG_4_2_1_3__7_RelativeSize(Z29,H$28)</f>
        <v>#N/A</v>
      </c>
      <c r="AA45" s="15" t="e" cm="1">
        <f t="array" aca="1" ref="AA45" ca="1">MMS_PastureBeef_Soil_N2ODirect_Equations.VEERG_4_2_1_3__7_RelativeSize(AA29,I$28)</f>
        <v>#N/A</v>
      </c>
      <c r="AB45" s="15" t="e" cm="1">
        <f t="array" aca="1" ref="AB45" ca="1">MMS_PastureBeef_Soil_N2ODirect_Equations.VEERG_4_2_1_3__7_RelativeSize(AB29,J$28)</f>
        <v>#N/A</v>
      </c>
      <c r="AC45" s="15" t="e" cm="1">
        <f t="array" aca="1" ref="AC45" ca="1">MMS_PastureBeef_Soil_N2ODirect_Equations.VEERG_4_2_1_3__7_RelativeSize(AC29,K$28)</f>
        <v>#N/A</v>
      </c>
      <c r="AD45" s="15" t="e" cm="1">
        <f t="array" aca="1" ref="AD45" ca="1">MMS_PastureBeef_Soil_N2ODirect_Equations.VEERG_4_2_1_3__7_RelativeSize(AD29,L$28)</f>
        <v>#N/A</v>
      </c>
      <c r="AE45" s="15" t="e" cm="1">
        <f t="array" aca="1" ref="AE45" ca="1">MMS_PastureBeef_Soil_N2ODirect_Equations.VEERG_4_2_1_3__7_RelativeSize(AE29,M$28)</f>
        <v>#N/A</v>
      </c>
      <c r="AF45" s="16" t="str">
        <f t="shared" si="1"/>
        <v>ratio</v>
      </c>
      <c r="AG45" s="16"/>
      <c r="AH45" s="16"/>
    </row>
    <row r="46" spans="1:34" ht="20" customHeight="1" x14ac:dyDescent="0.25">
      <c r="A46" s="5" t="str">
        <f>HYPERLINK("#'15 Scope 3'!A1", "15 Scope 3")</f>
        <v>15 Scope 3</v>
      </c>
      <c r="D46" s="77" t="s">
        <v>121</v>
      </c>
      <c r="E46" s="9" t="str" cm="1">
        <f t="array" ref="E46">MMS_PastureBeef_Soil_N2ODirect_Equations.VEERG_4_2_1_3__6_IntakeRelativeToMaintenance_Unit()</f>
        <v>ratio</v>
      </c>
      <c r="U46" s="15" t="str">
        <f>TEXT(EDATE(X_Cell_Site_StartDate,10), "mmmm")</f>
        <v>October</v>
      </c>
      <c r="V46" s="15" t="e" cm="1">
        <f t="array" aca="1" ref="V46" ca="1">MMS_PastureBeef_Soil_N2ODirect_Equations.VEERG_4_2_1_3__7_RelativeSize(V30,D$28)</f>
        <v>#N/A</v>
      </c>
      <c r="W46" s="15" t="e" cm="1">
        <f t="array" aca="1" ref="W46" ca="1">MMS_PastureBeef_Soil_N2ODirect_Equations.VEERG_4_2_1_3__7_RelativeSize(W30,E$28)</f>
        <v>#N/A</v>
      </c>
      <c r="X46" s="15" t="e" cm="1">
        <f t="array" aca="1" ref="X46" ca="1">MMS_PastureBeef_Soil_N2ODirect_Equations.VEERG_4_2_1_3__7_RelativeSize(X30,F$28)</f>
        <v>#N/A</v>
      </c>
      <c r="Y46" s="15" t="e" cm="1">
        <f t="array" aca="1" ref="Y46" ca="1">MMS_PastureBeef_Soil_N2ODirect_Equations.VEERG_4_2_1_3__7_RelativeSize(Y30,G$28)</f>
        <v>#N/A</v>
      </c>
      <c r="Z46" s="15" t="e" cm="1">
        <f t="array" aca="1" ref="Z46" ca="1">MMS_PastureBeef_Soil_N2ODirect_Equations.VEERG_4_2_1_3__7_RelativeSize(Z30,H$28)</f>
        <v>#N/A</v>
      </c>
      <c r="AA46" s="15" t="e" cm="1">
        <f t="array" aca="1" ref="AA46" ca="1">MMS_PastureBeef_Soil_N2ODirect_Equations.VEERG_4_2_1_3__7_RelativeSize(AA30,I$28)</f>
        <v>#N/A</v>
      </c>
      <c r="AB46" s="15" t="e" cm="1">
        <f t="array" aca="1" ref="AB46" ca="1">MMS_PastureBeef_Soil_N2ODirect_Equations.VEERG_4_2_1_3__7_RelativeSize(AB30,J$28)</f>
        <v>#N/A</v>
      </c>
      <c r="AC46" s="15" t="e" cm="1">
        <f t="array" aca="1" ref="AC46" ca="1">MMS_PastureBeef_Soil_N2ODirect_Equations.VEERG_4_2_1_3__7_RelativeSize(AC30,K$28)</f>
        <v>#N/A</v>
      </c>
      <c r="AD46" s="15" t="e" cm="1">
        <f t="array" aca="1" ref="AD46" ca="1">MMS_PastureBeef_Soil_N2ODirect_Equations.VEERG_4_2_1_3__7_RelativeSize(AD30,L$28)</f>
        <v>#N/A</v>
      </c>
      <c r="AE46" s="15" t="e" cm="1">
        <f t="array" aca="1" ref="AE46" ca="1">MMS_PastureBeef_Soil_N2ODirect_Equations.VEERG_4_2_1_3__7_RelativeSize(AE30,M$28)</f>
        <v>#N/A</v>
      </c>
      <c r="AF46" s="16" t="str">
        <f t="shared" si="1"/>
        <v>ratio</v>
      </c>
      <c r="AG46" s="16"/>
      <c r="AH46" s="16"/>
    </row>
    <row r="47" spans="1:34" ht="20" customHeight="1" x14ac:dyDescent="0.25">
      <c r="A47" s="5" t="str">
        <f>HYPERLINK("#'Calcs - Manure sent off-site'!A1", "Calcs - Manure sent off-site")</f>
        <v>Calcs - Manure sent off-site</v>
      </c>
      <c r="U47" s="15" t="str">
        <f>TEXT(EDATE(X_Cell_Site_StartDate,11), "mmmm")</f>
        <v>November</v>
      </c>
      <c r="V47" s="15" t="e" cm="1">
        <f t="array" aca="1" ref="V47" ca="1">MMS_PastureBeef_Soil_N2ODirect_Equations.VEERG_4_2_1_3__7_RelativeSize(V31,D$28)</f>
        <v>#N/A</v>
      </c>
      <c r="W47" s="15" t="e" cm="1">
        <f t="array" aca="1" ref="W47" ca="1">MMS_PastureBeef_Soil_N2ODirect_Equations.VEERG_4_2_1_3__7_RelativeSize(W31,E$28)</f>
        <v>#N/A</v>
      </c>
      <c r="X47" s="15" t="e" cm="1">
        <f t="array" aca="1" ref="X47" ca="1">MMS_PastureBeef_Soil_N2ODirect_Equations.VEERG_4_2_1_3__7_RelativeSize(X31,F$28)</f>
        <v>#N/A</v>
      </c>
      <c r="Y47" s="15" t="e" cm="1">
        <f t="array" aca="1" ref="Y47" ca="1">MMS_PastureBeef_Soil_N2ODirect_Equations.VEERG_4_2_1_3__7_RelativeSize(Y31,G$28)</f>
        <v>#N/A</v>
      </c>
      <c r="Z47" s="15" t="e" cm="1">
        <f t="array" aca="1" ref="Z47" ca="1">MMS_PastureBeef_Soil_N2ODirect_Equations.VEERG_4_2_1_3__7_RelativeSize(Z31,H$28)</f>
        <v>#N/A</v>
      </c>
      <c r="AA47" s="15" t="e" cm="1">
        <f t="array" aca="1" ref="AA47" ca="1">MMS_PastureBeef_Soil_N2ODirect_Equations.VEERG_4_2_1_3__7_RelativeSize(AA31,I$28)</f>
        <v>#N/A</v>
      </c>
      <c r="AB47" s="15" t="e" cm="1">
        <f t="array" aca="1" ref="AB47" ca="1">MMS_PastureBeef_Soil_N2ODirect_Equations.VEERG_4_2_1_3__7_RelativeSize(AB31,J$28)</f>
        <v>#N/A</v>
      </c>
      <c r="AC47" s="15" t="e" cm="1">
        <f t="array" aca="1" ref="AC47" ca="1">MMS_PastureBeef_Soil_N2ODirect_Equations.VEERG_4_2_1_3__7_RelativeSize(AC31,K$28)</f>
        <v>#N/A</v>
      </c>
      <c r="AD47" s="15" t="e" cm="1">
        <f t="array" aca="1" ref="AD47" ca="1">MMS_PastureBeef_Soil_N2ODirect_Equations.VEERG_4_2_1_3__7_RelativeSize(AD31,L$28)</f>
        <v>#N/A</v>
      </c>
      <c r="AE47" s="15" t="e" cm="1">
        <f t="array" aca="1" ref="AE47" ca="1">MMS_PastureBeef_Soil_N2ODirect_Equations.VEERG_4_2_1_3__7_RelativeSize(AE31,M$28)</f>
        <v>#N/A</v>
      </c>
      <c r="AF47" s="16" t="str">
        <f t="shared" si="1"/>
        <v>ratio</v>
      </c>
      <c r="AG47" s="16"/>
      <c r="AH47" s="16"/>
    </row>
    <row r="48" spans="1:34" ht="20" customHeight="1" x14ac:dyDescent="0.25">
      <c r="D48" s="105" t="str" cm="1">
        <f t="array" ref="D48:E49">_xlfn.CHOOSECOLS(MMS_PastureBeef_Soil_N2ODirect_Equations.VEERG_4_2_1_3__6_IntakeRelativeToMaintenance_Arguments(),1,2)</f>
        <v>I_jkl</v>
      </c>
      <c r="E48" s="106" t="str">
        <v>dry matter intake as calculated in Chapter 3 Section 3.2.1 (kg DM/head/day)</v>
      </c>
      <c r="F48" s="108"/>
      <c r="G48" s="105" t="str" cm="1">
        <f t="array" ref="G48:H49">_xlfn.CHOOSECOLS(MMS_PastureBeef_Soil_N2ODirect_Equations.VEERG_4_2_1_3__6_IntakeRelativeToMaintenance_Arguments(),3,4)</f>
        <v>kg DM/head/day</v>
      </c>
      <c r="H48" s="110" t="str">
        <v>Calculated from 3.2.1.1 (3)</v>
      </c>
      <c r="I48" s="111" t="str" cm="1">
        <f t="array" aca="1" ref="I48" ca="1">HYPERLINK(Common_InputFunctions.Utility_SourceHyperlink($D$51), $D$51)</f>
        <v>M1_Table_I_j_k_l</v>
      </c>
    </row>
    <row r="49" spans="1:35" ht="20" customHeight="1" x14ac:dyDescent="0.25">
      <c r="D49" s="105" t="str">
        <v>W_jkl</v>
      </c>
      <c r="E49" s="106" t="str">
        <v>liveweight (kg/head)</v>
      </c>
      <c r="F49" s="108"/>
      <c r="G49" s="105" t="str">
        <v>kg/head</v>
      </c>
      <c r="H49" s="109" t="str">
        <v>Input</v>
      </c>
      <c r="I49" s="111" t="str" cm="1">
        <f t="array" aca="1" ref="I49" ca="1">HYPERLINK(Common_InputFunctions.Utility_SourceHyperlink($D$17), $D$17)</f>
        <v>M1_Table_W_j_k_l</v>
      </c>
    </row>
    <row r="50" spans="1:35" ht="20" customHeight="1" x14ac:dyDescent="0.25">
      <c r="A50" s="85" t="s">
        <v>1</v>
      </c>
      <c r="T50" s="87"/>
      <c r="U50" s="87"/>
      <c r="V50" s="87"/>
      <c r="W50" s="87"/>
      <c r="X50" s="87"/>
      <c r="Y50" s="87"/>
      <c r="Z50" s="87"/>
      <c r="AA50" s="87"/>
      <c r="AB50" s="87"/>
      <c r="AC50" s="87"/>
      <c r="AD50" s="87"/>
      <c r="AE50" s="87"/>
      <c r="AF50" s="87"/>
      <c r="AG50" s="87"/>
      <c r="AH50" s="87"/>
      <c r="AI50" s="87"/>
    </row>
    <row r="51" spans="1:35" ht="20" customHeight="1" x14ac:dyDescent="0.25">
      <c r="A51" s="5" t="str">
        <f>HYPERLINK("#'Constants - Pasture Beef'!A1", "Constants - Pasture Beef")</f>
        <v>Constants - Pasture Beef</v>
      </c>
      <c r="D51" s="112" t="s">
        <v>399</v>
      </c>
      <c r="U51" s="2" t="str" cm="1">
        <f t="array" ref="U51">MMS_PastureBeef_Soil_N2ODirect_Equations.VEERG_4_2_1_3__6_IntakeRelativeToMaintenance_Title()</f>
        <v>Intake relative to that needed for maintenance</v>
      </c>
    </row>
    <row r="52" spans="1:35" ht="20" customHeight="1" x14ac:dyDescent="0.25">
      <c r="A52" s="5" t="str">
        <f>HYPERLINK("#'Constants - Ag Residue'!A1", "Constants - Ag residue")</f>
        <v>Constants - Ag residue</v>
      </c>
      <c r="D52" s="113" t="s">
        <v>400</v>
      </c>
    </row>
    <row r="53" spans="1:35" ht="20" customHeight="1" x14ac:dyDescent="0.25">
      <c r="A53" s="5" t="str">
        <f>HYPERLINK("#'Constants - Common Livestock'!A1", "Constants - Common Livestock")</f>
        <v>Constants - Common Livestock</v>
      </c>
      <c r="D53" s="114" t="s">
        <v>76</v>
      </c>
      <c r="E53" s="114" t="s">
        <v>326</v>
      </c>
      <c r="F53" s="114" t="s">
        <v>184</v>
      </c>
      <c r="G53" s="114" t="s">
        <v>327</v>
      </c>
      <c r="H53" s="114" t="s">
        <v>328</v>
      </c>
      <c r="I53" s="114" t="s">
        <v>329</v>
      </c>
      <c r="J53" s="114" t="s">
        <v>330</v>
      </c>
      <c r="K53" s="114" t="s">
        <v>331</v>
      </c>
      <c r="L53" s="114" t="s">
        <v>332</v>
      </c>
      <c r="M53" s="114" t="s">
        <v>333</v>
      </c>
      <c r="N53" s="114" t="s">
        <v>334</v>
      </c>
      <c r="U53" s="112" t="s">
        <v>397</v>
      </c>
    </row>
    <row r="54" spans="1:35" ht="20" customHeight="1" x14ac:dyDescent="0.25">
      <c r="A54" s="5" t="str">
        <f>HYPERLINK("#'Constants - Electricity'!A1", "Constants - Electricity")</f>
        <v>Constants - Electricity</v>
      </c>
      <c r="D54" s="15" t="s">
        <v>335</v>
      </c>
      <c r="E54" s="15" t="e">
        <f ca="1">INDEX(M1_Table_I_j_k_l,2,2)</f>
        <v>#N/A</v>
      </c>
      <c r="F54" s="15" t="e">
        <f ca="1">INDEX(M1_Table_I_j_k_l,2,3)</f>
        <v>#N/A</v>
      </c>
      <c r="G54" s="15" t="e">
        <f ca="1">INDEX(M1_Table_I_j_k_l,2,4)</f>
        <v>#N/A</v>
      </c>
      <c r="H54" s="15" t="e">
        <f ca="1">INDEX(M1_Table_I_j_k_l,2,5)</f>
        <v>#N/A</v>
      </c>
      <c r="I54" s="15" t="e">
        <f ca="1">INDEX(M1_Table_I_j_k_l,2,6)</f>
        <v>#N/A</v>
      </c>
      <c r="J54" s="15" t="e">
        <f ca="1">INDEX(M1_Table_I_j_k_l,2,7)</f>
        <v>#N/A</v>
      </c>
      <c r="K54" s="15" t="e">
        <f ca="1">INDEX(M1_Table_I_j_k_l,2,8)</f>
        <v>#N/A</v>
      </c>
      <c r="L54" s="15" t="e">
        <f ca="1">INDEX(M1_Table_I_j_k_l,2,9)</f>
        <v>#N/A</v>
      </c>
      <c r="M54" s="15" t="e">
        <f ca="1">INDEX(M1_Table_I_j_k_l,2,10)</f>
        <v>#N/A</v>
      </c>
      <c r="N54" s="15" t="e">
        <f ca="1">INDEX(M1_Table_I_j_k_l,2,11)</f>
        <v>#N/A</v>
      </c>
      <c r="O54" s="16" t="str">
        <f>'4.2.1.1-2 Methane'!O84</f>
        <v>kg DM/head/day</v>
      </c>
      <c r="U54" s="113" t="s">
        <v>398</v>
      </c>
    </row>
    <row r="55" spans="1:35" ht="20" customHeight="1" x14ac:dyDescent="0.25">
      <c r="A55" s="5" t="str">
        <f>HYPERLINK("#'Constants - Fertiliser'!A1", "Constants - Fertiliser")</f>
        <v>Constants - Fertiliser</v>
      </c>
      <c r="D55" s="15" t="s">
        <v>336</v>
      </c>
      <c r="E55" s="15" t="e">
        <f ca="1">INDEX(M1_Table_I_j_k_l,3,2)</f>
        <v>#N/A</v>
      </c>
      <c r="F55" s="15" t="e">
        <f ca="1">INDEX(M1_Table_I_j_k_l,3,3)</f>
        <v>#N/A</v>
      </c>
      <c r="G55" s="15" t="e">
        <f ca="1">INDEX(M1_Table_I_j_k_l,3,4)</f>
        <v>#N/A</v>
      </c>
      <c r="H55" s="15" t="e">
        <f ca="1">INDEX(M1_Table_I_j_k_l,3,5)</f>
        <v>#N/A</v>
      </c>
      <c r="I55" s="15" t="e">
        <f ca="1">INDEX(M1_Table_I_j_k_l,3,6)</f>
        <v>#N/A</v>
      </c>
      <c r="J55" s="15" t="e">
        <f ca="1">INDEX(M1_Table_I_j_k_l,3,7)</f>
        <v>#N/A</v>
      </c>
      <c r="K55" s="15" t="e">
        <f ca="1">INDEX(M1_Table_I_j_k_l,3,8)</f>
        <v>#N/A</v>
      </c>
      <c r="L55" s="15" t="e">
        <f ca="1">INDEX(M1_Table_I_j_k_l,3,9)</f>
        <v>#N/A</v>
      </c>
      <c r="M55" s="15" t="e">
        <f ca="1">INDEX(M1_Table_I_j_k_l,3,10)</f>
        <v>#N/A</v>
      </c>
      <c r="N55" s="15" t="e">
        <f ca="1">INDEX(M1_Table_I_j_k_l,3,11)</f>
        <v>#N/A</v>
      </c>
      <c r="O55" s="16" t="str">
        <f>'4.2.1.1-2 Methane'!O85</f>
        <v>kg DM/head/day</v>
      </c>
      <c r="U55" s="114" t="s">
        <v>75</v>
      </c>
      <c r="V55" s="114" t="s">
        <v>326</v>
      </c>
      <c r="W55" s="114" t="s">
        <v>184</v>
      </c>
      <c r="X55" s="114" t="s">
        <v>327</v>
      </c>
      <c r="Y55" s="114" t="s">
        <v>328</v>
      </c>
      <c r="Z55" s="114" t="s">
        <v>329</v>
      </c>
      <c r="AA55" s="114" t="s">
        <v>330</v>
      </c>
      <c r="AB55" s="114" t="s">
        <v>331</v>
      </c>
      <c r="AC55" s="114" t="s">
        <v>332</v>
      </c>
      <c r="AD55" s="114" t="s">
        <v>333</v>
      </c>
      <c r="AE55" s="114" t="s">
        <v>334</v>
      </c>
    </row>
    <row r="56" spans="1:35" ht="20" customHeight="1" x14ac:dyDescent="0.25">
      <c r="A56" s="5" t="str">
        <f>HYPERLINK("#'Constants - Fuel'!A1", "Constants - Fuel")</f>
        <v>Constants - Fuel</v>
      </c>
      <c r="D56" s="15" t="s">
        <v>337</v>
      </c>
      <c r="E56" s="15" t="e">
        <f ca="1">INDEX(M1_Table_I_j_k_l,4,2)</f>
        <v>#N/A</v>
      </c>
      <c r="F56" s="15" t="e">
        <f ca="1">INDEX(M1_Table_I_j_k_l,4,3)</f>
        <v>#N/A</v>
      </c>
      <c r="G56" s="15" t="e">
        <f ca="1">INDEX(M1_Table_I_j_k_l,4,4)</f>
        <v>#N/A</v>
      </c>
      <c r="H56" s="15" t="e">
        <f ca="1">INDEX(M1_Table_I_j_k_l,4,5)</f>
        <v>#N/A</v>
      </c>
      <c r="I56" s="15" t="e">
        <f ca="1">INDEX(M1_Table_I_j_k_l,4,6)</f>
        <v>#N/A</v>
      </c>
      <c r="J56" s="15" t="e">
        <f ca="1">INDEX(M1_Table_I_j_k_l,4,7)</f>
        <v>#N/A</v>
      </c>
      <c r="K56" s="15" t="e">
        <f ca="1">INDEX(M1_Table_I_j_k_l,4,8)</f>
        <v>#N/A</v>
      </c>
      <c r="L56" s="15" t="e">
        <f ca="1">INDEX(M1_Table_I_j_k_l,4,9)</f>
        <v>#N/A</v>
      </c>
      <c r="M56" s="15" t="e">
        <f ca="1">INDEX(M1_Table_I_j_k_l,4,10)</f>
        <v>#N/A</v>
      </c>
      <c r="N56" s="15" t="e">
        <f ca="1">INDEX(M1_Table_I_j_k_l,4,11)</f>
        <v>#N/A</v>
      </c>
      <c r="O56" s="16" t="str">
        <f>'4.2.1.1-2 Methane'!O86</f>
        <v>kg DM/head/day</v>
      </c>
      <c r="U56" s="15" t="str">
        <f>TEXT(X_Cell_Site_StartDate,"mmmm")</f>
        <v>January</v>
      </c>
      <c r="V56" s="15" t="e">
        <f ca="1">INDEX(M2_Table_I_j_k_l,2,2)</f>
        <v>#N/A</v>
      </c>
      <c r="W56" s="15" t="e">
        <f ca="1">INDEX(M2_Table_I_j_k_l,2,3)</f>
        <v>#N/A</v>
      </c>
      <c r="X56" s="15" t="e">
        <f ca="1">INDEX(M2_Table_I_j_k_l,2,4)</f>
        <v>#N/A</v>
      </c>
      <c r="Y56" s="15" t="e">
        <f ca="1">INDEX(M2_Table_I_j_k_l,2,5)</f>
        <v>#N/A</v>
      </c>
      <c r="Z56" s="15" t="e">
        <f ca="1">INDEX(M2_Table_I_j_k_l,2,6)</f>
        <v>#N/A</v>
      </c>
      <c r="AA56" s="15" t="e">
        <f ca="1">INDEX(M2_Table_I_j_k_l,2,7)</f>
        <v>#N/A</v>
      </c>
      <c r="AB56" s="15" t="e">
        <f ca="1">INDEX(M2_Table_I_j_k_l,2,8)</f>
        <v>#N/A</v>
      </c>
      <c r="AC56" s="15" t="e">
        <f ca="1">INDEX(M2_Table_I_j_k_l,2,9)</f>
        <v>#N/A</v>
      </c>
      <c r="AD56" s="15" t="e">
        <f ca="1">INDEX(M2_Table_I_j_k_l,2,10)</f>
        <v>#N/A</v>
      </c>
      <c r="AE56" s="15" t="e">
        <f ca="1">INDEX(M2_Table_I_j_k_l,2,11)</f>
        <v>#N/A</v>
      </c>
      <c r="AF56" s="16" t="str">
        <f>'4.2.1.1-2 Methane'!AH76</f>
        <v>kg DM/head/day</v>
      </c>
      <c r="AG56" s="16"/>
      <c r="AH56" s="16"/>
    </row>
    <row r="57" spans="1:35" ht="20" customHeight="1" x14ac:dyDescent="0.25">
      <c r="A57" s="5" t="str">
        <f>HYPERLINK("#'Constants - Scope 3'!A1", "Constants - Scope 3")</f>
        <v>Constants - Scope 3</v>
      </c>
      <c r="D57" s="15" t="s">
        <v>338</v>
      </c>
      <c r="E57" s="15" t="e">
        <f ca="1">INDEX(M1_Table_I_j_k_l,5,2)</f>
        <v>#N/A</v>
      </c>
      <c r="F57" s="15" t="e">
        <f ca="1">INDEX(M1_Table_I_j_k_l,5,3)</f>
        <v>#N/A</v>
      </c>
      <c r="G57" s="15" t="e">
        <f ca="1">INDEX(M1_Table_I_j_k_l,5,4)</f>
        <v>#N/A</v>
      </c>
      <c r="H57" s="15" t="e">
        <f ca="1">INDEX(M1_Table_I_j_k_l,5,5)</f>
        <v>#N/A</v>
      </c>
      <c r="I57" s="15" t="e">
        <f ca="1">INDEX(M1_Table_I_j_k_l,5,6)</f>
        <v>#N/A</v>
      </c>
      <c r="J57" s="15" t="e">
        <f ca="1">INDEX(M1_Table_I_j_k_l,5,7)</f>
        <v>#N/A</v>
      </c>
      <c r="K57" s="15" t="e">
        <f ca="1">INDEX(M1_Table_I_j_k_l,5,8)</f>
        <v>#N/A</v>
      </c>
      <c r="L57" s="15" t="e">
        <f ca="1">INDEX(M1_Table_I_j_k_l,5,9)</f>
        <v>#N/A</v>
      </c>
      <c r="M57" s="15" t="e">
        <f ca="1">INDEX(M1_Table_I_j_k_l,5,10)</f>
        <v>#N/A</v>
      </c>
      <c r="N57" s="15" t="e">
        <f ca="1">INDEX(M1_Table_I_j_k_l,5,11)</f>
        <v>#N/A</v>
      </c>
      <c r="O57" s="16" t="str">
        <f>'4.2.1.1-2 Methane'!O87</f>
        <v>kg DM/head/day</v>
      </c>
      <c r="U57" s="15" t="str">
        <f>TEXT(EDATE(X_Cell_Site_StartDate,1), "mmmm")</f>
        <v>January</v>
      </c>
      <c r="V57" s="15" t="e">
        <f ca="1">INDEX(M2_Table_I_j_k_l,3,2)</f>
        <v>#N/A</v>
      </c>
      <c r="W57" s="15" t="e">
        <f ca="1">INDEX(M2_Table_I_j_k_l,3,3)</f>
        <v>#N/A</v>
      </c>
      <c r="X57" s="15" t="e">
        <f ca="1">INDEX(M2_Table_I_j_k_l,3,4)</f>
        <v>#N/A</v>
      </c>
      <c r="Y57" s="15" t="e">
        <f ca="1">INDEX(M2_Table_I_j_k_l,3,5)</f>
        <v>#N/A</v>
      </c>
      <c r="Z57" s="15" t="e">
        <f ca="1">INDEX(M2_Table_I_j_k_l,3,6)</f>
        <v>#N/A</v>
      </c>
      <c r="AA57" s="15" t="e">
        <f ca="1">INDEX(M2_Table_I_j_k_l,3,7)</f>
        <v>#N/A</v>
      </c>
      <c r="AB57" s="15" t="e">
        <f ca="1">INDEX(M2_Table_I_j_k_l,3,8)</f>
        <v>#N/A</v>
      </c>
      <c r="AC57" s="15" t="e">
        <f ca="1">INDEX(M2_Table_I_j_k_l,3,9)</f>
        <v>#N/A</v>
      </c>
      <c r="AD57" s="15" t="e">
        <f ca="1">INDEX(M2_Table_I_j_k_l,3,10)</f>
        <v>#N/A</v>
      </c>
      <c r="AE57" s="15" t="e">
        <f ca="1">INDEX(M2_Table_I_j_k_l,3,11)</f>
        <v>#N/A</v>
      </c>
      <c r="AF57" s="16" t="str">
        <f>'4.2.1.1-2 Methane'!AH77</f>
        <v>kg DM/head/day</v>
      </c>
      <c r="AG57" s="16"/>
      <c r="AH57" s="16"/>
    </row>
    <row r="58" spans="1:35" ht="20" customHeight="1" x14ac:dyDescent="0.25">
      <c r="A58" s="5" t="str">
        <f>HYPERLINK("#'Constants - Solid Waste'!A1", "Constants - Solid Waste")</f>
        <v>Constants - Solid Waste</v>
      </c>
      <c r="U58" s="15" t="str">
        <f>TEXT(EDATE(X_Cell_Site_StartDate,2), "mmmm")</f>
        <v>February</v>
      </c>
      <c r="V58" s="15" t="e">
        <f ca="1">INDEX(M2_Table_I_j_k_l,4,2)</f>
        <v>#N/A</v>
      </c>
      <c r="W58" s="15" t="e">
        <f ca="1">INDEX(M2_Table_I_j_k_l,4,3)</f>
        <v>#N/A</v>
      </c>
      <c r="X58" s="15" t="e">
        <f ca="1">INDEX(M2_Table_I_j_k_l,4,4)</f>
        <v>#N/A</v>
      </c>
      <c r="Y58" s="15" t="e">
        <f ca="1">INDEX(M2_Table_I_j_k_l,4,5)</f>
        <v>#N/A</v>
      </c>
      <c r="Z58" s="15" t="e">
        <f ca="1">INDEX(M2_Table_I_j_k_l,4,6)</f>
        <v>#N/A</v>
      </c>
      <c r="AA58" s="15" t="e">
        <f ca="1">INDEX(M2_Table_I_j_k_l,4,7)</f>
        <v>#N/A</v>
      </c>
      <c r="AB58" s="15" t="e">
        <f ca="1">INDEX(M2_Table_I_j_k_l,4,8)</f>
        <v>#N/A</v>
      </c>
      <c r="AC58" s="15" t="e">
        <f ca="1">INDEX(M2_Table_I_j_k_l,4,9)</f>
        <v>#N/A</v>
      </c>
      <c r="AD58" s="15" t="e">
        <f ca="1">INDEX(M2_Table_I_j_k_l,4,10)</f>
        <v>#N/A</v>
      </c>
      <c r="AE58" s="15" t="e">
        <f ca="1">INDEX(M2_Table_I_j_k_l,4,11)</f>
        <v>#N/A</v>
      </c>
      <c r="AF58" s="16" t="str">
        <f>'4.2.1.1-2 Methane'!AH78</f>
        <v>kg DM/head/day</v>
      </c>
      <c r="AG58" s="16"/>
      <c r="AH58" s="16"/>
    </row>
    <row r="59" spans="1:35" ht="20" customHeight="1" x14ac:dyDescent="0.25">
      <c r="A59" s="5" t="str">
        <f>HYPERLINK("#'Constants - Common'!A1", "Constants - Common")</f>
        <v>Constants - Common</v>
      </c>
      <c r="D59" s="112" t="s">
        <v>446</v>
      </c>
      <c r="U59" s="15" t="str">
        <f>TEXT(EDATE(X_Cell_Site_StartDate,3), "mmmm")</f>
        <v>March</v>
      </c>
      <c r="V59" s="15" t="e">
        <f ca="1">INDEX(M2_Table_I_j_k_l,5,2)</f>
        <v>#N/A</v>
      </c>
      <c r="W59" s="15" t="e">
        <f ca="1">INDEX(M2_Table_I_j_k_l,5,3)</f>
        <v>#N/A</v>
      </c>
      <c r="X59" s="15" t="e">
        <f ca="1">INDEX(M2_Table_I_j_k_l,5,4)</f>
        <v>#N/A</v>
      </c>
      <c r="Y59" s="15" t="e">
        <f ca="1">INDEX(M2_Table_I_j_k_l,5,5)</f>
        <v>#N/A</v>
      </c>
      <c r="Z59" s="15" t="e">
        <f ca="1">INDEX(M2_Table_I_j_k_l,5,6)</f>
        <v>#N/A</v>
      </c>
      <c r="AA59" s="15" t="e">
        <f ca="1">INDEX(M2_Table_I_j_k_l,5,7)</f>
        <v>#N/A</v>
      </c>
      <c r="AB59" s="15" t="e">
        <f ca="1">INDEX(M2_Table_I_j_k_l,5,8)</f>
        <v>#N/A</v>
      </c>
      <c r="AC59" s="15" t="e">
        <f ca="1">INDEX(M2_Table_I_j_k_l,5,9)</f>
        <v>#N/A</v>
      </c>
      <c r="AD59" s="15" t="e">
        <f ca="1">INDEX(M2_Table_I_j_k_l,5,10)</f>
        <v>#N/A</v>
      </c>
      <c r="AE59" s="15" t="e">
        <f ca="1">INDEX(M2_Table_I_j_k_l,5,11)</f>
        <v>#N/A</v>
      </c>
      <c r="AF59" s="16" t="str">
        <f>'4.2.1.1-2 Methane'!AH79</f>
        <v>kg DM/head/day</v>
      </c>
      <c r="AG59" s="16"/>
      <c r="AH59" s="16"/>
    </row>
    <row r="60" spans="1:35" ht="20" customHeight="1" x14ac:dyDescent="0.25">
      <c r="A60" s="5" t="str">
        <f>HYPERLINK("#'Acknowledgements'!A1", "Acknowledgements")</f>
        <v>Acknowledgements</v>
      </c>
      <c r="D60" s="113" t="s">
        <v>447</v>
      </c>
      <c r="U60" s="15" t="str">
        <f>TEXT(EDATE(X_Cell_Site_StartDate,4), "mmmm")</f>
        <v>April</v>
      </c>
      <c r="V60" s="15" t="e">
        <f ca="1">INDEX(M2_Table_I_j_k_l,6,2)</f>
        <v>#N/A</v>
      </c>
      <c r="W60" s="15" t="e">
        <f ca="1">INDEX(M2_Table_I_j_k_l,6,3)</f>
        <v>#N/A</v>
      </c>
      <c r="X60" s="15" t="e">
        <f ca="1">INDEX(M2_Table_I_j_k_l,6,4)</f>
        <v>#N/A</v>
      </c>
      <c r="Y60" s="15" t="e">
        <f ca="1">INDEX(M2_Table_I_j_k_l,6,5)</f>
        <v>#N/A</v>
      </c>
      <c r="Z60" s="15" t="e">
        <f ca="1">INDEX(M2_Table_I_j_k_l,6,6)</f>
        <v>#N/A</v>
      </c>
      <c r="AA60" s="15" t="e">
        <f ca="1">INDEX(M2_Table_I_j_k_l,6,7)</f>
        <v>#N/A</v>
      </c>
      <c r="AB60" s="15" t="e">
        <f ca="1">INDEX(M2_Table_I_j_k_l,6,8)</f>
        <v>#N/A</v>
      </c>
      <c r="AC60" s="15" t="e">
        <f ca="1">INDEX(M2_Table_I_j_k_l,6,9)</f>
        <v>#N/A</v>
      </c>
      <c r="AD60" s="15" t="e">
        <f ca="1">INDEX(M2_Table_I_j_k_l,6,10)</f>
        <v>#N/A</v>
      </c>
      <c r="AE60" s="15" t="e">
        <f ca="1">INDEX(M2_Table_I_j_k_l,6,11)</f>
        <v>#N/A</v>
      </c>
      <c r="AF60" s="16" t="str">
        <f>'4.2.1.1-2 Methane'!AH80</f>
        <v>kg DM/head/day</v>
      </c>
      <c r="AG60" s="16"/>
      <c r="AH60" s="16"/>
    </row>
    <row r="61" spans="1:35" ht="20" customHeight="1" x14ac:dyDescent="0.25">
      <c r="D61" s="114" t="s">
        <v>76</v>
      </c>
      <c r="E61" s="114" t="s">
        <v>326</v>
      </c>
      <c r="F61" s="114" t="s">
        <v>184</v>
      </c>
      <c r="G61" s="114" t="s">
        <v>327</v>
      </c>
      <c r="H61" s="114" t="s">
        <v>328</v>
      </c>
      <c r="I61" s="114" t="s">
        <v>329</v>
      </c>
      <c r="J61" s="114" t="s">
        <v>330</v>
      </c>
      <c r="K61" s="114" t="s">
        <v>331</v>
      </c>
      <c r="L61" s="114" t="s">
        <v>332</v>
      </c>
      <c r="M61" s="114" t="s">
        <v>333</v>
      </c>
      <c r="N61" s="114" t="s">
        <v>334</v>
      </c>
      <c r="U61" s="15" t="str">
        <f>TEXT(EDATE(X_Cell_Site_StartDate,5), "mmmm")</f>
        <v>May</v>
      </c>
      <c r="V61" s="15" t="e">
        <f ca="1">INDEX(M2_Table_I_j_k_l,7,2)</f>
        <v>#N/A</v>
      </c>
      <c r="W61" s="15" t="e">
        <f ca="1">INDEX(M2_Table_I_j_k_l,7,3)</f>
        <v>#N/A</v>
      </c>
      <c r="X61" s="15" t="e">
        <f ca="1">INDEX(M2_Table_I_j_k_l,7,4)</f>
        <v>#N/A</v>
      </c>
      <c r="Y61" s="15" t="e">
        <f ca="1">INDEX(M2_Table_I_j_k_l,7,5)</f>
        <v>#N/A</v>
      </c>
      <c r="Z61" s="15" t="e">
        <f ca="1">INDEX(M2_Table_I_j_k_l,7,6)</f>
        <v>#N/A</v>
      </c>
      <c r="AA61" s="15" t="e">
        <f ca="1">INDEX(M2_Table_I_j_k_l,7,7)</f>
        <v>#N/A</v>
      </c>
      <c r="AB61" s="15" t="e">
        <f ca="1">INDEX(M2_Table_I_j_k_l,7,8)</f>
        <v>#N/A</v>
      </c>
      <c r="AC61" s="15" t="e">
        <f ca="1">INDEX(M2_Table_I_j_k_l,7,9)</f>
        <v>#N/A</v>
      </c>
      <c r="AD61" s="15" t="e">
        <f ca="1">INDEX(M2_Table_I_j_k_l,7,10)</f>
        <v>#N/A</v>
      </c>
      <c r="AE61" s="15" t="e">
        <f ca="1">INDEX(M2_Table_I_j_k_l,7,11)</f>
        <v>#N/A</v>
      </c>
      <c r="AF61" s="16" t="str">
        <f>'4.2.1.1-2 Methane'!AH81</f>
        <v>kg DM/head/day</v>
      </c>
      <c r="AG61" s="16"/>
      <c r="AH61" s="16"/>
    </row>
    <row r="62" spans="1:35" ht="20" customHeight="1" x14ac:dyDescent="0.25">
      <c r="D62" s="15" t="s">
        <v>335</v>
      </c>
      <c r="E62" s="15" t="e" cm="1">
        <f t="array" aca="1" ref="E62" ca="1">MMS_PastureBeef_Soil_N2ODirect_Equations.VEERG_4_2_1_3__6_IntakeRelativeToMaintenance(E54,E20)</f>
        <v>#N/A</v>
      </c>
      <c r="F62" s="15" t="e" cm="1">
        <f t="array" aca="1" ref="F62" ca="1">MMS_PastureBeef_Soil_N2ODirect_Equations.VEERG_4_2_1_3__6_IntakeRelativeToMaintenance(F54,F20)</f>
        <v>#N/A</v>
      </c>
      <c r="G62" s="15" t="e" cm="1">
        <f t="array" aca="1" ref="G62" ca="1">MMS_PastureBeef_Soil_N2ODirect_Equations.VEERG_4_2_1_3__6_IntakeRelativeToMaintenance(G54,G20)</f>
        <v>#N/A</v>
      </c>
      <c r="H62" s="15" t="e" cm="1">
        <f t="array" aca="1" ref="H62" ca="1">MMS_PastureBeef_Soil_N2ODirect_Equations.VEERG_4_2_1_3__6_IntakeRelativeToMaintenance(H54,H20)</f>
        <v>#N/A</v>
      </c>
      <c r="I62" s="15" t="e" cm="1">
        <f t="array" aca="1" ref="I62" ca="1">MMS_PastureBeef_Soil_N2ODirect_Equations.VEERG_4_2_1_3__6_IntakeRelativeToMaintenance(I54,I20)</f>
        <v>#N/A</v>
      </c>
      <c r="J62" s="15" t="e" cm="1">
        <f t="array" aca="1" ref="J62" ca="1">MMS_PastureBeef_Soil_N2ODirect_Equations.VEERG_4_2_1_3__6_IntakeRelativeToMaintenance(J54,J20)</f>
        <v>#N/A</v>
      </c>
      <c r="K62" s="15" t="e" cm="1">
        <f t="array" aca="1" ref="K62" ca="1">MMS_PastureBeef_Soil_N2ODirect_Equations.VEERG_4_2_1_3__6_IntakeRelativeToMaintenance(K54,K20)</f>
        <v>#N/A</v>
      </c>
      <c r="L62" s="15" t="e" cm="1">
        <f t="array" aca="1" ref="L62" ca="1">MMS_PastureBeef_Soil_N2ODirect_Equations.VEERG_4_2_1_3__6_IntakeRelativeToMaintenance(L54,L20)</f>
        <v>#N/A</v>
      </c>
      <c r="M62" s="15" t="e" cm="1">
        <f t="array" aca="1" ref="M62" ca="1">MMS_PastureBeef_Soil_N2ODirect_Equations.VEERG_4_2_1_3__6_IntakeRelativeToMaintenance(M54,M20)</f>
        <v>#N/A</v>
      </c>
      <c r="N62" s="15" t="e" cm="1">
        <f t="array" aca="1" ref="N62" ca="1">MMS_PastureBeef_Soil_N2ODirect_Equations.VEERG_4_2_1_3__6_IntakeRelativeToMaintenance(N54,N20)</f>
        <v>#N/A</v>
      </c>
      <c r="O62" s="16" t="str">
        <f>$E$46</f>
        <v>ratio</v>
      </c>
      <c r="U62" s="15" t="str">
        <f>TEXT(EDATE(X_Cell_Site_StartDate,6), "mmmm")</f>
        <v>June</v>
      </c>
      <c r="V62" s="15" t="e">
        <f ca="1">INDEX(M2_Table_I_j_k_l,8,2)</f>
        <v>#N/A</v>
      </c>
      <c r="W62" s="15" t="e">
        <f ca="1">INDEX(M2_Table_I_j_k_l,8,3)</f>
        <v>#N/A</v>
      </c>
      <c r="X62" s="15" t="e">
        <f ca="1">INDEX(M2_Table_I_j_k_l,8,4)</f>
        <v>#N/A</v>
      </c>
      <c r="Y62" s="15" t="e">
        <f ca="1">INDEX(M2_Table_I_j_k_l,8,5)</f>
        <v>#N/A</v>
      </c>
      <c r="Z62" s="15" t="e">
        <f ca="1">INDEX(M2_Table_I_j_k_l,8,6)</f>
        <v>#N/A</v>
      </c>
      <c r="AA62" s="15" t="e">
        <f ca="1">INDEX(M2_Table_I_j_k_l,8,7)</f>
        <v>#N/A</v>
      </c>
      <c r="AB62" s="15" t="e">
        <f ca="1">INDEX(M2_Table_I_j_k_l,8,8)</f>
        <v>#N/A</v>
      </c>
      <c r="AC62" s="15" t="e">
        <f ca="1">INDEX(M2_Table_I_j_k_l,8,9)</f>
        <v>#N/A</v>
      </c>
      <c r="AD62" s="15" t="e">
        <f ca="1">INDEX(M2_Table_I_j_k_l,8,10)</f>
        <v>#N/A</v>
      </c>
      <c r="AE62" s="15" t="e">
        <f ca="1">INDEX(M2_Table_I_j_k_l,8,11)</f>
        <v>#N/A</v>
      </c>
      <c r="AF62" s="16" t="str">
        <f>'4.2.1.1-2 Methane'!AH82</f>
        <v>kg DM/head/day</v>
      </c>
      <c r="AG62" s="16"/>
      <c r="AH62" s="16"/>
    </row>
    <row r="63" spans="1:35" ht="20" customHeight="1" x14ac:dyDescent="0.25">
      <c r="D63" s="15" t="s">
        <v>336</v>
      </c>
      <c r="E63" s="15" t="e" cm="1">
        <f t="array" aca="1" ref="E63" ca="1">MMS_PastureBeef_Soil_N2ODirect_Equations.VEERG_4_2_1_3__6_IntakeRelativeToMaintenance(E55,E21)</f>
        <v>#N/A</v>
      </c>
      <c r="F63" s="15" t="e" cm="1">
        <f t="array" aca="1" ref="F63" ca="1">MMS_PastureBeef_Soil_N2ODirect_Equations.VEERG_4_2_1_3__6_IntakeRelativeToMaintenance(F55,F21)</f>
        <v>#N/A</v>
      </c>
      <c r="G63" s="15" t="e" cm="1">
        <f t="array" aca="1" ref="G63" ca="1">MMS_PastureBeef_Soil_N2ODirect_Equations.VEERG_4_2_1_3__6_IntakeRelativeToMaintenance(G55,G21)</f>
        <v>#N/A</v>
      </c>
      <c r="H63" s="15" t="e" cm="1">
        <f t="array" aca="1" ref="H63" ca="1">MMS_PastureBeef_Soil_N2ODirect_Equations.VEERG_4_2_1_3__6_IntakeRelativeToMaintenance(H55,H21)</f>
        <v>#N/A</v>
      </c>
      <c r="I63" s="15" t="e" cm="1">
        <f t="array" aca="1" ref="I63" ca="1">MMS_PastureBeef_Soil_N2ODirect_Equations.VEERG_4_2_1_3__6_IntakeRelativeToMaintenance(I55,I21)</f>
        <v>#N/A</v>
      </c>
      <c r="J63" s="15" t="e" cm="1">
        <f t="array" aca="1" ref="J63" ca="1">MMS_PastureBeef_Soil_N2ODirect_Equations.VEERG_4_2_1_3__6_IntakeRelativeToMaintenance(J55,J21)</f>
        <v>#N/A</v>
      </c>
      <c r="K63" s="15" t="e" cm="1">
        <f t="array" aca="1" ref="K63" ca="1">MMS_PastureBeef_Soil_N2ODirect_Equations.VEERG_4_2_1_3__6_IntakeRelativeToMaintenance(K55,K21)</f>
        <v>#N/A</v>
      </c>
      <c r="L63" s="15" t="e" cm="1">
        <f t="array" aca="1" ref="L63" ca="1">MMS_PastureBeef_Soil_N2ODirect_Equations.VEERG_4_2_1_3__6_IntakeRelativeToMaintenance(L55,L21)</f>
        <v>#N/A</v>
      </c>
      <c r="M63" s="15" t="e" cm="1">
        <f t="array" aca="1" ref="M63" ca="1">MMS_PastureBeef_Soil_N2ODirect_Equations.VEERG_4_2_1_3__6_IntakeRelativeToMaintenance(M55,M21)</f>
        <v>#N/A</v>
      </c>
      <c r="N63" s="15" t="e" cm="1">
        <f t="array" aca="1" ref="N63" ca="1">MMS_PastureBeef_Soil_N2ODirect_Equations.VEERG_4_2_1_3__6_IntakeRelativeToMaintenance(N55,N21)</f>
        <v>#N/A</v>
      </c>
      <c r="O63" s="16" t="str">
        <f t="shared" ref="O63:O65" si="2">$E$46</f>
        <v>ratio</v>
      </c>
      <c r="U63" s="15" t="str">
        <f>TEXT(EDATE(X_Cell_Site_StartDate,7), "mmmm")</f>
        <v>July</v>
      </c>
      <c r="V63" s="15" t="e">
        <f ca="1">INDEX(M2_Table_I_j_k_l,9,2)</f>
        <v>#N/A</v>
      </c>
      <c r="W63" s="15" t="e">
        <f ca="1">INDEX(M2_Table_I_j_k_l,9,3)</f>
        <v>#N/A</v>
      </c>
      <c r="X63" s="15" t="e">
        <f ca="1">INDEX(M2_Table_I_j_k_l,9,4)</f>
        <v>#N/A</v>
      </c>
      <c r="Y63" s="15" t="e">
        <f ca="1">INDEX(M2_Table_I_j_k_l,9,5)</f>
        <v>#N/A</v>
      </c>
      <c r="Z63" s="15" t="e">
        <f ca="1">INDEX(M2_Table_I_j_k_l,9,6)</f>
        <v>#N/A</v>
      </c>
      <c r="AA63" s="15" t="e">
        <f ca="1">INDEX(M2_Table_I_j_k_l,9,7)</f>
        <v>#N/A</v>
      </c>
      <c r="AB63" s="15" t="e">
        <f ca="1">INDEX(M2_Table_I_j_k_l,9,8)</f>
        <v>#N/A</v>
      </c>
      <c r="AC63" s="15" t="e">
        <f ca="1">INDEX(M2_Table_I_j_k_l,9,9)</f>
        <v>#N/A</v>
      </c>
      <c r="AD63" s="15" t="e">
        <f ca="1">INDEX(M2_Table_I_j_k_l,9,10)</f>
        <v>#N/A</v>
      </c>
      <c r="AE63" s="15" t="e">
        <f ca="1">INDEX(M2_Table_I_j_k_l,9,11)</f>
        <v>#N/A</v>
      </c>
      <c r="AF63" s="16" t="str">
        <f>'4.2.1.1-2 Methane'!AH83</f>
        <v>kg DM/head/day</v>
      </c>
      <c r="AG63" s="16"/>
      <c r="AH63" s="16"/>
    </row>
    <row r="64" spans="1:35" ht="20" customHeight="1" x14ac:dyDescent="0.25">
      <c r="D64" s="15" t="s">
        <v>337</v>
      </c>
      <c r="E64" s="15" t="e" cm="1">
        <f t="array" aca="1" ref="E64" ca="1">MMS_PastureBeef_Soil_N2ODirect_Equations.VEERG_4_2_1_3__6_IntakeRelativeToMaintenance(E56,E22)</f>
        <v>#N/A</v>
      </c>
      <c r="F64" s="15" t="e" cm="1">
        <f t="array" aca="1" ref="F64" ca="1">MMS_PastureBeef_Soil_N2ODirect_Equations.VEERG_4_2_1_3__6_IntakeRelativeToMaintenance(F56,F22)</f>
        <v>#N/A</v>
      </c>
      <c r="G64" s="15" t="e" cm="1">
        <f t="array" aca="1" ref="G64" ca="1">MMS_PastureBeef_Soil_N2ODirect_Equations.VEERG_4_2_1_3__6_IntakeRelativeToMaintenance(G56,G22)</f>
        <v>#N/A</v>
      </c>
      <c r="H64" s="15" t="e" cm="1">
        <f t="array" aca="1" ref="H64" ca="1">MMS_PastureBeef_Soil_N2ODirect_Equations.VEERG_4_2_1_3__6_IntakeRelativeToMaintenance(H56,H22)</f>
        <v>#N/A</v>
      </c>
      <c r="I64" s="15" t="e" cm="1">
        <f t="array" aca="1" ref="I64" ca="1">MMS_PastureBeef_Soil_N2ODirect_Equations.VEERG_4_2_1_3__6_IntakeRelativeToMaintenance(I56,I22)</f>
        <v>#N/A</v>
      </c>
      <c r="J64" s="15" t="e" cm="1">
        <f t="array" aca="1" ref="J64" ca="1">MMS_PastureBeef_Soil_N2ODirect_Equations.VEERG_4_2_1_3__6_IntakeRelativeToMaintenance(J56,J22)</f>
        <v>#N/A</v>
      </c>
      <c r="K64" s="15" t="e" cm="1">
        <f t="array" aca="1" ref="K64" ca="1">MMS_PastureBeef_Soil_N2ODirect_Equations.VEERG_4_2_1_3__6_IntakeRelativeToMaintenance(K56,K22)</f>
        <v>#N/A</v>
      </c>
      <c r="L64" s="15" t="e" cm="1">
        <f t="array" aca="1" ref="L64" ca="1">MMS_PastureBeef_Soil_N2ODirect_Equations.VEERG_4_2_1_3__6_IntakeRelativeToMaintenance(L56,L22)</f>
        <v>#N/A</v>
      </c>
      <c r="M64" s="15" t="e" cm="1">
        <f t="array" aca="1" ref="M64" ca="1">MMS_PastureBeef_Soil_N2ODirect_Equations.VEERG_4_2_1_3__6_IntakeRelativeToMaintenance(M56,M22)</f>
        <v>#N/A</v>
      </c>
      <c r="N64" s="15" t="e" cm="1">
        <f t="array" aca="1" ref="N64" ca="1">MMS_PastureBeef_Soil_N2ODirect_Equations.VEERG_4_2_1_3__6_IntakeRelativeToMaintenance(N56,N22)</f>
        <v>#N/A</v>
      </c>
      <c r="O64" s="16" t="str">
        <f t="shared" si="2"/>
        <v>ratio</v>
      </c>
      <c r="U64" s="15" t="str">
        <f>TEXT(EDATE(X_Cell_Site_StartDate,8), "mmmm")</f>
        <v>August</v>
      </c>
      <c r="V64" s="15" t="e">
        <f ca="1">INDEX(M2_Table_I_j_k_l,10,2)</f>
        <v>#N/A</v>
      </c>
      <c r="W64" s="15" t="e">
        <f ca="1">INDEX(M2_Table_I_j_k_l,10,3)</f>
        <v>#N/A</v>
      </c>
      <c r="X64" s="15" t="e">
        <f ca="1">INDEX(M2_Table_I_j_k_l,10,4)</f>
        <v>#N/A</v>
      </c>
      <c r="Y64" s="15" t="e">
        <f ca="1">INDEX(M2_Table_I_j_k_l,10,5)</f>
        <v>#N/A</v>
      </c>
      <c r="Z64" s="15" t="e">
        <f ca="1">INDEX(M2_Table_I_j_k_l,10,6)</f>
        <v>#N/A</v>
      </c>
      <c r="AA64" s="15" t="e">
        <f ca="1">INDEX(M2_Table_I_j_k_l,10,7)</f>
        <v>#N/A</v>
      </c>
      <c r="AB64" s="15" t="e">
        <f ca="1">INDEX(M2_Table_I_j_k_l,10,8)</f>
        <v>#N/A</v>
      </c>
      <c r="AC64" s="15" t="e">
        <f ca="1">INDEX(M2_Table_I_j_k_l,10,9)</f>
        <v>#N/A</v>
      </c>
      <c r="AD64" s="15" t="e">
        <f ca="1">INDEX(M2_Table_I_j_k_l,10,10)</f>
        <v>#N/A</v>
      </c>
      <c r="AE64" s="15" t="e">
        <f ca="1">INDEX(M2_Table_I_j_k_l,10,11)</f>
        <v>#N/A</v>
      </c>
      <c r="AF64" s="16" t="str">
        <f>'4.2.1.1-2 Methane'!AH84</f>
        <v>kg DM/head/day</v>
      </c>
      <c r="AG64" s="16"/>
      <c r="AH64" s="16"/>
    </row>
    <row r="65" spans="3:34" ht="20" customHeight="1" x14ac:dyDescent="0.25">
      <c r="D65" s="15" t="s">
        <v>338</v>
      </c>
      <c r="E65" s="15" t="e" cm="1">
        <f t="array" aca="1" ref="E65" ca="1">MMS_PastureBeef_Soil_N2ODirect_Equations.VEERG_4_2_1_3__6_IntakeRelativeToMaintenance(E57,E23)</f>
        <v>#N/A</v>
      </c>
      <c r="F65" s="15" t="e" cm="1">
        <f t="array" aca="1" ref="F65" ca="1">MMS_PastureBeef_Soil_N2ODirect_Equations.VEERG_4_2_1_3__6_IntakeRelativeToMaintenance(F57,F23)</f>
        <v>#N/A</v>
      </c>
      <c r="G65" s="15" t="e" cm="1">
        <f t="array" aca="1" ref="G65" ca="1">MMS_PastureBeef_Soil_N2ODirect_Equations.VEERG_4_2_1_3__6_IntakeRelativeToMaintenance(G57,G23)</f>
        <v>#N/A</v>
      </c>
      <c r="H65" s="15" t="e" cm="1">
        <f t="array" aca="1" ref="H65" ca="1">MMS_PastureBeef_Soil_N2ODirect_Equations.VEERG_4_2_1_3__6_IntakeRelativeToMaintenance(H57,H23)</f>
        <v>#N/A</v>
      </c>
      <c r="I65" s="15" t="e" cm="1">
        <f t="array" aca="1" ref="I65" ca="1">MMS_PastureBeef_Soil_N2ODirect_Equations.VEERG_4_2_1_3__6_IntakeRelativeToMaintenance(I57,I23)</f>
        <v>#N/A</v>
      </c>
      <c r="J65" s="15" t="e" cm="1">
        <f t="array" aca="1" ref="J65" ca="1">MMS_PastureBeef_Soil_N2ODirect_Equations.VEERG_4_2_1_3__6_IntakeRelativeToMaintenance(J57,J23)</f>
        <v>#N/A</v>
      </c>
      <c r="K65" s="15" t="e" cm="1">
        <f t="array" aca="1" ref="K65" ca="1">MMS_PastureBeef_Soil_N2ODirect_Equations.VEERG_4_2_1_3__6_IntakeRelativeToMaintenance(K57,K23)</f>
        <v>#N/A</v>
      </c>
      <c r="L65" s="15" t="e" cm="1">
        <f t="array" aca="1" ref="L65" ca="1">MMS_PastureBeef_Soil_N2ODirect_Equations.VEERG_4_2_1_3__6_IntakeRelativeToMaintenance(L57,L23)</f>
        <v>#N/A</v>
      </c>
      <c r="M65" s="15" t="e" cm="1">
        <f t="array" aca="1" ref="M65" ca="1">MMS_PastureBeef_Soil_N2ODirect_Equations.VEERG_4_2_1_3__6_IntakeRelativeToMaintenance(M57,M23)</f>
        <v>#N/A</v>
      </c>
      <c r="N65" s="15" t="e" cm="1">
        <f t="array" aca="1" ref="N65" ca="1">MMS_PastureBeef_Soil_N2ODirect_Equations.VEERG_4_2_1_3__6_IntakeRelativeToMaintenance(N57,N23)</f>
        <v>#N/A</v>
      </c>
      <c r="O65" s="16" t="str">
        <f t="shared" si="2"/>
        <v>ratio</v>
      </c>
      <c r="U65" s="15" t="str">
        <f>TEXT(EDATE(X_Cell_Site_StartDate,9), "mmmm")</f>
        <v>September</v>
      </c>
      <c r="V65" s="15" t="e">
        <f ca="1">INDEX(M2_Table_I_j_k_l,11,2)</f>
        <v>#N/A</v>
      </c>
      <c r="W65" s="15" t="e">
        <f ca="1">INDEX(M2_Table_I_j_k_l,11,3)</f>
        <v>#N/A</v>
      </c>
      <c r="X65" s="15" t="e">
        <f ca="1">INDEX(M2_Table_I_j_k_l,11,4)</f>
        <v>#N/A</v>
      </c>
      <c r="Y65" s="15" t="e">
        <f ca="1">INDEX(M2_Table_I_j_k_l,11,5)</f>
        <v>#N/A</v>
      </c>
      <c r="Z65" s="15" t="e">
        <f ca="1">INDEX(M2_Table_I_j_k_l,11,6)</f>
        <v>#N/A</v>
      </c>
      <c r="AA65" s="15" t="e">
        <f ca="1">INDEX(M2_Table_I_j_k_l,11,7)</f>
        <v>#N/A</v>
      </c>
      <c r="AB65" s="15" t="e">
        <f ca="1">INDEX(M2_Table_I_j_k_l,11,8)</f>
        <v>#N/A</v>
      </c>
      <c r="AC65" s="15" t="e">
        <f ca="1">INDEX(M2_Table_I_j_k_l,11,9)</f>
        <v>#N/A</v>
      </c>
      <c r="AD65" s="15" t="e">
        <f ca="1">INDEX(M2_Table_I_j_k_l,11,10)</f>
        <v>#N/A</v>
      </c>
      <c r="AE65" s="15" t="e">
        <f ca="1">INDEX(M2_Table_I_j_k_l,11,11)</f>
        <v>#N/A</v>
      </c>
      <c r="AF65" s="16" t="str">
        <f>'4.2.1.1-2 Methane'!AH85</f>
        <v>kg DM/head/day</v>
      </c>
      <c r="AG65" s="16"/>
      <c r="AH65" s="16"/>
    </row>
    <row r="66" spans="3:34" ht="20" customHeight="1" x14ac:dyDescent="0.25">
      <c r="U66" s="15" t="str">
        <f>TEXT(EDATE(X_Cell_Site_StartDate,10), "mmmm")</f>
        <v>October</v>
      </c>
      <c r="V66" s="15" t="e">
        <f ca="1">INDEX(M2_Table_I_j_k_l,12,2)</f>
        <v>#N/A</v>
      </c>
      <c r="W66" s="15" t="e">
        <f ca="1">INDEX(M2_Table_I_j_k_l,12,3)</f>
        <v>#N/A</v>
      </c>
      <c r="X66" s="15" t="e">
        <f ca="1">INDEX(M2_Table_I_j_k_l,12,4)</f>
        <v>#N/A</v>
      </c>
      <c r="Y66" s="15" t="e">
        <f ca="1">INDEX(M2_Table_I_j_k_l,12,5)</f>
        <v>#N/A</v>
      </c>
      <c r="Z66" s="15" t="e">
        <f ca="1">INDEX(M2_Table_I_j_k_l,12,6)</f>
        <v>#N/A</v>
      </c>
      <c r="AA66" s="15" t="e">
        <f ca="1">INDEX(M2_Table_I_j_k_l,12,7)</f>
        <v>#N/A</v>
      </c>
      <c r="AB66" s="15" t="e">
        <f ca="1">INDEX(M2_Table_I_j_k_l,12,8)</f>
        <v>#N/A</v>
      </c>
      <c r="AC66" s="15" t="e">
        <f ca="1">INDEX(M2_Table_I_j_k_l,12,9)</f>
        <v>#N/A</v>
      </c>
      <c r="AD66" s="15" t="e">
        <f ca="1">INDEX(M2_Table_I_j_k_l,12,10)</f>
        <v>#N/A</v>
      </c>
      <c r="AE66" s="15" t="e">
        <f ca="1">INDEX(M2_Table_I_j_k_l,12,11)</f>
        <v>#N/A</v>
      </c>
      <c r="AF66" s="16" t="str">
        <f>'4.2.1.1-2 Methane'!AH86</f>
        <v>kg DM/head/day</v>
      </c>
      <c r="AG66" s="16"/>
      <c r="AH66" s="16"/>
    </row>
    <row r="67" spans="3:34" ht="20" customHeight="1" x14ac:dyDescent="0.25">
      <c r="U67" s="15" t="str">
        <f>TEXT(EDATE(X_Cell_Site_StartDate,11), "mmmm")</f>
        <v>November</v>
      </c>
      <c r="V67" s="15" t="e">
        <f ca="1">INDEX(M2_Table_I_j_k_l,13,2)</f>
        <v>#N/A</v>
      </c>
      <c r="W67" s="15" t="e">
        <f ca="1">INDEX(M2_Table_I_j_k_l,13,3)</f>
        <v>#N/A</v>
      </c>
      <c r="X67" s="15" t="e">
        <f ca="1">INDEX(M2_Table_I_j_k_l,13,4)</f>
        <v>#N/A</v>
      </c>
      <c r="Y67" s="15" t="e">
        <f ca="1">INDEX(M2_Table_I_j_k_l,13,5)</f>
        <v>#N/A</v>
      </c>
      <c r="Z67" s="15" t="e">
        <f ca="1">INDEX(M2_Table_I_j_k_l,13,6)</f>
        <v>#N/A</v>
      </c>
      <c r="AA67" s="15" t="e">
        <f ca="1">INDEX(M2_Table_I_j_k_l,13,7)</f>
        <v>#N/A</v>
      </c>
      <c r="AB67" s="15" t="e">
        <f ca="1">INDEX(M2_Table_I_j_k_l,13,8)</f>
        <v>#N/A</v>
      </c>
      <c r="AC67" s="15" t="e">
        <f ca="1">INDEX(M2_Table_I_j_k_l,13,9)</f>
        <v>#N/A</v>
      </c>
      <c r="AD67" s="15" t="e">
        <f ca="1">INDEX(M2_Table_I_j_k_l,13,10)</f>
        <v>#N/A</v>
      </c>
      <c r="AE67" s="15" t="e">
        <f ca="1">INDEX(M2_Table_I_j_k_l,13,11)</f>
        <v>#N/A</v>
      </c>
      <c r="AF67" s="16" t="str">
        <f>'4.2.1.1-2 Methane'!AH87</f>
        <v>kg DM/head/day</v>
      </c>
      <c r="AG67" s="16"/>
      <c r="AH67" s="16"/>
    </row>
    <row r="68" spans="3:34" ht="20" customHeight="1" x14ac:dyDescent="0.25">
      <c r="C68" s="87"/>
      <c r="D68" s="87"/>
      <c r="E68" s="87"/>
      <c r="F68" s="87"/>
      <c r="G68" s="87"/>
      <c r="H68" s="87"/>
      <c r="I68" s="87"/>
      <c r="J68" s="87"/>
      <c r="K68" s="87"/>
      <c r="L68" s="87"/>
      <c r="M68" s="87"/>
      <c r="N68" s="87"/>
      <c r="O68" s="87"/>
      <c r="P68" s="87"/>
      <c r="Q68" s="87"/>
      <c r="R68" s="87"/>
    </row>
    <row r="69" spans="3:34" ht="20" customHeight="1" x14ac:dyDescent="0.25">
      <c r="D69" s="2" t="str" cm="1">
        <f t="array" ref="D69">MMS_PastureBeef_Soil_N2ODirect_Equations.VEERG_4_2_1_3__5_MilkProductionForCalvingSeason_Title()</f>
        <v>Milk production for the season of calving and season after calving</v>
      </c>
      <c r="U69" s="112" t="s">
        <v>448</v>
      </c>
    </row>
    <row r="70" spans="3:34" ht="20" customHeight="1" x14ac:dyDescent="0.25">
      <c r="D70" s="17" t="str" cm="1">
        <f t="array" ref="D70">MMS_PastureBeef_Soil_N2ODirect_Equations.VEERG_4_2_1_3__5_MilkProductionForCalvingSeason_Source()</f>
        <v>VEERG 2026: 4.2.1.3, Equation (5)</v>
      </c>
      <c r="U70" s="113" t="s">
        <v>449</v>
      </c>
    </row>
    <row r="71" spans="3:34" ht="20" customHeight="1" x14ac:dyDescent="0.25">
      <c r="D71" s="26"/>
      <c r="U71" s="114" t="s">
        <v>75</v>
      </c>
      <c r="V71" s="114" t="s">
        <v>326</v>
      </c>
      <c r="W71" s="114" t="s">
        <v>184</v>
      </c>
      <c r="X71" s="114" t="s">
        <v>327</v>
      </c>
      <c r="Y71" s="114" t="s">
        <v>328</v>
      </c>
      <c r="Z71" s="114" t="s">
        <v>329</v>
      </c>
      <c r="AA71" s="114" t="s">
        <v>330</v>
      </c>
      <c r="AB71" s="114" t="s">
        <v>331</v>
      </c>
      <c r="AC71" s="114" t="s">
        <v>332</v>
      </c>
      <c r="AD71" s="114" t="s">
        <v>333</v>
      </c>
      <c r="AE71" s="114" t="s">
        <v>334</v>
      </c>
    </row>
    <row r="72" spans="3:34" ht="20" customHeight="1" x14ac:dyDescent="0.25">
      <c r="D72" s="103" t="s">
        <v>372</v>
      </c>
      <c r="E72" s="103" t="s">
        <v>450</v>
      </c>
      <c r="U72" s="15" t="str">
        <f>TEXT(X_Cell_Site_StartDate,"mmmm")</f>
        <v>January</v>
      </c>
      <c r="V72" s="15" t="e" cm="1">
        <f t="array" aca="1" ref="V72" ca="1">MMS_PastureBeef_Soil_N2ODirect_Equations.VEERG_4_2_1_3__6_IntakeRelativeToMaintenance(V56,V20)</f>
        <v>#N/A</v>
      </c>
      <c r="W72" s="15" t="e" cm="1">
        <f t="array" aca="1" ref="W72" ca="1">MMS_PastureBeef_Soil_N2ODirect_Equations.VEERG_4_2_1_3__6_IntakeRelativeToMaintenance(W56,W20)</f>
        <v>#N/A</v>
      </c>
      <c r="X72" s="15" t="e" cm="1">
        <f t="array" aca="1" ref="X72" ca="1">MMS_PastureBeef_Soil_N2ODirect_Equations.VEERG_4_2_1_3__6_IntakeRelativeToMaintenance(X56,X20)</f>
        <v>#N/A</v>
      </c>
      <c r="Y72" s="15" t="e" cm="1">
        <f t="array" aca="1" ref="Y72" ca="1">MMS_PastureBeef_Soil_N2ODirect_Equations.VEERG_4_2_1_3__6_IntakeRelativeToMaintenance(Y56,Y20)</f>
        <v>#N/A</v>
      </c>
      <c r="Z72" s="15" t="e" cm="1">
        <f t="array" aca="1" ref="Z72" ca="1">MMS_PastureBeef_Soil_N2ODirect_Equations.VEERG_4_2_1_3__6_IntakeRelativeToMaintenance(Z56,Z20)</f>
        <v>#N/A</v>
      </c>
      <c r="AA72" s="15" t="e" cm="1">
        <f t="array" aca="1" ref="AA72" ca="1">MMS_PastureBeef_Soil_N2ODirect_Equations.VEERG_4_2_1_3__6_IntakeRelativeToMaintenance(AA56,AA20)</f>
        <v>#N/A</v>
      </c>
      <c r="AB72" s="15" t="e" cm="1">
        <f t="array" aca="1" ref="AB72" ca="1">MMS_PastureBeef_Soil_N2ODirect_Equations.VEERG_4_2_1_3__6_IntakeRelativeToMaintenance(AB56,AB20)</f>
        <v>#N/A</v>
      </c>
      <c r="AC72" s="15" t="e" cm="1">
        <f t="array" aca="1" ref="AC72" ca="1">MMS_PastureBeef_Soil_N2ODirect_Equations.VEERG_4_2_1_3__6_IntakeRelativeToMaintenance(AC56,AC20)</f>
        <v>#N/A</v>
      </c>
      <c r="AD72" s="15" t="e" cm="1">
        <f t="array" aca="1" ref="AD72" ca="1">MMS_PastureBeef_Soil_N2ODirect_Equations.VEERG_4_2_1_3__6_IntakeRelativeToMaintenance(AD56,AD20)</f>
        <v>#N/A</v>
      </c>
      <c r="AE72" s="15" t="e" cm="1">
        <f t="array" aca="1" ref="AE72" ca="1">MMS_PastureBeef_Soil_N2ODirect_Equations.VEERG_4_2_1_3__6_IntakeRelativeToMaintenance(AE56,AE20)</f>
        <v>#N/A</v>
      </c>
      <c r="AF72" s="16" t="str">
        <f t="shared" ref="AF72:AF83" si="3">$E$46</f>
        <v>ratio</v>
      </c>
      <c r="AG72" s="16"/>
      <c r="AH72" s="16"/>
    </row>
    <row r="73" spans="3:34" ht="20" customHeight="1" x14ac:dyDescent="0.25">
      <c r="U73" s="15" t="str">
        <f>TEXT(EDATE(X_Cell_Site_StartDate,1), "mmmm")</f>
        <v>January</v>
      </c>
      <c r="V73" s="15" t="e" cm="1">
        <f t="array" aca="1" ref="V73" ca="1">MMS_PastureBeef_Soil_N2ODirect_Equations.VEERG_4_2_1_3__6_IntakeRelativeToMaintenance(V57,V21)</f>
        <v>#N/A</v>
      </c>
      <c r="W73" s="15" t="e" cm="1">
        <f t="array" aca="1" ref="W73" ca="1">MMS_PastureBeef_Soil_N2ODirect_Equations.VEERG_4_2_1_3__6_IntakeRelativeToMaintenance(W57,W21)</f>
        <v>#N/A</v>
      </c>
      <c r="X73" s="15" t="e" cm="1">
        <f t="array" aca="1" ref="X73" ca="1">MMS_PastureBeef_Soil_N2ODirect_Equations.VEERG_4_2_1_3__6_IntakeRelativeToMaintenance(X57,X21)</f>
        <v>#N/A</v>
      </c>
      <c r="Y73" s="15" t="e" cm="1">
        <f t="array" aca="1" ref="Y73" ca="1">MMS_PastureBeef_Soil_N2ODirect_Equations.VEERG_4_2_1_3__6_IntakeRelativeToMaintenance(Y57,Y21)</f>
        <v>#N/A</v>
      </c>
      <c r="Z73" s="15" t="e" cm="1">
        <f t="array" aca="1" ref="Z73" ca="1">MMS_PastureBeef_Soil_N2ODirect_Equations.VEERG_4_2_1_3__6_IntakeRelativeToMaintenance(Z57,Z21)</f>
        <v>#N/A</v>
      </c>
      <c r="AA73" s="15" t="e" cm="1">
        <f t="array" aca="1" ref="AA73" ca="1">MMS_PastureBeef_Soil_N2ODirect_Equations.VEERG_4_2_1_3__6_IntakeRelativeToMaintenance(AA57,AA21)</f>
        <v>#N/A</v>
      </c>
      <c r="AB73" s="15" t="e" cm="1">
        <f t="array" aca="1" ref="AB73" ca="1">MMS_PastureBeef_Soil_N2ODirect_Equations.VEERG_4_2_1_3__6_IntakeRelativeToMaintenance(AB57,AB21)</f>
        <v>#N/A</v>
      </c>
      <c r="AC73" s="15" t="e" cm="1">
        <f t="array" aca="1" ref="AC73" ca="1">MMS_PastureBeef_Soil_N2ODirect_Equations.VEERG_4_2_1_3__6_IntakeRelativeToMaintenance(AC57,AC21)</f>
        <v>#N/A</v>
      </c>
      <c r="AD73" s="15" t="e" cm="1">
        <f t="array" aca="1" ref="AD73" ca="1">MMS_PastureBeef_Soil_N2ODirect_Equations.VEERG_4_2_1_3__6_IntakeRelativeToMaintenance(AD57,AD21)</f>
        <v>#N/A</v>
      </c>
      <c r="AE73" s="15" t="e" cm="1">
        <f t="array" aca="1" ref="AE73" ca="1">MMS_PastureBeef_Soil_N2ODirect_Equations.VEERG_4_2_1_3__6_IntakeRelativeToMaintenance(AE57,AE21)</f>
        <v>#N/A</v>
      </c>
      <c r="AF73" s="16" t="str">
        <f t="shared" si="3"/>
        <v>ratio</v>
      </c>
      <c r="AG73" s="16"/>
      <c r="AH73" s="16"/>
    </row>
    <row r="74" spans="3:34" ht="20" customHeight="1" x14ac:dyDescent="0.25">
      <c r="U74" s="15" t="str">
        <f>TEXT(EDATE(X_Cell_Site_StartDate,2), "mmmm")</f>
        <v>February</v>
      </c>
      <c r="V74" s="15" t="e" cm="1">
        <f t="array" aca="1" ref="V74" ca="1">MMS_PastureBeef_Soil_N2ODirect_Equations.VEERG_4_2_1_3__6_IntakeRelativeToMaintenance(V58,V22)</f>
        <v>#N/A</v>
      </c>
      <c r="W74" s="15" t="e" cm="1">
        <f t="array" aca="1" ref="W74" ca="1">MMS_PastureBeef_Soil_N2ODirect_Equations.VEERG_4_2_1_3__6_IntakeRelativeToMaintenance(W58,W22)</f>
        <v>#N/A</v>
      </c>
      <c r="X74" s="15" t="e" cm="1">
        <f t="array" aca="1" ref="X74" ca="1">MMS_PastureBeef_Soil_N2ODirect_Equations.VEERG_4_2_1_3__6_IntakeRelativeToMaintenance(X58,X22)</f>
        <v>#N/A</v>
      </c>
      <c r="Y74" s="15" t="e" cm="1">
        <f t="array" aca="1" ref="Y74" ca="1">MMS_PastureBeef_Soil_N2ODirect_Equations.VEERG_4_2_1_3__6_IntakeRelativeToMaintenance(Y58,Y22)</f>
        <v>#N/A</v>
      </c>
      <c r="Z74" s="15" t="e" cm="1">
        <f t="array" aca="1" ref="Z74" ca="1">MMS_PastureBeef_Soil_N2ODirect_Equations.VEERG_4_2_1_3__6_IntakeRelativeToMaintenance(Z58,Z22)</f>
        <v>#N/A</v>
      </c>
      <c r="AA74" s="15" t="e" cm="1">
        <f t="array" aca="1" ref="AA74" ca="1">MMS_PastureBeef_Soil_N2ODirect_Equations.VEERG_4_2_1_3__6_IntakeRelativeToMaintenance(AA58,AA22)</f>
        <v>#N/A</v>
      </c>
      <c r="AB74" s="15" t="e" cm="1">
        <f t="array" aca="1" ref="AB74" ca="1">MMS_PastureBeef_Soil_N2ODirect_Equations.VEERG_4_2_1_3__6_IntakeRelativeToMaintenance(AB58,AB22)</f>
        <v>#N/A</v>
      </c>
      <c r="AC74" s="15" t="e" cm="1">
        <f t="array" aca="1" ref="AC74" ca="1">MMS_PastureBeef_Soil_N2ODirect_Equations.VEERG_4_2_1_3__6_IntakeRelativeToMaintenance(AC58,AC22)</f>
        <v>#N/A</v>
      </c>
      <c r="AD74" s="15" t="e" cm="1">
        <f t="array" aca="1" ref="AD74" ca="1">MMS_PastureBeef_Soil_N2ODirect_Equations.VEERG_4_2_1_3__6_IntakeRelativeToMaintenance(AD58,AD22)</f>
        <v>#N/A</v>
      </c>
      <c r="AE74" s="15" t="e" cm="1">
        <f t="array" aca="1" ref="AE74" ca="1">MMS_PastureBeef_Soil_N2ODirect_Equations.VEERG_4_2_1_3__6_IntakeRelativeToMaintenance(AE58,AE22)</f>
        <v>#N/A</v>
      </c>
      <c r="AF74" s="16" t="str">
        <f t="shared" si="3"/>
        <v>ratio</v>
      </c>
      <c r="AG74" s="16"/>
      <c r="AH74" s="16"/>
    </row>
    <row r="75" spans="3:34" ht="20" customHeight="1" x14ac:dyDescent="0.25">
      <c r="D75" s="77" t="s">
        <v>374</v>
      </c>
      <c r="E75" s="1" t="str" cm="1">
        <f t="array" ref="E75">MMS_PastureBeef_Soil_N2ODirect_Equations.VEERG_4_2_1_3__5_MilkProductionForCalvingSeason_Variable()</f>
        <v>MP_jk5</v>
      </c>
      <c r="U75" s="15" t="str">
        <f>TEXT(EDATE(X_Cell_Site_StartDate,3), "mmmm")</f>
        <v>March</v>
      </c>
      <c r="V75" s="15" t="e" cm="1">
        <f t="array" aca="1" ref="V75" ca="1">MMS_PastureBeef_Soil_N2ODirect_Equations.VEERG_4_2_1_3__6_IntakeRelativeToMaintenance(V59,V23)</f>
        <v>#N/A</v>
      </c>
      <c r="W75" s="15" t="e" cm="1">
        <f t="array" aca="1" ref="W75" ca="1">MMS_PastureBeef_Soil_N2ODirect_Equations.VEERG_4_2_1_3__6_IntakeRelativeToMaintenance(W59,W23)</f>
        <v>#N/A</v>
      </c>
      <c r="X75" s="15" t="e" cm="1">
        <f t="array" aca="1" ref="X75" ca="1">MMS_PastureBeef_Soil_N2ODirect_Equations.VEERG_4_2_1_3__6_IntakeRelativeToMaintenance(X59,X23)</f>
        <v>#N/A</v>
      </c>
      <c r="Y75" s="15" t="e" cm="1">
        <f t="array" aca="1" ref="Y75" ca="1">MMS_PastureBeef_Soil_N2ODirect_Equations.VEERG_4_2_1_3__6_IntakeRelativeToMaintenance(Y59,Y23)</f>
        <v>#N/A</v>
      </c>
      <c r="Z75" s="15" t="e" cm="1">
        <f t="array" aca="1" ref="Z75" ca="1">MMS_PastureBeef_Soil_N2ODirect_Equations.VEERG_4_2_1_3__6_IntakeRelativeToMaintenance(Z59,Z23)</f>
        <v>#N/A</v>
      </c>
      <c r="AA75" s="15" t="e" cm="1">
        <f t="array" aca="1" ref="AA75" ca="1">MMS_PastureBeef_Soil_N2ODirect_Equations.VEERG_4_2_1_3__6_IntakeRelativeToMaintenance(AA59,AA23)</f>
        <v>#N/A</v>
      </c>
      <c r="AB75" s="15" t="e" cm="1">
        <f t="array" aca="1" ref="AB75" ca="1">MMS_PastureBeef_Soil_N2ODirect_Equations.VEERG_4_2_1_3__6_IntakeRelativeToMaintenance(AB59,AB23)</f>
        <v>#N/A</v>
      </c>
      <c r="AC75" s="15" t="e" cm="1">
        <f t="array" aca="1" ref="AC75" ca="1">MMS_PastureBeef_Soil_N2ODirect_Equations.VEERG_4_2_1_3__6_IntakeRelativeToMaintenance(AC59,AC23)</f>
        <v>#N/A</v>
      </c>
      <c r="AD75" s="15" t="e" cm="1">
        <f t="array" aca="1" ref="AD75" ca="1">MMS_PastureBeef_Soil_N2ODirect_Equations.VEERG_4_2_1_3__6_IntakeRelativeToMaintenance(AD59,AD23)</f>
        <v>#N/A</v>
      </c>
      <c r="AE75" s="15" t="e" cm="1">
        <f t="array" aca="1" ref="AE75" ca="1">MMS_PastureBeef_Soil_N2ODirect_Equations.VEERG_4_2_1_3__6_IntakeRelativeToMaintenance(AE59,AE23)</f>
        <v>#N/A</v>
      </c>
      <c r="AF75" s="16" t="str">
        <f t="shared" si="3"/>
        <v>ratio</v>
      </c>
      <c r="AG75" s="16"/>
      <c r="AH75" s="16"/>
    </row>
    <row r="76" spans="3:34" ht="20" customHeight="1" x14ac:dyDescent="0.25">
      <c r="D76" s="77" t="s">
        <v>121</v>
      </c>
      <c r="E76" s="9" t="str" cm="1">
        <f t="array" ref="E76">MMS_PastureBeef_Soil_N2ODirect_Equations.VEERG_4_2_1_3__5_MilkProductionForCalvingSeason_Unit()</f>
        <v>kg/head/day</v>
      </c>
      <c r="U76" s="15" t="str">
        <f>TEXT(EDATE(X_Cell_Site_StartDate,4), "mmmm")</f>
        <v>April</v>
      </c>
      <c r="V76" s="15" t="e" cm="1">
        <f t="array" aca="1" ref="V76" ca="1">MMS_PastureBeef_Soil_N2ODirect_Equations.VEERG_4_2_1_3__6_IntakeRelativeToMaintenance(V60,V24)</f>
        <v>#N/A</v>
      </c>
      <c r="W76" s="15" t="e" cm="1">
        <f t="array" aca="1" ref="W76" ca="1">MMS_PastureBeef_Soil_N2ODirect_Equations.VEERG_4_2_1_3__6_IntakeRelativeToMaintenance(W60,W24)</f>
        <v>#N/A</v>
      </c>
      <c r="X76" s="15" t="e" cm="1">
        <f t="array" aca="1" ref="X76" ca="1">MMS_PastureBeef_Soil_N2ODirect_Equations.VEERG_4_2_1_3__6_IntakeRelativeToMaintenance(X60,X24)</f>
        <v>#N/A</v>
      </c>
      <c r="Y76" s="15" t="e" cm="1">
        <f t="array" aca="1" ref="Y76" ca="1">MMS_PastureBeef_Soil_N2ODirect_Equations.VEERG_4_2_1_3__6_IntakeRelativeToMaintenance(Y60,Y24)</f>
        <v>#N/A</v>
      </c>
      <c r="Z76" s="15" t="e" cm="1">
        <f t="array" aca="1" ref="Z76" ca="1">MMS_PastureBeef_Soil_N2ODirect_Equations.VEERG_4_2_1_3__6_IntakeRelativeToMaintenance(Z60,Z24)</f>
        <v>#N/A</v>
      </c>
      <c r="AA76" s="15" t="e" cm="1">
        <f t="array" aca="1" ref="AA76" ca="1">MMS_PastureBeef_Soil_N2ODirect_Equations.VEERG_4_2_1_3__6_IntakeRelativeToMaintenance(AA60,AA24)</f>
        <v>#N/A</v>
      </c>
      <c r="AB76" s="15" t="e" cm="1">
        <f t="array" aca="1" ref="AB76" ca="1">MMS_PastureBeef_Soil_N2ODirect_Equations.VEERG_4_2_1_3__6_IntakeRelativeToMaintenance(AB60,AB24)</f>
        <v>#N/A</v>
      </c>
      <c r="AC76" s="15" t="e" cm="1">
        <f t="array" aca="1" ref="AC76" ca="1">MMS_PastureBeef_Soil_N2ODirect_Equations.VEERG_4_2_1_3__6_IntakeRelativeToMaintenance(AC60,AC24)</f>
        <v>#N/A</v>
      </c>
      <c r="AD76" s="15" t="e" cm="1">
        <f t="array" aca="1" ref="AD76" ca="1">MMS_PastureBeef_Soil_N2ODirect_Equations.VEERG_4_2_1_3__6_IntakeRelativeToMaintenance(AD60,AD24)</f>
        <v>#N/A</v>
      </c>
      <c r="AE76" s="15" t="e" cm="1">
        <f t="array" aca="1" ref="AE76" ca="1">MMS_PastureBeef_Soil_N2ODirect_Equations.VEERG_4_2_1_3__6_IntakeRelativeToMaintenance(AE60,AE24)</f>
        <v>#N/A</v>
      </c>
      <c r="AF76" s="16" t="str">
        <f t="shared" si="3"/>
        <v>ratio</v>
      </c>
      <c r="AG76" s="16"/>
      <c r="AH76" s="16"/>
    </row>
    <row r="77" spans="3:34" ht="20" customHeight="1" x14ac:dyDescent="0.25">
      <c r="U77" s="15" t="str">
        <f>TEXT(EDATE(X_Cell_Site_StartDate,5), "mmmm")</f>
        <v>May</v>
      </c>
      <c r="V77" s="15" t="e" cm="1">
        <f t="array" aca="1" ref="V77" ca="1">MMS_PastureBeef_Soil_N2ODirect_Equations.VEERG_4_2_1_3__6_IntakeRelativeToMaintenance(V61,V25)</f>
        <v>#N/A</v>
      </c>
      <c r="W77" s="15" t="e" cm="1">
        <f t="array" aca="1" ref="W77" ca="1">MMS_PastureBeef_Soil_N2ODirect_Equations.VEERG_4_2_1_3__6_IntakeRelativeToMaintenance(W61,W25)</f>
        <v>#N/A</v>
      </c>
      <c r="X77" s="15" t="e" cm="1">
        <f t="array" aca="1" ref="X77" ca="1">MMS_PastureBeef_Soil_N2ODirect_Equations.VEERG_4_2_1_3__6_IntakeRelativeToMaintenance(X61,X25)</f>
        <v>#N/A</v>
      </c>
      <c r="Y77" s="15" t="e" cm="1">
        <f t="array" aca="1" ref="Y77" ca="1">MMS_PastureBeef_Soil_N2ODirect_Equations.VEERG_4_2_1_3__6_IntakeRelativeToMaintenance(Y61,Y25)</f>
        <v>#N/A</v>
      </c>
      <c r="Z77" s="15" t="e" cm="1">
        <f t="array" aca="1" ref="Z77" ca="1">MMS_PastureBeef_Soil_N2ODirect_Equations.VEERG_4_2_1_3__6_IntakeRelativeToMaintenance(Z61,Z25)</f>
        <v>#N/A</v>
      </c>
      <c r="AA77" s="15" t="e" cm="1">
        <f t="array" aca="1" ref="AA77" ca="1">MMS_PastureBeef_Soil_N2ODirect_Equations.VEERG_4_2_1_3__6_IntakeRelativeToMaintenance(AA61,AA25)</f>
        <v>#N/A</v>
      </c>
      <c r="AB77" s="15" t="e" cm="1">
        <f t="array" aca="1" ref="AB77" ca="1">MMS_PastureBeef_Soil_N2ODirect_Equations.VEERG_4_2_1_3__6_IntakeRelativeToMaintenance(AB61,AB25)</f>
        <v>#N/A</v>
      </c>
      <c r="AC77" s="15" t="e" cm="1">
        <f t="array" aca="1" ref="AC77" ca="1">MMS_PastureBeef_Soil_N2ODirect_Equations.VEERG_4_2_1_3__6_IntakeRelativeToMaintenance(AC61,AC25)</f>
        <v>#N/A</v>
      </c>
      <c r="AD77" s="15" t="e" cm="1">
        <f t="array" aca="1" ref="AD77" ca="1">MMS_PastureBeef_Soil_N2ODirect_Equations.VEERG_4_2_1_3__6_IntakeRelativeToMaintenance(AD61,AD25)</f>
        <v>#N/A</v>
      </c>
      <c r="AE77" s="15" t="e" cm="1">
        <f t="array" aca="1" ref="AE77" ca="1">MMS_PastureBeef_Soil_N2ODirect_Equations.VEERG_4_2_1_3__6_IntakeRelativeToMaintenance(AE61,AE25)</f>
        <v>#N/A</v>
      </c>
      <c r="AF77" s="16" t="str">
        <f t="shared" si="3"/>
        <v>ratio</v>
      </c>
      <c r="AG77" s="16"/>
      <c r="AH77" s="16"/>
    </row>
    <row r="78" spans="3:34" ht="20" customHeight="1" x14ac:dyDescent="0.25">
      <c r="D78" s="105" t="str" cm="1">
        <f t="array" ref="D78:E82">_xlfn.CHOOSECOLS(MMS_PastureBeef_Soil_N2ODirect_Equations.VEERG_4_2_1_3__5_MilkProductionForCalvingSeason_ArgumentsVariation(),1,2)</f>
        <v>LC_jk5curr</v>
      </c>
      <c r="E78" s="106" t="str">
        <v>proportion of cows greater than 2 years lactating for the season of calving</v>
      </c>
      <c r="F78" s="108"/>
      <c r="G78" s="105" t="str" cm="1">
        <f t="array" ref="G78:H82">_xlfn.CHOOSECOLS(MMS_PastureBeef_Soil_N2ODirect_Equations.VEERG_4_2_1_3__5_MilkProductionForCalvingSeason_ArgumentsVariation(),3,4)</f>
        <v>fraction</v>
      </c>
      <c r="H78" s="109" t="str">
        <v>Input</v>
      </c>
      <c r="I78" s="111" t="str" cm="1">
        <f t="array" aca="1" ref="I78" ca="1">HYPERLINK(Common_InputFunctions.Utility_SourceHyperlink($D$84), $D$84)</f>
        <v>M1_Table_LC_j_k-4-5</v>
      </c>
      <c r="U78" s="15" t="str">
        <f>TEXT(EDATE(X_Cell_Site_StartDate,6), "mmmm")</f>
        <v>June</v>
      </c>
      <c r="V78" s="15" t="e" cm="1">
        <f t="array" aca="1" ref="V78" ca="1">MMS_PastureBeef_Soil_N2ODirect_Equations.VEERG_4_2_1_3__6_IntakeRelativeToMaintenance(V62,V26)</f>
        <v>#N/A</v>
      </c>
      <c r="W78" s="15" t="e" cm="1">
        <f t="array" aca="1" ref="W78" ca="1">MMS_PastureBeef_Soil_N2ODirect_Equations.VEERG_4_2_1_3__6_IntakeRelativeToMaintenance(W62,W26)</f>
        <v>#N/A</v>
      </c>
      <c r="X78" s="15" t="e" cm="1">
        <f t="array" aca="1" ref="X78" ca="1">MMS_PastureBeef_Soil_N2ODirect_Equations.VEERG_4_2_1_3__6_IntakeRelativeToMaintenance(X62,X26)</f>
        <v>#N/A</v>
      </c>
      <c r="Y78" s="15" t="e" cm="1">
        <f t="array" aca="1" ref="Y78" ca="1">MMS_PastureBeef_Soil_N2ODirect_Equations.VEERG_4_2_1_3__6_IntakeRelativeToMaintenance(Y62,Y26)</f>
        <v>#N/A</v>
      </c>
      <c r="Z78" s="15" t="e" cm="1">
        <f t="array" aca="1" ref="Z78" ca="1">MMS_PastureBeef_Soil_N2ODirect_Equations.VEERG_4_2_1_3__6_IntakeRelativeToMaintenance(Z62,Z26)</f>
        <v>#N/A</v>
      </c>
      <c r="AA78" s="15" t="e" cm="1">
        <f t="array" aca="1" ref="AA78" ca="1">MMS_PastureBeef_Soil_N2ODirect_Equations.VEERG_4_2_1_3__6_IntakeRelativeToMaintenance(AA62,AA26)</f>
        <v>#N/A</v>
      </c>
      <c r="AB78" s="15" t="e" cm="1">
        <f t="array" aca="1" ref="AB78" ca="1">MMS_PastureBeef_Soil_N2ODirect_Equations.VEERG_4_2_1_3__6_IntakeRelativeToMaintenance(AB62,AB26)</f>
        <v>#N/A</v>
      </c>
      <c r="AC78" s="15" t="e" cm="1">
        <f t="array" aca="1" ref="AC78" ca="1">MMS_PastureBeef_Soil_N2ODirect_Equations.VEERG_4_2_1_3__6_IntakeRelativeToMaintenance(AC62,AC26)</f>
        <v>#N/A</v>
      </c>
      <c r="AD78" s="15" t="e" cm="1">
        <f t="array" aca="1" ref="AD78" ca="1">MMS_PastureBeef_Soil_N2ODirect_Equations.VEERG_4_2_1_3__6_IntakeRelativeToMaintenance(AD62,AD26)</f>
        <v>#N/A</v>
      </c>
      <c r="AE78" s="15" t="e" cm="1">
        <f t="array" aca="1" ref="AE78" ca="1">MMS_PastureBeef_Soil_N2ODirect_Equations.VEERG_4_2_1_3__6_IntakeRelativeToMaintenance(AE62,AE26)</f>
        <v>#N/A</v>
      </c>
      <c r="AF78" s="16" t="str">
        <f t="shared" si="3"/>
        <v>ratio</v>
      </c>
      <c r="AG78" s="16"/>
      <c r="AH78" s="16"/>
    </row>
    <row r="79" spans="3:34" ht="20" customHeight="1" x14ac:dyDescent="0.25">
      <c r="D79" s="105" t="str">
        <v>LC_jk5prev</v>
      </c>
      <c r="E79" s="106" t="str">
        <v>proportion of cows greater than 2 years lactating for the season after calving</v>
      </c>
      <c r="F79" s="108"/>
      <c r="G79" s="105" t="str">
        <v>fraction</v>
      </c>
      <c r="H79" s="109" t="str">
        <v>Input</v>
      </c>
      <c r="I79" s="111" t="str" cm="1">
        <f t="array" aca="1" ref="I79" ca="1">HYPERLINK(Common_InputFunctions.Utility_SourceHyperlink($D$84), $D$84)</f>
        <v>M1_Table_LC_j_k-4-5</v>
      </c>
      <c r="U79" s="15" t="str">
        <f>TEXT(EDATE(X_Cell_Site_StartDate,7), "mmmm")</f>
        <v>July</v>
      </c>
      <c r="V79" s="15" t="e" cm="1">
        <f t="array" aca="1" ref="V79" ca="1">MMS_PastureBeef_Soil_N2ODirect_Equations.VEERG_4_2_1_3__6_IntakeRelativeToMaintenance(V63,V27)</f>
        <v>#N/A</v>
      </c>
      <c r="W79" s="15" t="e" cm="1">
        <f t="array" aca="1" ref="W79" ca="1">MMS_PastureBeef_Soil_N2ODirect_Equations.VEERG_4_2_1_3__6_IntakeRelativeToMaintenance(W63,W27)</f>
        <v>#N/A</v>
      </c>
      <c r="X79" s="15" t="e" cm="1">
        <f t="array" aca="1" ref="X79" ca="1">MMS_PastureBeef_Soil_N2ODirect_Equations.VEERG_4_2_1_3__6_IntakeRelativeToMaintenance(X63,X27)</f>
        <v>#N/A</v>
      </c>
      <c r="Y79" s="15" t="e" cm="1">
        <f t="array" aca="1" ref="Y79" ca="1">MMS_PastureBeef_Soil_N2ODirect_Equations.VEERG_4_2_1_3__6_IntakeRelativeToMaintenance(Y63,Y27)</f>
        <v>#N/A</v>
      </c>
      <c r="Z79" s="15" t="e" cm="1">
        <f t="array" aca="1" ref="Z79" ca="1">MMS_PastureBeef_Soil_N2ODirect_Equations.VEERG_4_2_1_3__6_IntakeRelativeToMaintenance(Z63,Z27)</f>
        <v>#N/A</v>
      </c>
      <c r="AA79" s="15" t="e" cm="1">
        <f t="array" aca="1" ref="AA79" ca="1">MMS_PastureBeef_Soil_N2ODirect_Equations.VEERG_4_2_1_3__6_IntakeRelativeToMaintenance(AA63,AA27)</f>
        <v>#N/A</v>
      </c>
      <c r="AB79" s="15" t="e" cm="1">
        <f t="array" aca="1" ref="AB79" ca="1">MMS_PastureBeef_Soil_N2ODirect_Equations.VEERG_4_2_1_3__6_IntakeRelativeToMaintenance(AB63,AB27)</f>
        <v>#N/A</v>
      </c>
      <c r="AC79" s="15" t="e" cm="1">
        <f t="array" aca="1" ref="AC79" ca="1">MMS_PastureBeef_Soil_N2ODirect_Equations.VEERG_4_2_1_3__6_IntakeRelativeToMaintenance(AC63,AC27)</f>
        <v>#N/A</v>
      </c>
      <c r="AD79" s="15" t="e" cm="1">
        <f t="array" aca="1" ref="AD79" ca="1">MMS_PastureBeef_Soil_N2ODirect_Equations.VEERG_4_2_1_3__6_IntakeRelativeToMaintenance(AD63,AD27)</f>
        <v>#N/A</v>
      </c>
      <c r="AE79" s="15" t="e" cm="1">
        <f t="array" aca="1" ref="AE79" ca="1">MMS_PastureBeef_Soil_N2ODirect_Equations.VEERG_4_2_1_3__6_IntakeRelativeToMaintenance(AE63,AE27)</f>
        <v>#N/A</v>
      </c>
      <c r="AF79" s="16" t="str">
        <f t="shared" si="3"/>
        <v>ratio</v>
      </c>
      <c r="AG79" s="16"/>
      <c r="AH79" s="16"/>
    </row>
    <row r="80" spans="3:34" ht="20" customHeight="1" x14ac:dyDescent="0.25">
      <c r="D80" s="105" t="str">
        <v>DMP_jk5calv</v>
      </c>
      <c r="E80" s="106" t="str">
        <v>daily milk production for the season of calving (kg/head/day)</v>
      </c>
      <c r="F80" s="108"/>
      <c r="G80" s="105" t="str">
        <v>kg/head/day</v>
      </c>
      <c r="H80" s="110" t="str">
        <v>Constant</v>
      </c>
      <c r="I80" s="116" t="e" cm="1">
        <f t="array" ref="I80">_xlfn.XLOOKUP(1, (Table_SourceData_PastureBeef_FeedIntakeAdjustment_Variation[Breed]=$I$82)*(Table_SourceData_PastureBeef_FeedIntakeAdjustment_Variation[Season]=+"Calving season"),Table_SourceData_PastureBeef_FeedIntakeAdjustment_Variation[Milk intake/production])</f>
        <v>#N/A</v>
      </c>
      <c r="U80" s="15" t="str">
        <f>TEXT(EDATE(X_Cell_Site_StartDate,8), "mmmm")</f>
        <v>August</v>
      </c>
      <c r="V80" s="15" t="e" cm="1">
        <f t="array" aca="1" ref="V80" ca="1">MMS_PastureBeef_Soil_N2ODirect_Equations.VEERG_4_2_1_3__6_IntakeRelativeToMaintenance(V64,V28)</f>
        <v>#N/A</v>
      </c>
      <c r="W80" s="15" t="e" cm="1">
        <f t="array" aca="1" ref="W80" ca="1">MMS_PastureBeef_Soil_N2ODirect_Equations.VEERG_4_2_1_3__6_IntakeRelativeToMaintenance(W64,W28)</f>
        <v>#N/A</v>
      </c>
      <c r="X80" s="15" t="e" cm="1">
        <f t="array" aca="1" ref="X80" ca="1">MMS_PastureBeef_Soil_N2ODirect_Equations.VEERG_4_2_1_3__6_IntakeRelativeToMaintenance(X64,X28)</f>
        <v>#N/A</v>
      </c>
      <c r="Y80" s="15" t="e" cm="1">
        <f t="array" aca="1" ref="Y80" ca="1">MMS_PastureBeef_Soil_N2ODirect_Equations.VEERG_4_2_1_3__6_IntakeRelativeToMaintenance(Y64,Y28)</f>
        <v>#N/A</v>
      </c>
      <c r="Z80" s="15" t="e" cm="1">
        <f t="array" aca="1" ref="Z80" ca="1">MMS_PastureBeef_Soil_N2ODirect_Equations.VEERG_4_2_1_3__6_IntakeRelativeToMaintenance(Z64,Z28)</f>
        <v>#N/A</v>
      </c>
      <c r="AA80" s="15" t="e" cm="1">
        <f t="array" aca="1" ref="AA80" ca="1">MMS_PastureBeef_Soil_N2ODirect_Equations.VEERG_4_2_1_3__6_IntakeRelativeToMaintenance(AA64,AA28)</f>
        <v>#N/A</v>
      </c>
      <c r="AB80" s="15" t="e" cm="1">
        <f t="array" aca="1" ref="AB80" ca="1">MMS_PastureBeef_Soil_N2ODirect_Equations.VEERG_4_2_1_3__6_IntakeRelativeToMaintenance(AB64,AB28)</f>
        <v>#N/A</v>
      </c>
      <c r="AC80" s="15" t="e" cm="1">
        <f t="array" aca="1" ref="AC80" ca="1">MMS_PastureBeef_Soil_N2ODirect_Equations.VEERG_4_2_1_3__6_IntakeRelativeToMaintenance(AC64,AC28)</f>
        <v>#N/A</v>
      </c>
      <c r="AD80" s="15" t="e" cm="1">
        <f t="array" aca="1" ref="AD80" ca="1">MMS_PastureBeef_Soil_N2ODirect_Equations.VEERG_4_2_1_3__6_IntakeRelativeToMaintenance(AD64,AD28)</f>
        <v>#N/A</v>
      </c>
      <c r="AE80" s="15" t="e" cm="1">
        <f t="array" aca="1" ref="AE80" ca="1">MMS_PastureBeef_Soil_N2ODirect_Equations.VEERG_4_2_1_3__6_IntakeRelativeToMaintenance(AE64,AE28)</f>
        <v>#N/A</v>
      </c>
      <c r="AF80" s="16" t="str">
        <f t="shared" si="3"/>
        <v>ratio</v>
      </c>
      <c r="AG80" s="16"/>
      <c r="AH80" s="16"/>
    </row>
    <row r="81" spans="4:35" ht="20" customHeight="1" x14ac:dyDescent="0.25">
      <c r="D81" s="105" t="str">
        <v>DMP_jk5after</v>
      </c>
      <c r="E81" s="106" t="str">
        <v>daily milk production for the season after calving (kg/head/day)</v>
      </c>
      <c r="F81" s="108"/>
      <c r="G81" s="105" t="str">
        <v>kg/head/day</v>
      </c>
      <c r="H81" s="110" t="str">
        <v>Constant</v>
      </c>
      <c r="I81" s="116" t="e" cm="1">
        <f t="array" ref="I81">_xlfn.XLOOKUP(1, (Table_SourceData_PastureBeef_FeedIntakeAdjustment_Variation[Breed]=$I$82)*(Table_SourceData_PastureBeef_FeedIntakeAdjustment_Variation[Season]=+"Season after calving"),Table_SourceData_PastureBeef_FeedIntakeAdjustment_Variation[Milk intake/production])</f>
        <v>#N/A</v>
      </c>
      <c r="U81" s="15" t="str">
        <f>TEXT(EDATE(X_Cell_Site_StartDate,9), "mmmm")</f>
        <v>September</v>
      </c>
      <c r="V81" s="15" t="e" cm="1">
        <f t="array" aca="1" ref="V81" ca="1">MMS_PastureBeef_Soil_N2ODirect_Equations.VEERG_4_2_1_3__6_IntakeRelativeToMaintenance(V65,V29)</f>
        <v>#N/A</v>
      </c>
      <c r="W81" s="15" t="e" cm="1">
        <f t="array" aca="1" ref="W81" ca="1">MMS_PastureBeef_Soil_N2ODirect_Equations.VEERG_4_2_1_3__6_IntakeRelativeToMaintenance(W65,W29)</f>
        <v>#N/A</v>
      </c>
      <c r="X81" s="15" t="e" cm="1">
        <f t="array" aca="1" ref="X81" ca="1">MMS_PastureBeef_Soil_N2ODirect_Equations.VEERG_4_2_1_3__6_IntakeRelativeToMaintenance(X65,X29)</f>
        <v>#N/A</v>
      </c>
      <c r="Y81" s="15" t="e" cm="1">
        <f t="array" aca="1" ref="Y81" ca="1">MMS_PastureBeef_Soil_N2ODirect_Equations.VEERG_4_2_1_3__6_IntakeRelativeToMaintenance(Y65,Y29)</f>
        <v>#N/A</v>
      </c>
      <c r="Z81" s="15" t="e" cm="1">
        <f t="array" aca="1" ref="Z81" ca="1">MMS_PastureBeef_Soil_N2ODirect_Equations.VEERG_4_2_1_3__6_IntakeRelativeToMaintenance(Z65,Z29)</f>
        <v>#N/A</v>
      </c>
      <c r="AA81" s="15" t="e" cm="1">
        <f t="array" aca="1" ref="AA81" ca="1">MMS_PastureBeef_Soil_N2ODirect_Equations.VEERG_4_2_1_3__6_IntakeRelativeToMaintenance(AA65,AA29)</f>
        <v>#N/A</v>
      </c>
      <c r="AB81" s="15" t="e" cm="1">
        <f t="array" aca="1" ref="AB81" ca="1">MMS_PastureBeef_Soil_N2ODirect_Equations.VEERG_4_2_1_3__6_IntakeRelativeToMaintenance(AB65,AB29)</f>
        <v>#N/A</v>
      </c>
      <c r="AC81" s="15" t="e" cm="1">
        <f t="array" aca="1" ref="AC81" ca="1">MMS_PastureBeef_Soil_N2ODirect_Equations.VEERG_4_2_1_3__6_IntakeRelativeToMaintenance(AC65,AC29)</f>
        <v>#N/A</v>
      </c>
      <c r="AD81" s="15" t="e" cm="1">
        <f t="array" aca="1" ref="AD81" ca="1">MMS_PastureBeef_Soil_N2ODirect_Equations.VEERG_4_2_1_3__6_IntakeRelativeToMaintenance(AD65,AD29)</f>
        <v>#N/A</v>
      </c>
      <c r="AE81" s="15" t="e" cm="1">
        <f t="array" aca="1" ref="AE81" ca="1">MMS_PastureBeef_Soil_N2ODirect_Equations.VEERG_4_2_1_3__6_IntakeRelativeToMaintenance(AE65,AE29)</f>
        <v>#N/A</v>
      </c>
      <c r="AF81" s="16" t="str">
        <f t="shared" si="3"/>
        <v>ratio</v>
      </c>
      <c r="AG81" s="16"/>
      <c r="AH81" s="16"/>
    </row>
    <row r="82" spans="4:35" ht="20" customHeight="1" x14ac:dyDescent="0.25">
      <c r="D82" s="105" t="str">
        <v>b</v>
      </c>
      <c r="E82" s="106" t="str">
        <v>breed of cattle</v>
      </c>
      <c r="F82" s="108"/>
      <c r="G82" s="105" t="str">
        <v/>
      </c>
      <c r="H82" s="109" t="str">
        <v>Input</v>
      </c>
      <c r="I82" s="116">
        <f>X_Cell_PastureBeef_Breed</f>
        <v>0</v>
      </c>
      <c r="U82" s="15" t="str">
        <f>TEXT(EDATE(X_Cell_Site_StartDate,10), "mmmm")</f>
        <v>October</v>
      </c>
      <c r="V82" s="15" t="e" cm="1">
        <f t="array" aca="1" ref="V82" ca="1">MMS_PastureBeef_Soil_N2ODirect_Equations.VEERG_4_2_1_3__6_IntakeRelativeToMaintenance(V66,V30)</f>
        <v>#N/A</v>
      </c>
      <c r="W82" s="15" t="e" cm="1">
        <f t="array" aca="1" ref="W82" ca="1">MMS_PastureBeef_Soil_N2ODirect_Equations.VEERG_4_2_1_3__6_IntakeRelativeToMaintenance(W66,W30)</f>
        <v>#N/A</v>
      </c>
      <c r="X82" s="15" t="e" cm="1">
        <f t="array" aca="1" ref="X82" ca="1">MMS_PastureBeef_Soil_N2ODirect_Equations.VEERG_4_2_1_3__6_IntakeRelativeToMaintenance(X66,X30)</f>
        <v>#N/A</v>
      </c>
      <c r="Y82" s="15" t="e" cm="1">
        <f t="array" aca="1" ref="Y82" ca="1">MMS_PastureBeef_Soil_N2ODirect_Equations.VEERG_4_2_1_3__6_IntakeRelativeToMaintenance(Y66,Y30)</f>
        <v>#N/A</v>
      </c>
      <c r="Z82" s="15" t="e" cm="1">
        <f t="array" aca="1" ref="Z82" ca="1">MMS_PastureBeef_Soil_N2ODirect_Equations.VEERG_4_2_1_3__6_IntakeRelativeToMaintenance(Z66,Z30)</f>
        <v>#N/A</v>
      </c>
      <c r="AA82" s="15" t="e" cm="1">
        <f t="array" aca="1" ref="AA82" ca="1">MMS_PastureBeef_Soil_N2ODirect_Equations.VEERG_4_2_1_3__6_IntakeRelativeToMaintenance(AA66,AA30)</f>
        <v>#N/A</v>
      </c>
      <c r="AB82" s="15" t="e" cm="1">
        <f t="array" aca="1" ref="AB82" ca="1">MMS_PastureBeef_Soil_N2ODirect_Equations.VEERG_4_2_1_3__6_IntakeRelativeToMaintenance(AB66,AB30)</f>
        <v>#N/A</v>
      </c>
      <c r="AC82" s="15" t="e" cm="1">
        <f t="array" aca="1" ref="AC82" ca="1">MMS_PastureBeef_Soil_N2ODirect_Equations.VEERG_4_2_1_3__6_IntakeRelativeToMaintenance(AC66,AC30)</f>
        <v>#N/A</v>
      </c>
      <c r="AD82" s="15" t="e" cm="1">
        <f t="array" aca="1" ref="AD82" ca="1">MMS_PastureBeef_Soil_N2ODirect_Equations.VEERG_4_2_1_3__6_IntakeRelativeToMaintenance(AD66,AD30)</f>
        <v>#N/A</v>
      </c>
      <c r="AE82" s="15" t="e" cm="1">
        <f t="array" aca="1" ref="AE82" ca="1">MMS_PastureBeef_Soil_N2ODirect_Equations.VEERG_4_2_1_3__6_IntakeRelativeToMaintenance(AE66,AE30)</f>
        <v>#N/A</v>
      </c>
      <c r="AF82" s="16" t="str">
        <f t="shared" si="3"/>
        <v>ratio</v>
      </c>
      <c r="AG82" s="16"/>
      <c r="AH82" s="16"/>
    </row>
    <row r="83" spans="4:35" ht="20" customHeight="1" x14ac:dyDescent="0.25">
      <c r="U83" s="15" t="str">
        <f>TEXT(EDATE(X_Cell_Site_StartDate,11), "mmmm")</f>
        <v>November</v>
      </c>
      <c r="V83" s="15" t="e" cm="1">
        <f t="array" aca="1" ref="V83" ca="1">MMS_PastureBeef_Soil_N2ODirect_Equations.VEERG_4_2_1_3__6_IntakeRelativeToMaintenance(V67,V31)</f>
        <v>#N/A</v>
      </c>
      <c r="W83" s="15" t="e" cm="1">
        <f t="array" aca="1" ref="W83" ca="1">MMS_PastureBeef_Soil_N2ODirect_Equations.VEERG_4_2_1_3__6_IntakeRelativeToMaintenance(W67,W31)</f>
        <v>#N/A</v>
      </c>
      <c r="X83" s="15" t="e" cm="1">
        <f t="array" aca="1" ref="X83" ca="1">MMS_PastureBeef_Soil_N2ODirect_Equations.VEERG_4_2_1_3__6_IntakeRelativeToMaintenance(X67,X31)</f>
        <v>#N/A</v>
      </c>
      <c r="Y83" s="15" t="e" cm="1">
        <f t="array" aca="1" ref="Y83" ca="1">MMS_PastureBeef_Soil_N2ODirect_Equations.VEERG_4_2_1_3__6_IntakeRelativeToMaintenance(Y67,Y31)</f>
        <v>#N/A</v>
      </c>
      <c r="Z83" s="15" t="e" cm="1">
        <f t="array" aca="1" ref="Z83" ca="1">MMS_PastureBeef_Soil_N2ODirect_Equations.VEERG_4_2_1_3__6_IntakeRelativeToMaintenance(Z67,Z31)</f>
        <v>#N/A</v>
      </c>
      <c r="AA83" s="15" t="e" cm="1">
        <f t="array" aca="1" ref="AA83" ca="1">MMS_PastureBeef_Soil_N2ODirect_Equations.VEERG_4_2_1_3__6_IntakeRelativeToMaintenance(AA67,AA31)</f>
        <v>#N/A</v>
      </c>
      <c r="AB83" s="15" t="e" cm="1">
        <f t="array" aca="1" ref="AB83" ca="1">MMS_PastureBeef_Soil_N2ODirect_Equations.VEERG_4_2_1_3__6_IntakeRelativeToMaintenance(AB67,AB31)</f>
        <v>#N/A</v>
      </c>
      <c r="AC83" s="15" t="e" cm="1">
        <f t="array" aca="1" ref="AC83" ca="1">MMS_PastureBeef_Soil_N2ODirect_Equations.VEERG_4_2_1_3__6_IntakeRelativeToMaintenance(AC67,AC31)</f>
        <v>#N/A</v>
      </c>
      <c r="AD83" s="15" t="e" cm="1">
        <f t="array" aca="1" ref="AD83" ca="1">MMS_PastureBeef_Soil_N2ODirect_Equations.VEERG_4_2_1_3__6_IntakeRelativeToMaintenance(AD67,AD31)</f>
        <v>#N/A</v>
      </c>
      <c r="AE83" s="15" t="e" cm="1">
        <f t="array" aca="1" ref="AE83" ca="1">MMS_PastureBeef_Soil_N2ODirect_Equations.VEERG_4_2_1_3__6_IntakeRelativeToMaintenance(AE67,AE31)</f>
        <v>#N/A</v>
      </c>
      <c r="AF83" s="16" t="str">
        <f t="shared" si="3"/>
        <v>ratio</v>
      </c>
      <c r="AG83" s="16"/>
      <c r="AH83" s="16"/>
    </row>
    <row r="84" spans="4:35" ht="20" customHeight="1" x14ac:dyDescent="0.25">
      <c r="D84" s="112" t="s">
        <v>375</v>
      </c>
    </row>
    <row r="85" spans="4:35" ht="20" customHeight="1" x14ac:dyDescent="0.25">
      <c r="D85" s="113" t="s">
        <v>377</v>
      </c>
    </row>
    <row r="86" spans="4:35" ht="20" customHeight="1" x14ac:dyDescent="0.25">
      <c r="D86" s="114" t="s">
        <v>76</v>
      </c>
      <c r="E86" s="82" t="s">
        <v>328</v>
      </c>
      <c r="F86" s="82" t="s">
        <v>329</v>
      </c>
      <c r="G86" s="82" t="s">
        <v>330</v>
      </c>
      <c r="T86" s="87"/>
      <c r="U86" s="87"/>
      <c r="V86" s="87"/>
      <c r="W86" s="87"/>
      <c r="X86" s="87"/>
      <c r="Y86" s="87"/>
      <c r="Z86" s="87"/>
      <c r="AA86" s="87"/>
      <c r="AB86" s="87"/>
      <c r="AC86" s="87"/>
      <c r="AD86" s="87"/>
      <c r="AE86" s="87"/>
      <c r="AF86" s="87"/>
      <c r="AG86" s="87"/>
      <c r="AH86" s="87"/>
      <c r="AI86" s="87"/>
    </row>
    <row r="87" spans="4:35" ht="20" customHeight="1" x14ac:dyDescent="0.25">
      <c r="D87" s="15" t="str">
        <f>'Input - Pasture Beef'!$E$162</f>
        <v>Winter</v>
      </c>
      <c r="E87" s="125">
        <f>'Input - Pasture Beef'!$F$168</f>
        <v>0.7</v>
      </c>
      <c r="F87" s="125">
        <f>'Input - Pasture Beef'!$G$168</f>
        <v>0.5</v>
      </c>
      <c r="G87" s="125">
        <f>'Input - Pasture Beef'!$H$168</f>
        <v>0.5</v>
      </c>
      <c r="H87" s="16" t="s">
        <v>379</v>
      </c>
      <c r="U87" s="2" t="str" cm="1">
        <f t="array" ref="U87">MMS_PastureBeef_Soil_N2ODirect_Equations.VEERG_4_2_1_3__5_MilkProductionForCalvingSeason_Title()</f>
        <v>Milk production for the season of calving and season after calving</v>
      </c>
    </row>
    <row r="88" spans="4:35" ht="20" customHeight="1" x14ac:dyDescent="0.25"/>
    <row r="89" spans="4:35" ht="20" customHeight="1" x14ac:dyDescent="0.25">
      <c r="U89" s="112" t="s">
        <v>376</v>
      </c>
    </row>
    <row r="90" spans="4:35" ht="20" customHeight="1" x14ac:dyDescent="0.25">
      <c r="U90" s="113" t="s">
        <v>378</v>
      </c>
    </row>
    <row r="91" spans="4:35" ht="20" customHeight="1" x14ac:dyDescent="0.25">
      <c r="U91" s="114" t="s">
        <v>75</v>
      </c>
      <c r="V91" s="82" t="s">
        <v>328</v>
      </c>
      <c r="W91" s="82" t="s">
        <v>329</v>
      </c>
      <c r="X91" s="82" t="s">
        <v>330</v>
      </c>
    </row>
    <row r="92" spans="4:35" ht="20" customHeight="1" x14ac:dyDescent="0.25">
      <c r="D92" s="112" t="s">
        <v>451</v>
      </c>
      <c r="U92" s="15" t="str">
        <f>TEXT(EDATE('Input - Pasture Beef'!$D$182,0), "mmmm") &amp; ", " &amp; TEXT(EDATE('Input - Pasture Beef'!$D$183,0), "mmmm") &amp; ", " &amp; TEXT(EDATE('Input - Pasture Beef'!$D$184,0), "mmmm")</f>
        <v>August, September, October</v>
      </c>
      <c r="V92" s="125">
        <f>'Input - Pasture Beef'!$E$185</f>
        <v>0.75</v>
      </c>
      <c r="W92" s="125">
        <f>'Input - Pasture Beef'!$F$185</f>
        <v>0.75</v>
      </c>
      <c r="X92" s="125">
        <f>'Input - Pasture Beef'!$G$185</f>
        <v>0.75</v>
      </c>
      <c r="Y92" s="16" t="s">
        <v>379</v>
      </c>
    </row>
    <row r="93" spans="4:35" ht="20" customHeight="1" x14ac:dyDescent="0.25">
      <c r="D93" s="113" t="s">
        <v>452</v>
      </c>
      <c r="U93" s="15" t="str">
        <f>TEXT(EDATE('Input - Pasture Beef'!$D$184,1), "mmmm") &amp; ", " &amp; TEXT(EDATE('Input - Pasture Beef'!$D$184,2), "mmmm") &amp; ", " &amp; TEXT(EDATE('Input - Pasture Beef'!$D$184,3), "mmmm")</f>
        <v>November, December, January</v>
      </c>
      <c r="Y93" s="16"/>
    </row>
    <row r="94" spans="4:35" ht="20" customHeight="1" x14ac:dyDescent="0.25">
      <c r="D94" s="114" t="s">
        <v>76</v>
      </c>
      <c r="E94" s="114" t="s">
        <v>357</v>
      </c>
      <c r="F94" s="114" t="s">
        <v>453</v>
      </c>
      <c r="G94" s="114" t="s">
        <v>326</v>
      </c>
      <c r="H94" s="114" t="s">
        <v>184</v>
      </c>
      <c r="I94" s="114" t="s">
        <v>327</v>
      </c>
      <c r="J94" s="114" t="s">
        <v>328</v>
      </c>
      <c r="K94" s="114" t="s">
        <v>329</v>
      </c>
      <c r="L94" s="114" t="s">
        <v>330</v>
      </c>
      <c r="M94" s="114" t="s">
        <v>331</v>
      </c>
      <c r="N94" s="114" t="s">
        <v>332</v>
      </c>
      <c r="O94" s="114" t="s">
        <v>333</v>
      </c>
      <c r="P94" s="114" t="s">
        <v>334</v>
      </c>
    </row>
    <row r="95" spans="4:35" ht="20" customHeight="1" x14ac:dyDescent="0.25">
      <c r="D95" s="15" t="str">
        <f>INDEX(M1_Table_MA_j_k45,2,1)</f>
        <v>Spring</v>
      </c>
      <c r="E95" s="15" t="str" cm="1">
        <f t="array" ref="E95">_xlfn.IFS(D87=D95, "Calving season", D87=D98, "Season after calving", D87=D96, "", D87=D97, "")</f>
        <v>Season after calving</v>
      </c>
      <c r="F95" s="15" t="e" cm="1">
        <f t="array" ref="F95">_xlfn.IFS(E95="Calving season", $I$80, E95="Season after calving", $I$81, E95="", "")</f>
        <v>#N/A</v>
      </c>
      <c r="G95" s="15">
        <v>0</v>
      </c>
      <c r="H95" s="15">
        <v>0</v>
      </c>
      <c r="I95" s="15">
        <v>0</v>
      </c>
      <c r="J95" s="15" cm="1">
        <f t="array" ref="J95">IFERROR(MMS_PastureBeef_Soil_N2ODirect_Equations.VEERG_4_2_1_3__5_MilkProductionForCalvingSeason(E$87,$F95), 0)</f>
        <v>0</v>
      </c>
      <c r="K95" s="15" cm="1">
        <f t="array" ref="K95">IFERROR(MMS_PastureBeef_Soil_N2ODirect_Equations.VEERG_4_2_1_3__5_MilkProductionForCalvingSeason(F$87,$F95), 0)</f>
        <v>0</v>
      </c>
      <c r="L95" s="15" cm="1">
        <f t="array" ref="L95">IFERROR(MMS_PastureBeef_Soil_N2ODirect_Equations.VEERG_4_2_1_3__5_MilkProductionForCalvingSeason(G$87,$F95), 0)</f>
        <v>0</v>
      </c>
      <c r="M95" s="15">
        <v>0</v>
      </c>
      <c r="N95" s="15">
        <v>0</v>
      </c>
      <c r="O95" s="15">
        <v>0</v>
      </c>
      <c r="P95" s="15">
        <v>0</v>
      </c>
      <c r="Q95" s="16" t="str">
        <f>$E$76</f>
        <v>kg/head/day</v>
      </c>
    </row>
    <row r="96" spans="4:35" ht="20" customHeight="1" x14ac:dyDescent="0.25">
      <c r="D96" s="15" t="str">
        <f>INDEX(M1_Table_MA_j_k45,3,1)</f>
        <v>Summer</v>
      </c>
      <c r="E96" s="15" t="str" cm="1">
        <f t="array" ref="E96">_xlfn.IFS(D87=D96, "Calving season", D87=D95, "Season after calving", D87=D97, "", D87=D98, "")</f>
        <v/>
      </c>
      <c r="F96" s="15" t="str" cm="1">
        <f t="array" ref="F96">_xlfn.IFS(E96="Calving season", $I$80, E96="Season after calving", $I$81, E96="", "")</f>
        <v/>
      </c>
      <c r="G96" s="15">
        <v>0</v>
      </c>
      <c r="H96" s="15">
        <v>0</v>
      </c>
      <c r="I96" s="15">
        <v>0</v>
      </c>
      <c r="J96" s="15" cm="1">
        <f t="array" ref="J96">IFERROR(MMS_PastureBeef_Soil_N2ODirect_Equations.VEERG_4_2_1_3__5_MilkProductionForCalvingSeason(E$87,$F96), 0)</f>
        <v>0</v>
      </c>
      <c r="K96" s="15" cm="1">
        <f t="array" ref="K96">IFERROR(MMS_PastureBeef_Soil_N2ODirect_Equations.VEERG_4_2_1_3__5_MilkProductionForCalvingSeason(F$87,$F96), 0)</f>
        <v>0</v>
      </c>
      <c r="L96" s="15" cm="1">
        <f t="array" ref="L96">IFERROR(MMS_PastureBeef_Soil_N2ODirect_Equations.VEERG_4_2_1_3__5_MilkProductionForCalvingSeason(G$87,$F96), 0)</f>
        <v>0</v>
      </c>
      <c r="M96" s="15">
        <v>0</v>
      </c>
      <c r="N96" s="15">
        <v>0</v>
      </c>
      <c r="O96" s="15">
        <v>0</v>
      </c>
      <c r="P96" s="15">
        <v>0</v>
      </c>
      <c r="Q96" s="16" t="str">
        <f t="shared" ref="Q96:Q98" si="4">$E$76</f>
        <v>kg/head/day</v>
      </c>
    </row>
    <row r="97" spans="3:34" ht="20" customHeight="1" x14ac:dyDescent="0.25">
      <c r="D97" s="15" t="str">
        <f>INDEX(M1_Table_MA_j_k45,4,1)</f>
        <v>Autumn</v>
      </c>
      <c r="E97" s="15" t="str" cm="1">
        <f t="array" ref="E97">_xlfn.IFS(D87=D97, "Calving season", D87=D96, "Season after calving", D87=D98, "", D87=D95, "")</f>
        <v/>
      </c>
      <c r="F97" s="15" t="str" cm="1">
        <f t="array" ref="F97">_xlfn.IFS(E97="Calving season", $I$80, E97="Season after calving", $I$81, E97="", "")</f>
        <v/>
      </c>
      <c r="G97" s="15">
        <v>0</v>
      </c>
      <c r="H97" s="15">
        <v>0</v>
      </c>
      <c r="I97" s="15">
        <v>0</v>
      </c>
      <c r="J97" s="15" cm="1">
        <f t="array" ref="J97">IFERROR(MMS_PastureBeef_Soil_N2ODirect_Equations.VEERG_4_2_1_3__5_MilkProductionForCalvingSeason(E$87,$F97), 0)</f>
        <v>0</v>
      </c>
      <c r="K97" s="15" cm="1">
        <f t="array" ref="K97">IFERROR(MMS_PastureBeef_Soil_N2ODirect_Equations.VEERG_4_2_1_3__5_MilkProductionForCalvingSeason(F$87,$F97), 0)</f>
        <v>0</v>
      </c>
      <c r="L97" s="15" cm="1">
        <f t="array" ref="L97">IFERROR(MMS_PastureBeef_Soil_N2ODirect_Equations.VEERG_4_2_1_3__5_MilkProductionForCalvingSeason(G$87,$F97), 0)</f>
        <v>0</v>
      </c>
      <c r="M97" s="15">
        <v>0</v>
      </c>
      <c r="N97" s="15">
        <v>0</v>
      </c>
      <c r="O97" s="15">
        <v>0</v>
      </c>
      <c r="P97" s="15">
        <v>0</v>
      </c>
      <c r="Q97" s="16" t="str">
        <f t="shared" si="4"/>
        <v>kg/head/day</v>
      </c>
      <c r="U97" s="112" t="s">
        <v>454</v>
      </c>
    </row>
    <row r="98" spans="3:34" ht="20" customHeight="1" x14ac:dyDescent="0.25">
      <c r="D98" s="15" t="str">
        <f>INDEX(M1_Table_MA_j_k45,5,1)</f>
        <v>Winter</v>
      </c>
      <c r="E98" s="15" t="str" cm="1">
        <f t="array" ref="E98">_xlfn.IFS(D87=D98, "Calving season", D87=D97, "Season after calving", D87=D95, "", D87=D96, "")</f>
        <v>Calving season</v>
      </c>
      <c r="F98" s="15" t="e" cm="1">
        <f t="array" ref="F98">_xlfn.IFS(E98="Calving season", $I$80, E98="Season after calving", $I$81, E98="", "")</f>
        <v>#N/A</v>
      </c>
      <c r="G98" s="15">
        <v>0</v>
      </c>
      <c r="H98" s="15">
        <v>0</v>
      </c>
      <c r="I98" s="15">
        <v>0</v>
      </c>
      <c r="J98" s="15" cm="1">
        <f t="array" ref="J98">IFERROR(MMS_PastureBeef_Soil_N2ODirect_Equations.VEERG_4_2_1_3__5_MilkProductionForCalvingSeason(E$87,$F98), 0)</f>
        <v>0</v>
      </c>
      <c r="K98" s="15" cm="1">
        <f t="array" ref="K98">IFERROR(MMS_PastureBeef_Soil_N2ODirect_Equations.VEERG_4_2_1_3__5_MilkProductionForCalvingSeason(F$87,$F98), 0)</f>
        <v>0</v>
      </c>
      <c r="L98" s="15" cm="1">
        <f t="array" ref="L98">IFERROR(MMS_PastureBeef_Soil_N2ODirect_Equations.VEERG_4_2_1_3__5_MilkProductionForCalvingSeason(G$87,$F98), 0)</f>
        <v>0</v>
      </c>
      <c r="M98" s="15">
        <v>0</v>
      </c>
      <c r="N98" s="15">
        <v>0</v>
      </c>
      <c r="O98" s="15">
        <v>0</v>
      </c>
      <c r="P98" s="15">
        <v>0</v>
      </c>
      <c r="Q98" s="16" t="str">
        <f t="shared" si="4"/>
        <v>kg/head/day</v>
      </c>
      <c r="U98" s="113" t="s">
        <v>452</v>
      </c>
    </row>
    <row r="99" spans="3:34" ht="20" customHeight="1" x14ac:dyDescent="0.25">
      <c r="U99" s="114" t="s">
        <v>75</v>
      </c>
      <c r="V99" s="114" t="s">
        <v>357</v>
      </c>
      <c r="W99" s="114" t="s">
        <v>453</v>
      </c>
      <c r="X99" s="114" t="s">
        <v>326</v>
      </c>
      <c r="Y99" s="114" t="s">
        <v>184</v>
      </c>
      <c r="Z99" s="114" t="s">
        <v>327</v>
      </c>
      <c r="AA99" s="114" t="s">
        <v>328</v>
      </c>
      <c r="AB99" s="114" t="s">
        <v>329</v>
      </c>
      <c r="AC99" s="114" t="s">
        <v>330</v>
      </c>
      <c r="AD99" s="114" t="s">
        <v>331</v>
      </c>
      <c r="AE99" s="114" t="s">
        <v>332</v>
      </c>
      <c r="AF99" s="114" t="s">
        <v>333</v>
      </c>
      <c r="AG99" s="114" t="s">
        <v>334</v>
      </c>
    </row>
    <row r="100" spans="3:34" ht="20" customHeight="1" x14ac:dyDescent="0.25">
      <c r="U100" s="15" t="str">
        <f>TEXT(X_Cell_Site_StartDate,"mmmm")</f>
        <v>January</v>
      </c>
      <c r="V100" s="15" t="str" cm="1">
        <f t="array" ref="V100">IFERROR(_xlfn.IFS(SUMPRODUCT(ISNUMBER(SEARCH(TRIM(_xlfn.TEXTSPLIT($U$92,",")),U100))*1)&gt;0,"Calving season",SUMPRODUCT(ISNUMBER(SEARCH(TRIM(_xlfn.TEXTSPLIT($U$93,",")),U100))*1)&gt;0,"Season after calving"), "")</f>
        <v>Season after calving</v>
      </c>
      <c r="W100" s="15" t="e" cm="1">
        <f t="array" ref="W100">_xlfn.IFS(V100="Calving season", $I$80, V100="Season after calving", $I$81, V100="", "")</f>
        <v>#N/A</v>
      </c>
      <c r="X100" s="15">
        <v>0</v>
      </c>
      <c r="Y100" s="15">
        <v>0</v>
      </c>
      <c r="Z100" s="15">
        <v>0</v>
      </c>
      <c r="AA100" s="15" cm="1">
        <f t="array" ref="AA100">IFERROR(MMS_PastureBeef_Soil_N2ODirect_Equations.VEERG_4_2_1_3__5_MilkProductionForCalvingSeason(V$92, $W100), 0)</f>
        <v>0</v>
      </c>
      <c r="AB100" s="15" cm="1">
        <f t="array" ref="AB100">IFERROR(MMS_PastureBeef_Soil_N2ODirect_Equations.VEERG_4_2_1_3__5_MilkProductionForCalvingSeason(W$92, $W100), 0)</f>
        <v>0</v>
      </c>
      <c r="AC100" s="15" cm="1">
        <f t="array" ref="AC100">IFERROR(MMS_PastureBeef_Soil_N2ODirect_Equations.VEERG_4_2_1_3__5_MilkProductionForCalvingSeason(X$92, $W100), 0)</f>
        <v>0</v>
      </c>
      <c r="AD100" s="15">
        <v>0</v>
      </c>
      <c r="AE100" s="15">
        <v>0</v>
      </c>
      <c r="AF100" s="15">
        <v>0</v>
      </c>
      <c r="AG100" s="15">
        <v>0</v>
      </c>
      <c r="AH100" s="16" t="str">
        <f t="shared" ref="AH100:AH111" si="5">$E$76</f>
        <v>kg/head/day</v>
      </c>
    </row>
    <row r="101" spans="3:34" ht="20" customHeight="1" x14ac:dyDescent="0.25">
      <c r="C101" s="87"/>
      <c r="D101" s="87"/>
      <c r="E101" s="87"/>
      <c r="F101" s="87"/>
      <c r="G101" s="87"/>
      <c r="H101" s="87"/>
      <c r="I101" s="87"/>
      <c r="J101" s="87"/>
      <c r="K101" s="87"/>
      <c r="L101" s="87"/>
      <c r="M101" s="87"/>
      <c r="N101" s="87"/>
      <c r="O101" s="87"/>
      <c r="P101" s="87"/>
      <c r="Q101" s="87"/>
      <c r="R101" s="87"/>
      <c r="U101" s="15" t="str">
        <f>TEXT(EDATE(X_Cell_Site_StartDate,1), "mmmm")</f>
        <v>January</v>
      </c>
      <c r="V101" s="15" t="str" cm="1">
        <f t="array" ref="V101">IFERROR(_xlfn.IFS(SUMPRODUCT(ISNUMBER(SEARCH(TRIM(_xlfn.TEXTSPLIT($U$92,",")),U101))*1)&gt;0,"Calving season",SUMPRODUCT(ISNUMBER(SEARCH(TRIM(_xlfn.TEXTSPLIT($U$93,",")),U101))*1)&gt;0,"Season after calving"), "")</f>
        <v>Season after calving</v>
      </c>
      <c r="W101" s="15" t="e" cm="1">
        <f t="array" ref="W101">_xlfn.IFS(V101="Calving season", $I$80, V101="Season after calving", $I$81, V101="", "")</f>
        <v>#N/A</v>
      </c>
      <c r="X101" s="15">
        <v>0</v>
      </c>
      <c r="Y101" s="15">
        <v>0</v>
      </c>
      <c r="Z101" s="15">
        <v>0</v>
      </c>
      <c r="AA101" s="15" cm="1">
        <f t="array" ref="AA101">IFERROR(MMS_PastureBeef_Soil_N2ODirect_Equations.VEERG_4_2_1_3__5_MilkProductionForCalvingSeason(V$92, $W101), 0)</f>
        <v>0</v>
      </c>
      <c r="AB101" s="15" cm="1">
        <f t="array" ref="AB101">IFERROR(MMS_PastureBeef_Soil_N2ODirect_Equations.VEERG_4_2_1_3__5_MilkProductionForCalvingSeason(W$92, $W101), 0)</f>
        <v>0</v>
      </c>
      <c r="AC101" s="15" cm="1">
        <f t="array" ref="AC101">IFERROR(MMS_PastureBeef_Soil_N2ODirect_Equations.VEERG_4_2_1_3__5_MilkProductionForCalvingSeason(X$92, $W101), 0)</f>
        <v>0</v>
      </c>
      <c r="AD101" s="15">
        <v>0</v>
      </c>
      <c r="AE101" s="15">
        <v>0</v>
      </c>
      <c r="AF101" s="15">
        <v>0</v>
      </c>
      <c r="AG101" s="15">
        <v>0</v>
      </c>
      <c r="AH101" s="16" t="str">
        <f t="shared" si="5"/>
        <v>kg/head/day</v>
      </c>
    </row>
    <row r="102" spans="3:34" ht="20" customHeight="1" x14ac:dyDescent="0.25">
      <c r="D102" s="2" t="str" cm="1">
        <f t="array" ref="D102">MMS_PastureBeef_Soil_N2ODirect_Equations.VEERG_4_2_1_3__4_NitrogenRetainedByBody_Title()</f>
        <v>Amount of nitrogen retained by the body</v>
      </c>
      <c r="U102" s="15" t="str">
        <f>TEXT(EDATE(X_Cell_Site_StartDate,2), "mmmm")</f>
        <v>February</v>
      </c>
      <c r="V102" s="15" t="str" cm="1">
        <f t="array" ref="V102">IFERROR(_xlfn.IFS(SUMPRODUCT(ISNUMBER(SEARCH(TRIM(_xlfn.TEXTSPLIT($U$92,",")),U102))*1)&gt;0,"Calving season",SUMPRODUCT(ISNUMBER(SEARCH(TRIM(_xlfn.TEXTSPLIT($U$93,",")),U102))*1)&gt;0,"Season after calving"), "")</f>
        <v/>
      </c>
      <c r="W102" s="15" t="str" cm="1">
        <f t="array" ref="W102">_xlfn.IFS(V102="Calving season", $I$80, V102="Season after calving", $I$81, V102="", "")</f>
        <v/>
      </c>
      <c r="X102" s="15">
        <v>0</v>
      </c>
      <c r="Y102" s="15">
        <v>0</v>
      </c>
      <c r="Z102" s="15">
        <v>0</v>
      </c>
      <c r="AA102" s="15" cm="1">
        <f t="array" ref="AA102">IFERROR(MMS_PastureBeef_Soil_N2ODirect_Equations.VEERG_4_2_1_3__5_MilkProductionForCalvingSeason(V$92, $W102), 0)</f>
        <v>0</v>
      </c>
      <c r="AB102" s="15" cm="1">
        <f t="array" ref="AB102">IFERROR(MMS_PastureBeef_Soil_N2ODirect_Equations.VEERG_4_2_1_3__5_MilkProductionForCalvingSeason(W$92, $W102), 0)</f>
        <v>0</v>
      </c>
      <c r="AC102" s="15" cm="1">
        <f t="array" ref="AC102">IFERROR(MMS_PastureBeef_Soil_N2ODirect_Equations.VEERG_4_2_1_3__5_MilkProductionForCalvingSeason(X$92, $W102), 0)</f>
        <v>0</v>
      </c>
      <c r="AD102" s="15">
        <v>0</v>
      </c>
      <c r="AE102" s="15">
        <v>0</v>
      </c>
      <c r="AF102" s="15">
        <v>0</v>
      </c>
      <c r="AG102" s="15">
        <v>0</v>
      </c>
      <c r="AH102" s="16" t="str">
        <f t="shared" si="5"/>
        <v>kg/head/day</v>
      </c>
    </row>
    <row r="103" spans="3:34" ht="20" customHeight="1" x14ac:dyDescent="0.25">
      <c r="D103" s="17" t="str" cm="1">
        <f t="array" ref="D103">MMS_PastureBeef_Soil_N2ODirect_Equations.VEERG_4_2_1_3__4_NitrogenRetainedByBody_Source()</f>
        <v>VEERG 2026: 4.2.1.3, Equation (4)</v>
      </c>
      <c r="U103" s="15" t="str">
        <f>TEXT(EDATE(X_Cell_Site_StartDate,3), "mmmm")</f>
        <v>March</v>
      </c>
      <c r="V103" s="15" t="str" cm="1">
        <f t="array" ref="V103">IFERROR(_xlfn.IFS(SUMPRODUCT(ISNUMBER(SEARCH(TRIM(_xlfn.TEXTSPLIT($U$92,",")),U103))*1)&gt;0,"Calving season",SUMPRODUCT(ISNUMBER(SEARCH(TRIM(_xlfn.TEXTSPLIT($U$93,",")),U103))*1)&gt;0,"Season after calving"), "")</f>
        <v/>
      </c>
      <c r="W103" s="15" t="str" cm="1">
        <f t="array" ref="W103">_xlfn.IFS(V103="Calving season", $I$80, V103="Season after calving", $I$81, V103="", "")</f>
        <v/>
      </c>
      <c r="X103" s="15">
        <v>0</v>
      </c>
      <c r="Y103" s="15">
        <v>0</v>
      </c>
      <c r="Z103" s="15">
        <v>0</v>
      </c>
      <c r="AA103" s="15" cm="1">
        <f t="array" ref="AA103">IFERROR(MMS_PastureBeef_Soil_N2ODirect_Equations.VEERG_4_2_1_3__5_MilkProductionForCalvingSeason(V$92, $W103), 0)</f>
        <v>0</v>
      </c>
      <c r="AB103" s="15" cm="1">
        <f t="array" ref="AB103">IFERROR(MMS_PastureBeef_Soil_N2ODirect_Equations.VEERG_4_2_1_3__5_MilkProductionForCalvingSeason(W$92, $W103), 0)</f>
        <v>0</v>
      </c>
      <c r="AC103" s="15" cm="1">
        <f t="array" ref="AC103">IFERROR(MMS_PastureBeef_Soil_N2ODirect_Equations.VEERG_4_2_1_3__5_MilkProductionForCalvingSeason(X$92, $W103), 0)</f>
        <v>0</v>
      </c>
      <c r="AD103" s="15">
        <v>0</v>
      </c>
      <c r="AE103" s="15">
        <v>0</v>
      </c>
      <c r="AF103" s="15">
        <v>0</v>
      </c>
      <c r="AG103" s="15">
        <v>0</v>
      </c>
      <c r="AH103" s="16" t="str">
        <f t="shared" si="5"/>
        <v>kg/head/day</v>
      </c>
    </row>
    <row r="104" spans="3:34" ht="20" customHeight="1" x14ac:dyDescent="0.25">
      <c r="D104" s="103" t="s">
        <v>372</v>
      </c>
      <c r="E104" s="103" t="str" cm="1">
        <f t="array" aca="1" ref="E104" ca="1">Common_InputFunctions.Utility_DisplayFunctionName(E127)</f>
        <v>=MMS_PastureBeef_Soil_N2ODirect_Equations.VEERG_4_2_1_3__4_NitrogenRetainedByBody</v>
      </c>
      <c r="U104" s="15" t="str">
        <f>TEXT(EDATE(X_Cell_Site_StartDate,4), "mmmm")</f>
        <v>April</v>
      </c>
      <c r="V104" s="15" t="str" cm="1">
        <f t="array" ref="V104">IFERROR(_xlfn.IFS(SUMPRODUCT(ISNUMBER(SEARCH(TRIM(_xlfn.TEXTSPLIT($U$92,",")),U104))*1)&gt;0,"Calving season",SUMPRODUCT(ISNUMBER(SEARCH(TRIM(_xlfn.TEXTSPLIT($U$93,",")),U104))*1)&gt;0,"Season after calving"), "")</f>
        <v/>
      </c>
      <c r="W104" s="15" t="str" cm="1">
        <f t="array" ref="W104">_xlfn.IFS(V104="Calving season", $I$80, V104="Season after calving", $I$81, V104="", "")</f>
        <v/>
      </c>
      <c r="X104" s="15">
        <v>0</v>
      </c>
      <c r="Y104" s="15">
        <v>0</v>
      </c>
      <c r="Z104" s="15">
        <v>0</v>
      </c>
      <c r="AA104" s="15" cm="1">
        <f t="array" ref="AA104">IFERROR(MMS_PastureBeef_Soil_N2ODirect_Equations.VEERG_4_2_1_3__5_MilkProductionForCalvingSeason(V$92, $W104), 0)</f>
        <v>0</v>
      </c>
      <c r="AB104" s="15" cm="1">
        <f t="array" ref="AB104">IFERROR(MMS_PastureBeef_Soil_N2ODirect_Equations.VEERG_4_2_1_3__5_MilkProductionForCalvingSeason(W$92, $W104), 0)</f>
        <v>0</v>
      </c>
      <c r="AC104" s="15" cm="1">
        <f t="array" ref="AC104">IFERROR(MMS_PastureBeef_Soil_N2ODirect_Equations.VEERG_4_2_1_3__5_MilkProductionForCalvingSeason(X$92, $W104), 0)</f>
        <v>0</v>
      </c>
      <c r="AD104" s="15">
        <v>0</v>
      </c>
      <c r="AE104" s="15">
        <v>0</v>
      </c>
      <c r="AF104" s="15">
        <v>0</v>
      </c>
      <c r="AG104" s="15">
        <v>0</v>
      </c>
      <c r="AH104" s="16" t="str">
        <f t="shared" si="5"/>
        <v>kg/head/day</v>
      </c>
    </row>
    <row r="105" spans="3:34" ht="20" customHeight="1" x14ac:dyDescent="0.25">
      <c r="U105" s="15" t="str">
        <f>TEXT(EDATE(X_Cell_Site_StartDate,5), "mmmm")</f>
        <v>May</v>
      </c>
      <c r="V105" s="15" t="str" cm="1">
        <f t="array" ref="V105">IFERROR(_xlfn.IFS(SUMPRODUCT(ISNUMBER(SEARCH(TRIM(_xlfn.TEXTSPLIT($U$92,",")),U105))*1)&gt;0,"Calving season",SUMPRODUCT(ISNUMBER(SEARCH(TRIM(_xlfn.TEXTSPLIT($U$93,",")),U105))*1)&gt;0,"Season after calving"), "")</f>
        <v/>
      </c>
      <c r="W105" s="15" t="str" cm="1">
        <f t="array" ref="W105">_xlfn.IFS(V105="Calving season", $I$80, V105="Season after calving", $I$81, V105="", "")</f>
        <v/>
      </c>
      <c r="X105" s="15">
        <v>0</v>
      </c>
      <c r="Y105" s="15">
        <v>0</v>
      </c>
      <c r="Z105" s="15">
        <v>0</v>
      </c>
      <c r="AA105" s="15" cm="1">
        <f t="array" ref="AA105">IFERROR(MMS_PastureBeef_Soil_N2ODirect_Equations.VEERG_4_2_1_3__5_MilkProductionForCalvingSeason(V$92, $W105), 0)</f>
        <v>0</v>
      </c>
      <c r="AB105" s="15" cm="1">
        <f t="array" ref="AB105">IFERROR(MMS_PastureBeef_Soil_N2ODirect_Equations.VEERG_4_2_1_3__5_MilkProductionForCalvingSeason(W$92, $W105), 0)</f>
        <v>0</v>
      </c>
      <c r="AC105" s="15" cm="1">
        <f t="array" ref="AC105">IFERROR(MMS_PastureBeef_Soil_N2ODirect_Equations.VEERG_4_2_1_3__5_MilkProductionForCalvingSeason(X$92, $W105), 0)</f>
        <v>0</v>
      </c>
      <c r="AD105" s="15">
        <v>0</v>
      </c>
      <c r="AE105" s="15">
        <v>0</v>
      </c>
      <c r="AF105" s="15">
        <v>0</v>
      </c>
      <c r="AG105" s="15">
        <v>0</v>
      </c>
      <c r="AH105" s="16" t="str">
        <f t="shared" si="5"/>
        <v>kg/head/day</v>
      </c>
    </row>
    <row r="106" spans="3:34" ht="20" customHeight="1" x14ac:dyDescent="0.25">
      <c r="U106" s="15" t="str">
        <f>TEXT(EDATE(X_Cell_Site_StartDate,6), "mmmm")</f>
        <v>June</v>
      </c>
      <c r="V106" s="15" t="str" cm="1">
        <f t="array" ref="V106">IFERROR(_xlfn.IFS(SUMPRODUCT(ISNUMBER(SEARCH(TRIM(_xlfn.TEXTSPLIT($U$92,",")),U106))*1)&gt;0,"Calving season",SUMPRODUCT(ISNUMBER(SEARCH(TRIM(_xlfn.TEXTSPLIT($U$93,",")),U106))*1)&gt;0,"Season after calving"), "")</f>
        <v/>
      </c>
      <c r="W106" s="15" t="str" cm="1">
        <f t="array" ref="W106">_xlfn.IFS(V106="Calving season", $I$80, V106="Season after calving", $I$81, V106="", "")</f>
        <v/>
      </c>
      <c r="X106" s="15">
        <v>0</v>
      </c>
      <c r="Y106" s="15">
        <v>0</v>
      </c>
      <c r="Z106" s="15">
        <v>0</v>
      </c>
      <c r="AA106" s="15" cm="1">
        <f t="array" ref="AA106">IFERROR(MMS_PastureBeef_Soil_N2ODirect_Equations.VEERG_4_2_1_3__5_MilkProductionForCalvingSeason(V$92, $W106), 0)</f>
        <v>0</v>
      </c>
      <c r="AB106" s="15" cm="1">
        <f t="array" ref="AB106">IFERROR(MMS_PastureBeef_Soil_N2ODirect_Equations.VEERG_4_2_1_3__5_MilkProductionForCalvingSeason(W$92, $W106), 0)</f>
        <v>0</v>
      </c>
      <c r="AC106" s="15" cm="1">
        <f t="array" ref="AC106">IFERROR(MMS_PastureBeef_Soil_N2ODirect_Equations.VEERG_4_2_1_3__5_MilkProductionForCalvingSeason(X$92, $W106), 0)</f>
        <v>0</v>
      </c>
      <c r="AD106" s="15">
        <v>0</v>
      </c>
      <c r="AE106" s="15">
        <v>0</v>
      </c>
      <c r="AF106" s="15">
        <v>0</v>
      </c>
      <c r="AG106" s="15">
        <v>0</v>
      </c>
      <c r="AH106" s="16" t="str">
        <f t="shared" si="5"/>
        <v>kg/head/day</v>
      </c>
    </row>
    <row r="107" spans="3:34" ht="20" customHeight="1" x14ac:dyDescent="0.25">
      <c r="U107" s="15" t="str">
        <f>TEXT(EDATE(X_Cell_Site_StartDate,7), "mmmm")</f>
        <v>July</v>
      </c>
      <c r="V107" s="15" t="str" cm="1">
        <f t="array" ref="V107">IFERROR(_xlfn.IFS(SUMPRODUCT(ISNUMBER(SEARCH(TRIM(_xlfn.TEXTSPLIT($U$92,",")),U107))*1)&gt;0,"Calving season",SUMPRODUCT(ISNUMBER(SEARCH(TRIM(_xlfn.TEXTSPLIT($U$93,",")),U107))*1)&gt;0,"Season after calving"), "")</f>
        <v/>
      </c>
      <c r="W107" s="15" t="str" cm="1">
        <f t="array" ref="W107">_xlfn.IFS(V107="Calving season", $I$80, V107="Season after calving", $I$81, V107="", "")</f>
        <v/>
      </c>
      <c r="X107" s="15">
        <v>0</v>
      </c>
      <c r="Y107" s="15">
        <v>0</v>
      </c>
      <c r="Z107" s="15">
        <v>0</v>
      </c>
      <c r="AA107" s="15" cm="1">
        <f t="array" ref="AA107">IFERROR(MMS_PastureBeef_Soil_N2ODirect_Equations.VEERG_4_2_1_3__5_MilkProductionForCalvingSeason(V$92, $W107), 0)</f>
        <v>0</v>
      </c>
      <c r="AB107" s="15" cm="1">
        <f t="array" ref="AB107">IFERROR(MMS_PastureBeef_Soil_N2ODirect_Equations.VEERG_4_2_1_3__5_MilkProductionForCalvingSeason(W$92, $W107), 0)</f>
        <v>0</v>
      </c>
      <c r="AC107" s="15" cm="1">
        <f t="array" ref="AC107">IFERROR(MMS_PastureBeef_Soil_N2ODirect_Equations.VEERG_4_2_1_3__5_MilkProductionForCalvingSeason(X$92, $W107), 0)</f>
        <v>0</v>
      </c>
      <c r="AD107" s="15">
        <v>0</v>
      </c>
      <c r="AE107" s="15">
        <v>0</v>
      </c>
      <c r="AF107" s="15">
        <v>0</v>
      </c>
      <c r="AG107" s="15">
        <v>0</v>
      </c>
      <c r="AH107" s="16" t="str">
        <f t="shared" si="5"/>
        <v>kg/head/day</v>
      </c>
    </row>
    <row r="108" spans="3:34" ht="20" customHeight="1" x14ac:dyDescent="0.25">
      <c r="D108" s="77" t="s">
        <v>374</v>
      </c>
      <c r="E108" s="1" t="str" cm="1">
        <f t="array" ref="E108">MMS_PastureBeef_Soil_N2ODirect_Equations.VEERG_4_2_1_3__4_NitrogenRetainedByBody_Variable()</f>
        <v>NR_jkl</v>
      </c>
      <c r="U108" s="15" t="str">
        <f>TEXT(EDATE(X_Cell_Site_StartDate,8), "mmmm")</f>
        <v>August</v>
      </c>
      <c r="V108" s="15" t="str" cm="1">
        <f t="array" ref="V108">IFERROR(_xlfn.IFS(SUMPRODUCT(ISNUMBER(SEARCH(TRIM(_xlfn.TEXTSPLIT($U$92,",")),U108))*1)&gt;0,"Calving season",SUMPRODUCT(ISNUMBER(SEARCH(TRIM(_xlfn.TEXTSPLIT($U$93,",")),U108))*1)&gt;0,"Season after calving"), "")</f>
        <v>Calving season</v>
      </c>
      <c r="W108" s="15" t="e" cm="1">
        <f t="array" ref="W108">_xlfn.IFS(V108="Calving season", $I$80, V108="Season after calving", $I$81, V108="", "")</f>
        <v>#N/A</v>
      </c>
      <c r="X108" s="15">
        <v>0</v>
      </c>
      <c r="Y108" s="15">
        <v>0</v>
      </c>
      <c r="Z108" s="15">
        <v>0</v>
      </c>
      <c r="AA108" s="15" cm="1">
        <f t="array" ref="AA108">IFERROR(MMS_PastureBeef_Soil_N2ODirect_Equations.VEERG_4_2_1_3__5_MilkProductionForCalvingSeason(V$92, $W108), 0)</f>
        <v>0</v>
      </c>
      <c r="AB108" s="15" cm="1">
        <f t="array" ref="AB108">IFERROR(MMS_PastureBeef_Soil_N2ODirect_Equations.VEERG_4_2_1_3__5_MilkProductionForCalvingSeason(W$92, $W108), 0)</f>
        <v>0</v>
      </c>
      <c r="AC108" s="15" cm="1">
        <f t="array" ref="AC108">IFERROR(MMS_PastureBeef_Soil_N2ODirect_Equations.VEERG_4_2_1_3__5_MilkProductionForCalvingSeason(X$92, $W108), 0)</f>
        <v>0</v>
      </c>
      <c r="AD108" s="15">
        <v>0</v>
      </c>
      <c r="AE108" s="15">
        <v>0</v>
      </c>
      <c r="AF108" s="15">
        <v>0</v>
      </c>
      <c r="AG108" s="15">
        <v>0</v>
      </c>
      <c r="AH108" s="16" t="str">
        <f t="shared" si="5"/>
        <v>kg/head/day</v>
      </c>
    </row>
    <row r="109" spans="3:34" ht="20" customHeight="1" x14ac:dyDescent="0.25">
      <c r="D109" s="77" t="s">
        <v>121</v>
      </c>
      <c r="E109" s="9" t="str" cm="1">
        <f t="array" ref="E109">MMS_PastureBeef_Soil_N2ODirect_Equations.VEERG_4_2_1_3__4_NitrogenRetainedByBody_Unit()</f>
        <v>kg N/head/day</v>
      </c>
      <c r="U109" s="15" t="str">
        <f>TEXT(EDATE(X_Cell_Site_StartDate,9), "mmmm")</f>
        <v>September</v>
      </c>
      <c r="V109" s="15" t="str" cm="1">
        <f t="array" ref="V109">IFERROR(_xlfn.IFS(SUMPRODUCT(ISNUMBER(SEARCH(TRIM(_xlfn.TEXTSPLIT($U$92,",")),U109))*1)&gt;0,"Calving season",SUMPRODUCT(ISNUMBER(SEARCH(TRIM(_xlfn.TEXTSPLIT($U$93,",")),U109))*1)&gt;0,"Season after calving"), "")</f>
        <v>Calving season</v>
      </c>
      <c r="W109" s="15" t="e" cm="1">
        <f t="array" ref="W109">_xlfn.IFS(V109="Calving season", $I$80, V109="Season after calving", $I$81, V109="", "")</f>
        <v>#N/A</v>
      </c>
      <c r="X109" s="15">
        <v>0</v>
      </c>
      <c r="Y109" s="15">
        <v>0</v>
      </c>
      <c r="Z109" s="15">
        <v>0</v>
      </c>
      <c r="AA109" s="15" cm="1">
        <f t="array" ref="AA109">IFERROR(MMS_PastureBeef_Soil_N2ODirect_Equations.VEERG_4_2_1_3__5_MilkProductionForCalvingSeason(V$92, $W109), 0)</f>
        <v>0</v>
      </c>
      <c r="AB109" s="15" cm="1">
        <f t="array" ref="AB109">IFERROR(MMS_PastureBeef_Soil_N2ODirect_Equations.VEERG_4_2_1_3__5_MilkProductionForCalvingSeason(W$92, $W109), 0)</f>
        <v>0</v>
      </c>
      <c r="AC109" s="15" cm="1">
        <f t="array" ref="AC109">IFERROR(MMS_PastureBeef_Soil_N2ODirect_Equations.VEERG_4_2_1_3__5_MilkProductionForCalvingSeason(X$92, $W109), 0)</f>
        <v>0</v>
      </c>
      <c r="AD109" s="15">
        <v>0</v>
      </c>
      <c r="AE109" s="15">
        <v>0</v>
      </c>
      <c r="AF109" s="15">
        <v>0</v>
      </c>
      <c r="AG109" s="15">
        <v>0</v>
      </c>
      <c r="AH109" s="16" t="str">
        <f t="shared" si="5"/>
        <v>kg/head/day</v>
      </c>
    </row>
    <row r="110" spans="3:34" ht="20" customHeight="1" x14ac:dyDescent="0.25">
      <c r="U110" s="15" t="str">
        <f>TEXT(EDATE(X_Cell_Site_StartDate,10), "mmmm")</f>
        <v>October</v>
      </c>
      <c r="V110" s="15" t="str" cm="1">
        <f t="array" ref="V110">IFERROR(_xlfn.IFS(SUMPRODUCT(ISNUMBER(SEARCH(TRIM(_xlfn.TEXTSPLIT($U$92,",")),U110))*1)&gt;0,"Calving season",SUMPRODUCT(ISNUMBER(SEARCH(TRIM(_xlfn.TEXTSPLIT($U$93,",")),U110))*1)&gt;0,"Season after calving"), "")</f>
        <v>Calving season</v>
      </c>
      <c r="W110" s="15" t="e" cm="1">
        <f t="array" ref="W110">_xlfn.IFS(V110="Calving season", $I$80, V110="Season after calving", $I$81, V110="", "")</f>
        <v>#N/A</v>
      </c>
      <c r="X110" s="15">
        <v>0</v>
      </c>
      <c r="Y110" s="15">
        <v>0</v>
      </c>
      <c r="Z110" s="15">
        <v>0</v>
      </c>
      <c r="AA110" s="15" cm="1">
        <f t="array" ref="AA110">IFERROR(MMS_PastureBeef_Soil_N2ODirect_Equations.VEERG_4_2_1_3__5_MilkProductionForCalvingSeason(V$92, $W110), 0)</f>
        <v>0</v>
      </c>
      <c r="AB110" s="15" cm="1">
        <f t="array" ref="AB110">IFERROR(MMS_PastureBeef_Soil_N2ODirect_Equations.VEERG_4_2_1_3__5_MilkProductionForCalvingSeason(W$92, $W110), 0)</f>
        <v>0</v>
      </c>
      <c r="AC110" s="15" cm="1">
        <f t="array" ref="AC110">IFERROR(MMS_PastureBeef_Soil_N2ODirect_Equations.VEERG_4_2_1_3__5_MilkProductionForCalvingSeason(X$92, $W110), 0)</f>
        <v>0</v>
      </c>
      <c r="AD110" s="15">
        <v>0</v>
      </c>
      <c r="AE110" s="15">
        <v>0</v>
      </c>
      <c r="AF110" s="15">
        <v>0</v>
      </c>
      <c r="AG110" s="15">
        <v>0</v>
      </c>
      <c r="AH110" s="16" t="str">
        <f t="shared" si="5"/>
        <v>kg/head/day</v>
      </c>
    </row>
    <row r="111" spans="3:34" ht="20" customHeight="1" x14ac:dyDescent="0.25">
      <c r="D111" s="105" t="str" cm="1">
        <f t="array" ref="D111:E114">_xlfn.CHOOSECOLS(MMS_PastureBeef_Soil_N2ODirect_Equations.VEERG_4_2_1_3__4_NitrogenRetainedByBody_Arguments(),1,2)</f>
        <v>MP_jk5</v>
      </c>
      <c r="E111" s="106" t="str">
        <v>milk production (kg/head/day)</v>
      </c>
      <c r="F111" s="108"/>
      <c r="G111" s="105" t="str" cm="1">
        <f t="array" ref="G111:H114">_xlfn.CHOOSECOLS(MMS_PastureBeef_Soil_N2ODirect_Equations.VEERG_4_2_1_3__4_NitrogenRetainedByBody_Arguments(),3,4)</f>
        <v>kg/head/day</v>
      </c>
      <c r="H111" s="110" t="str">
        <v>Calculated from 4.2.1.3 (5)</v>
      </c>
      <c r="I111" s="111" t="str" cm="1">
        <f t="array" aca="1" ref="I111" ca="1">HYPERLINK(Common_InputFunctions.Utility_SourceHyperlinkDifferentSheet($D$92), $D$92)</f>
        <v>M1_Table_MP_j_k-4-5</v>
      </c>
      <c r="U111" s="15" t="str">
        <f>TEXT(EDATE(X_Cell_Site_StartDate,11), "mmmm")</f>
        <v>November</v>
      </c>
      <c r="V111" s="15" t="str" cm="1">
        <f t="array" ref="V111">IFERROR(_xlfn.IFS(SUMPRODUCT(ISNUMBER(SEARCH(TRIM(_xlfn.TEXTSPLIT($U$92,",")),U111))*1)&gt;0,"Calving season",SUMPRODUCT(ISNUMBER(SEARCH(TRIM(_xlfn.TEXTSPLIT($U$93,",")),U111))*1)&gt;0,"Season after calving"), "")</f>
        <v>Season after calving</v>
      </c>
      <c r="W111" s="15" t="e" cm="1">
        <f t="array" ref="W111">_xlfn.IFS(V111="Calving season", $I$80, V111="Season after calving", $I$81, V111="", "")</f>
        <v>#N/A</v>
      </c>
      <c r="X111" s="15">
        <v>0</v>
      </c>
      <c r="Y111" s="15">
        <v>0</v>
      </c>
      <c r="Z111" s="15">
        <v>0</v>
      </c>
      <c r="AA111" s="15" cm="1">
        <f t="array" ref="AA111">IFERROR(MMS_PastureBeef_Soil_N2ODirect_Equations.VEERG_4_2_1_3__5_MilkProductionForCalvingSeason(V$92, $W111), 0)</f>
        <v>0</v>
      </c>
      <c r="AB111" s="15" cm="1">
        <f t="array" ref="AB111">IFERROR(MMS_PastureBeef_Soil_N2ODirect_Equations.VEERG_4_2_1_3__5_MilkProductionForCalvingSeason(W$92, $W111), 0)</f>
        <v>0</v>
      </c>
      <c r="AC111" s="15" cm="1">
        <f t="array" ref="AC111">IFERROR(MMS_PastureBeef_Soil_N2ODirect_Equations.VEERG_4_2_1_3__5_MilkProductionForCalvingSeason(X$92, $W111), 0)</f>
        <v>0</v>
      </c>
      <c r="AD111" s="15">
        <v>0</v>
      </c>
      <c r="AE111" s="15">
        <v>0</v>
      </c>
      <c r="AF111" s="15">
        <v>0</v>
      </c>
      <c r="AG111" s="15">
        <v>0</v>
      </c>
      <c r="AH111" s="16" t="str">
        <f t="shared" si="5"/>
        <v>kg/head/day</v>
      </c>
    </row>
    <row r="112" spans="3:34" ht="20" customHeight="1" x14ac:dyDescent="0.25">
      <c r="D112" s="105" t="str">
        <v>L_jkl</v>
      </c>
      <c r="E112" s="106" t="str">
        <v>intake relative to that needed for maintenance</v>
      </c>
      <c r="F112" s="108"/>
      <c r="G112" s="105" t="str">
        <v/>
      </c>
      <c r="H112" s="110" t="str">
        <v>Calculated from 4.2.1.3 (6)</v>
      </c>
      <c r="I112" s="111" t="str" cm="1">
        <f t="array" aca="1" ref="I112" ca="1">HYPERLINK(Common_InputFunctions.Utility_SourceHyperlink($D$59), $D$59)</f>
        <v>M1_Table_L_j_k_l</v>
      </c>
    </row>
    <row r="113" spans="4:35" ht="20" customHeight="1" x14ac:dyDescent="0.25">
      <c r="D113" s="105" t="str">
        <v>Z_jkl</v>
      </c>
      <c r="E113" s="106" t="str">
        <v>relative size</v>
      </c>
      <c r="F113" s="108"/>
      <c r="G113" s="105" t="str">
        <v/>
      </c>
      <c r="H113" s="110" t="str">
        <v>Calculated from 4.2.1.3 (7)</v>
      </c>
      <c r="I113" s="111" t="str" cm="1">
        <f t="array" aca="1" ref="I113" ca="1">HYPERLINK(Common_InputFunctions.Utility_SourceHyperlink($D$30), $D$30)</f>
        <v>M1_Table_Z_j_k_l</v>
      </c>
    </row>
    <row r="114" spans="4:35" ht="20" customHeight="1" x14ac:dyDescent="0.25">
      <c r="D114" s="105" t="str">
        <v>LWG_jkl</v>
      </c>
      <c r="E114" s="106" t="str">
        <v>liveweight gain (kg/head/day)</v>
      </c>
      <c r="F114" s="108"/>
      <c r="G114" s="105" t="str">
        <v>kg/head/day</v>
      </c>
      <c r="H114" s="109" t="str">
        <v>Input</v>
      </c>
      <c r="I114" s="111" t="str" cm="1">
        <f t="array" aca="1" ref="I114" ca="1">HYPERLINK(Common_InputFunctions.Utility_SourceHyperlink($D$116), $D$116)</f>
        <v>M1_Table_LWG_j_k_l</v>
      </c>
      <c r="T114" s="87"/>
      <c r="U114" s="87"/>
      <c r="V114" s="87"/>
      <c r="W114" s="87"/>
      <c r="X114" s="87"/>
      <c r="Y114" s="87"/>
      <c r="Z114" s="87"/>
      <c r="AA114" s="87"/>
      <c r="AB114" s="87"/>
      <c r="AC114" s="87"/>
      <c r="AD114" s="87"/>
      <c r="AE114" s="87"/>
      <c r="AF114" s="87"/>
      <c r="AG114" s="87"/>
      <c r="AH114" s="87"/>
      <c r="AI114" s="87"/>
    </row>
    <row r="115" spans="4:35" ht="20" customHeight="1" x14ac:dyDescent="0.25">
      <c r="U115" s="2" t="str" cm="1">
        <f t="array" ref="U115">MMS_PastureBeef_Soil_N2ODirect_Equations.VEERG_4_2_1_3__4_NitrogenRetainedByBody_Title()</f>
        <v>Amount of nitrogen retained by the body</v>
      </c>
    </row>
    <row r="116" spans="4:35" ht="20" customHeight="1" x14ac:dyDescent="0.25">
      <c r="D116" s="112" t="s">
        <v>395</v>
      </c>
    </row>
    <row r="117" spans="4:35" ht="20" customHeight="1" x14ac:dyDescent="0.25">
      <c r="D117" s="113" t="s">
        <v>396</v>
      </c>
      <c r="U117" s="112" t="s">
        <v>393</v>
      </c>
    </row>
    <row r="118" spans="4:35" ht="20" customHeight="1" x14ac:dyDescent="0.25">
      <c r="D118" s="114" t="s">
        <v>76</v>
      </c>
      <c r="E118" s="82" t="s">
        <v>326</v>
      </c>
      <c r="F118" s="82" t="s">
        <v>184</v>
      </c>
      <c r="G118" s="82" t="s">
        <v>327</v>
      </c>
      <c r="H118" s="82" t="s">
        <v>328</v>
      </c>
      <c r="I118" s="82" t="s">
        <v>329</v>
      </c>
      <c r="J118" s="82" t="s">
        <v>330</v>
      </c>
      <c r="K118" s="82" t="s">
        <v>331</v>
      </c>
      <c r="L118" s="82" t="s">
        <v>332</v>
      </c>
      <c r="M118" s="82" t="s">
        <v>333</v>
      </c>
      <c r="N118" s="82" t="s">
        <v>334</v>
      </c>
      <c r="U118" s="113" t="s">
        <v>394</v>
      </c>
    </row>
    <row r="119" spans="4:35" ht="20" customHeight="1" x14ac:dyDescent="0.25">
      <c r="D119" s="15" t="str">
        <f>INDEX(X_Table_PastureBeef_LiveweightGain_Method1,2,1)</f>
        <v>Spring</v>
      </c>
      <c r="E119" s="15" t="e" cm="1">
        <f t="array" aca="1" ref="E119:N122" ca="1">OFFSET(X_Table_PastureBeef_LiveweightGain_Method1, 1,1, 4,10)</f>
        <v>#N/A</v>
      </c>
      <c r="F119" s="15" t="e">
        <f ca="1"/>
        <v>#N/A</v>
      </c>
      <c r="G119" s="15" t="e">
        <f ca="1"/>
        <v>#N/A</v>
      </c>
      <c r="H119" s="15" t="e">
        <f ca="1"/>
        <v>#N/A</v>
      </c>
      <c r="I119" s="15" t="e">
        <f ca="1"/>
        <v>#N/A</v>
      </c>
      <c r="J119" s="15" t="e">
        <f ca="1"/>
        <v>#N/A</v>
      </c>
      <c r="K119" s="15" t="e">
        <f ca="1"/>
        <v>#N/A</v>
      </c>
      <c r="L119" s="15" t="e">
        <f ca="1"/>
        <v>#N/A</v>
      </c>
      <c r="M119" s="15" t="e">
        <f ca="1"/>
        <v>#N/A</v>
      </c>
      <c r="N119" s="15" t="e">
        <f ca="1"/>
        <v>#N/A</v>
      </c>
      <c r="O119" s="16" t="s">
        <v>343</v>
      </c>
      <c r="U119" s="114" t="s">
        <v>75</v>
      </c>
      <c r="V119" s="82" t="s">
        <v>326</v>
      </c>
      <c r="W119" s="82" t="s">
        <v>184</v>
      </c>
      <c r="X119" s="82" t="s">
        <v>327</v>
      </c>
      <c r="Y119" s="82" t="s">
        <v>328</v>
      </c>
      <c r="Z119" s="82" t="s">
        <v>329</v>
      </c>
      <c r="AA119" s="82" t="s">
        <v>330</v>
      </c>
      <c r="AB119" s="82" t="s">
        <v>331</v>
      </c>
      <c r="AC119" s="82" t="s">
        <v>332</v>
      </c>
      <c r="AD119" s="82" t="s">
        <v>333</v>
      </c>
      <c r="AE119" s="82" t="s">
        <v>334</v>
      </c>
    </row>
    <row r="120" spans="4:35" ht="20" customHeight="1" x14ac:dyDescent="0.25">
      <c r="D120" s="15" t="str">
        <f>INDEX(X_Table_PastureBeef_LiveweightGain_Method1,3,1)</f>
        <v>Summer</v>
      </c>
      <c r="E120" s="15" t="e">
        <f ca="1"/>
        <v>#N/A</v>
      </c>
      <c r="F120" s="15" t="e">
        <f ca="1"/>
        <v>#N/A</v>
      </c>
      <c r="G120" s="15" t="e">
        <f ca="1"/>
        <v>#N/A</v>
      </c>
      <c r="H120" s="15" t="e">
        <f ca="1"/>
        <v>#N/A</v>
      </c>
      <c r="I120" s="15" t="e">
        <f ca="1"/>
        <v>#N/A</v>
      </c>
      <c r="J120" s="15" t="e">
        <f ca="1"/>
        <v>#N/A</v>
      </c>
      <c r="K120" s="15" t="e">
        <f ca="1"/>
        <v>#N/A</v>
      </c>
      <c r="L120" s="15" t="e">
        <f ca="1"/>
        <v>#N/A</v>
      </c>
      <c r="M120" s="15" t="e">
        <f ca="1"/>
        <v>#N/A</v>
      </c>
      <c r="N120" s="15" t="e">
        <f ca="1"/>
        <v>#N/A</v>
      </c>
      <c r="O120" s="16" t="s">
        <v>343</v>
      </c>
      <c r="U120" s="15" t="str">
        <f>TEXT(X_Cell_Site_StartDate,"mmmm")</f>
        <v>January</v>
      </c>
      <c r="V120" s="15" t="e" cm="1">
        <f t="array" aca="1" ref="V120:AE131" ca="1">OFFSET(X_Table_PastureBeef_LiveweightGain_Method2, 1,1, 12,10)</f>
        <v>#N/A</v>
      </c>
      <c r="W120" s="15" t="e">
        <f ca="1"/>
        <v>#N/A</v>
      </c>
      <c r="X120" s="15" t="e">
        <f ca="1"/>
        <v>#N/A</v>
      </c>
      <c r="Y120" s="15" t="e">
        <f ca="1"/>
        <v>#N/A</v>
      </c>
      <c r="Z120" s="15" t="e">
        <f ca="1"/>
        <v>#N/A</v>
      </c>
      <c r="AA120" s="15" t="e">
        <f ca="1"/>
        <v>#N/A</v>
      </c>
      <c r="AB120" s="15" t="e">
        <f ca="1"/>
        <v>#N/A</v>
      </c>
      <c r="AC120" s="15" t="e">
        <f ca="1"/>
        <v>#N/A</v>
      </c>
      <c r="AD120" s="15" t="e">
        <f ca="1"/>
        <v>#N/A</v>
      </c>
      <c r="AE120" s="15" t="e">
        <f ca="1"/>
        <v>#N/A</v>
      </c>
      <c r="AF120" s="16" t="s">
        <v>344</v>
      </c>
      <c r="AG120" s="16"/>
      <c r="AH120" s="16"/>
    </row>
    <row r="121" spans="4:35" ht="20" customHeight="1" x14ac:dyDescent="0.25">
      <c r="D121" s="15" t="str">
        <f>INDEX(X_Table_PastureBeef_LiveweightGain_Method1,4,1)</f>
        <v>Autumn</v>
      </c>
      <c r="E121" s="15" t="e">
        <f ca="1"/>
        <v>#N/A</v>
      </c>
      <c r="F121" s="15" t="e">
        <f ca="1"/>
        <v>#N/A</v>
      </c>
      <c r="G121" s="15" t="e">
        <f ca="1"/>
        <v>#N/A</v>
      </c>
      <c r="H121" s="15" t="e">
        <f ca="1"/>
        <v>#N/A</v>
      </c>
      <c r="I121" s="15" t="e">
        <f ca="1"/>
        <v>#N/A</v>
      </c>
      <c r="J121" s="15" t="e">
        <f ca="1"/>
        <v>#N/A</v>
      </c>
      <c r="K121" s="15" t="e">
        <f ca="1"/>
        <v>#N/A</v>
      </c>
      <c r="L121" s="15" t="e">
        <f ca="1"/>
        <v>#N/A</v>
      </c>
      <c r="M121" s="15" t="e">
        <f ca="1"/>
        <v>#N/A</v>
      </c>
      <c r="N121" s="15" t="e">
        <f ca="1"/>
        <v>#N/A</v>
      </c>
      <c r="O121" s="16" t="s">
        <v>343</v>
      </c>
      <c r="U121" s="15" t="str">
        <f>TEXT(EDATE(X_Cell_Site_StartDate,1), "mmmm")</f>
        <v>January</v>
      </c>
      <c r="V121" s="15" t="e">
        <f ca="1"/>
        <v>#N/A</v>
      </c>
      <c r="W121" s="15" t="e">
        <f ca="1"/>
        <v>#N/A</v>
      </c>
      <c r="X121" s="15" t="e">
        <f ca="1"/>
        <v>#N/A</v>
      </c>
      <c r="Y121" s="15" t="e">
        <f ca="1"/>
        <v>#N/A</v>
      </c>
      <c r="Z121" s="15" t="e">
        <f ca="1"/>
        <v>#N/A</v>
      </c>
      <c r="AA121" s="15" t="e">
        <f ca="1"/>
        <v>#N/A</v>
      </c>
      <c r="AB121" s="15" t="e">
        <f ca="1"/>
        <v>#N/A</v>
      </c>
      <c r="AC121" s="15" t="e">
        <f ca="1"/>
        <v>#N/A</v>
      </c>
      <c r="AD121" s="15" t="e">
        <f ca="1"/>
        <v>#N/A</v>
      </c>
      <c r="AE121" s="15" t="e">
        <f ca="1"/>
        <v>#N/A</v>
      </c>
      <c r="AF121" s="16" t="s">
        <v>344</v>
      </c>
      <c r="AG121" s="16"/>
      <c r="AH121" s="16"/>
    </row>
    <row r="122" spans="4:35" ht="20" customHeight="1" x14ac:dyDescent="0.25">
      <c r="D122" s="15" t="str">
        <f>INDEX(X_Table_PastureBeef_LiveweightGain_Method1,5,1)</f>
        <v>Winter</v>
      </c>
      <c r="E122" s="15" t="e">
        <f ca="1"/>
        <v>#N/A</v>
      </c>
      <c r="F122" s="15" t="e">
        <f ca="1"/>
        <v>#N/A</v>
      </c>
      <c r="G122" s="15" t="e">
        <f ca="1"/>
        <v>#N/A</v>
      </c>
      <c r="H122" s="15" t="e">
        <f ca="1"/>
        <v>#N/A</v>
      </c>
      <c r="I122" s="15" t="e">
        <f ca="1"/>
        <v>#N/A</v>
      </c>
      <c r="J122" s="15" t="e">
        <f ca="1"/>
        <v>#N/A</v>
      </c>
      <c r="K122" s="15" t="e">
        <f ca="1"/>
        <v>#N/A</v>
      </c>
      <c r="L122" s="15" t="e">
        <f ca="1"/>
        <v>#N/A</v>
      </c>
      <c r="M122" s="15" t="e">
        <f ca="1"/>
        <v>#N/A</v>
      </c>
      <c r="N122" s="15" t="e">
        <f ca="1"/>
        <v>#N/A</v>
      </c>
      <c r="O122" s="16" t="s">
        <v>343</v>
      </c>
      <c r="U122" s="15" t="str">
        <f>TEXT(EDATE(X_Cell_Site_StartDate,2), "mmmm")</f>
        <v>February</v>
      </c>
      <c r="V122" s="15" t="e">
        <f ca="1"/>
        <v>#N/A</v>
      </c>
      <c r="W122" s="15" t="e">
        <f ca="1"/>
        <v>#N/A</v>
      </c>
      <c r="X122" s="15" t="e">
        <f ca="1"/>
        <v>#N/A</v>
      </c>
      <c r="Y122" s="15" t="e">
        <f ca="1"/>
        <v>#N/A</v>
      </c>
      <c r="Z122" s="15" t="e">
        <f ca="1"/>
        <v>#N/A</v>
      </c>
      <c r="AA122" s="15" t="e">
        <f ca="1"/>
        <v>#N/A</v>
      </c>
      <c r="AB122" s="15" t="e">
        <f ca="1"/>
        <v>#N/A</v>
      </c>
      <c r="AC122" s="15" t="e">
        <f ca="1"/>
        <v>#N/A</v>
      </c>
      <c r="AD122" s="15" t="e">
        <f ca="1"/>
        <v>#N/A</v>
      </c>
      <c r="AE122" s="15" t="e">
        <f ca="1"/>
        <v>#N/A</v>
      </c>
      <c r="AF122" s="16" t="s">
        <v>344</v>
      </c>
      <c r="AG122" s="16"/>
      <c r="AH122" s="16"/>
    </row>
    <row r="123" spans="4:35" ht="20" customHeight="1" x14ac:dyDescent="0.25">
      <c r="U123" s="15" t="str">
        <f>TEXT(EDATE(X_Cell_Site_StartDate,3), "mmmm")</f>
        <v>March</v>
      </c>
      <c r="V123" s="15" t="e">
        <f ca="1"/>
        <v>#N/A</v>
      </c>
      <c r="W123" s="15" t="e">
        <f ca="1"/>
        <v>#N/A</v>
      </c>
      <c r="X123" s="15" t="e">
        <f ca="1"/>
        <v>#N/A</v>
      </c>
      <c r="Y123" s="15" t="e">
        <f ca="1"/>
        <v>#N/A</v>
      </c>
      <c r="Z123" s="15" t="e">
        <f ca="1"/>
        <v>#N/A</v>
      </c>
      <c r="AA123" s="15" t="e">
        <f ca="1"/>
        <v>#N/A</v>
      </c>
      <c r="AB123" s="15" t="e">
        <f ca="1"/>
        <v>#N/A</v>
      </c>
      <c r="AC123" s="15" t="e">
        <f ca="1"/>
        <v>#N/A</v>
      </c>
      <c r="AD123" s="15" t="e">
        <f ca="1"/>
        <v>#N/A</v>
      </c>
      <c r="AE123" s="15" t="e">
        <f ca="1"/>
        <v>#N/A</v>
      </c>
      <c r="AF123" s="16" t="s">
        <v>344</v>
      </c>
      <c r="AG123" s="16"/>
      <c r="AH123" s="16"/>
    </row>
    <row r="124" spans="4:35" ht="20" customHeight="1" x14ac:dyDescent="0.25">
      <c r="D124" s="112" t="s">
        <v>455</v>
      </c>
      <c r="U124" s="15" t="str">
        <f>TEXT(EDATE(X_Cell_Site_StartDate,4), "mmmm")</f>
        <v>April</v>
      </c>
      <c r="V124" s="15" t="e">
        <f ca="1"/>
        <v>#N/A</v>
      </c>
      <c r="W124" s="15" t="e">
        <f ca="1"/>
        <v>#N/A</v>
      </c>
      <c r="X124" s="15" t="e">
        <f ca="1"/>
        <v>#N/A</v>
      </c>
      <c r="Y124" s="15" t="e">
        <f ca="1"/>
        <v>#N/A</v>
      </c>
      <c r="Z124" s="15" t="e">
        <f ca="1"/>
        <v>#N/A</v>
      </c>
      <c r="AA124" s="15" t="e">
        <f ca="1"/>
        <v>#N/A</v>
      </c>
      <c r="AB124" s="15" t="e">
        <f ca="1"/>
        <v>#N/A</v>
      </c>
      <c r="AC124" s="15" t="e">
        <f ca="1"/>
        <v>#N/A</v>
      </c>
      <c r="AD124" s="15" t="e">
        <f ca="1"/>
        <v>#N/A</v>
      </c>
      <c r="AE124" s="15" t="e">
        <f ca="1"/>
        <v>#N/A</v>
      </c>
      <c r="AF124" s="16" t="s">
        <v>344</v>
      </c>
      <c r="AG124" s="16"/>
      <c r="AH124" s="16"/>
    </row>
    <row r="125" spans="4:35" ht="20" customHeight="1" x14ac:dyDescent="0.25">
      <c r="D125" s="113" t="s">
        <v>456</v>
      </c>
      <c r="U125" s="15" t="str">
        <f>TEXT(EDATE(X_Cell_Site_StartDate,5), "mmmm")</f>
        <v>May</v>
      </c>
      <c r="V125" s="15" t="e">
        <f ca="1"/>
        <v>#N/A</v>
      </c>
      <c r="W125" s="15" t="e">
        <f ca="1"/>
        <v>#N/A</v>
      </c>
      <c r="X125" s="15" t="e">
        <f ca="1"/>
        <v>#N/A</v>
      </c>
      <c r="Y125" s="15" t="e">
        <f ca="1"/>
        <v>#N/A</v>
      </c>
      <c r="Z125" s="15" t="e">
        <f ca="1"/>
        <v>#N/A</v>
      </c>
      <c r="AA125" s="15" t="e">
        <f ca="1"/>
        <v>#N/A</v>
      </c>
      <c r="AB125" s="15" t="e">
        <f ca="1"/>
        <v>#N/A</v>
      </c>
      <c r="AC125" s="15" t="e">
        <f ca="1"/>
        <v>#N/A</v>
      </c>
      <c r="AD125" s="15" t="e">
        <f ca="1"/>
        <v>#N/A</v>
      </c>
      <c r="AE125" s="15" t="e">
        <f ca="1"/>
        <v>#N/A</v>
      </c>
      <c r="AF125" s="16" t="s">
        <v>344</v>
      </c>
      <c r="AG125" s="16"/>
      <c r="AH125" s="16"/>
    </row>
    <row r="126" spans="4:35" ht="20" customHeight="1" x14ac:dyDescent="0.25">
      <c r="D126" s="114" t="s">
        <v>76</v>
      </c>
      <c r="E126" s="114" t="s">
        <v>326</v>
      </c>
      <c r="F126" s="114" t="s">
        <v>184</v>
      </c>
      <c r="G126" s="114" t="s">
        <v>327</v>
      </c>
      <c r="H126" s="114" t="s">
        <v>328</v>
      </c>
      <c r="I126" s="114" t="s">
        <v>329</v>
      </c>
      <c r="J126" s="114" t="s">
        <v>330</v>
      </c>
      <c r="K126" s="114" t="s">
        <v>331</v>
      </c>
      <c r="L126" s="114" t="s">
        <v>332</v>
      </c>
      <c r="M126" s="114" t="s">
        <v>333</v>
      </c>
      <c r="N126" s="114" t="s">
        <v>334</v>
      </c>
      <c r="U126" s="15" t="str">
        <f>TEXT(EDATE(X_Cell_Site_StartDate,6), "mmmm")</f>
        <v>June</v>
      </c>
      <c r="V126" s="15" t="e">
        <f ca="1"/>
        <v>#N/A</v>
      </c>
      <c r="W126" s="15" t="e">
        <f ca="1"/>
        <v>#N/A</v>
      </c>
      <c r="X126" s="15" t="e">
        <f ca="1"/>
        <v>#N/A</v>
      </c>
      <c r="Y126" s="15" t="e">
        <f ca="1"/>
        <v>#N/A</v>
      </c>
      <c r="Z126" s="15" t="e">
        <f ca="1"/>
        <v>#N/A</v>
      </c>
      <c r="AA126" s="15" t="e">
        <f ca="1"/>
        <v>#N/A</v>
      </c>
      <c r="AB126" s="15" t="e">
        <f ca="1"/>
        <v>#N/A</v>
      </c>
      <c r="AC126" s="15" t="e">
        <f ca="1"/>
        <v>#N/A</v>
      </c>
      <c r="AD126" s="15" t="e">
        <f ca="1"/>
        <v>#N/A</v>
      </c>
      <c r="AE126" s="15" t="e">
        <f ca="1"/>
        <v>#N/A</v>
      </c>
      <c r="AF126" s="16" t="s">
        <v>344</v>
      </c>
      <c r="AG126" s="16"/>
      <c r="AH126" s="16"/>
    </row>
    <row r="127" spans="4:35" ht="20" customHeight="1" x14ac:dyDescent="0.25">
      <c r="D127" s="15" t="s">
        <v>335</v>
      </c>
      <c r="E127" s="15" t="e" cm="1">
        <f t="array" aca="1" ref="E127" ca="1">MMS_PastureBeef_Soil_N2ODirect_Equations.VEERG_4_2_1_3__4_NitrogenRetainedByBody(G95,E62,E33,E119)</f>
        <v>#N/A</v>
      </c>
      <c r="F127" s="15" t="e" cm="1">
        <f t="array" aca="1" ref="F127" ca="1">MMS_PastureBeef_Soil_N2ODirect_Equations.VEERG_4_2_1_3__4_NitrogenRetainedByBody(H95,F62,F33,F119)</f>
        <v>#N/A</v>
      </c>
      <c r="G127" s="15" t="e" cm="1">
        <f t="array" aca="1" ref="G127" ca="1">MMS_PastureBeef_Soil_N2ODirect_Equations.VEERG_4_2_1_3__4_NitrogenRetainedByBody(I95,G62,G33,G119)</f>
        <v>#N/A</v>
      </c>
      <c r="H127" s="15" t="e" cm="1">
        <f t="array" aca="1" ref="H127" ca="1">MMS_PastureBeef_Soil_N2ODirect_Equations.VEERG_4_2_1_3__4_NitrogenRetainedByBody(J95,H62,H33,H119)</f>
        <v>#N/A</v>
      </c>
      <c r="I127" s="15" t="e" cm="1">
        <f t="array" aca="1" ref="I127" ca="1">MMS_PastureBeef_Soil_N2ODirect_Equations.VEERG_4_2_1_3__4_NitrogenRetainedByBody(K95,I62,I33,I119)</f>
        <v>#N/A</v>
      </c>
      <c r="J127" s="15" t="e" cm="1">
        <f t="array" aca="1" ref="J127" ca="1">MMS_PastureBeef_Soil_N2ODirect_Equations.VEERG_4_2_1_3__4_NitrogenRetainedByBody(L95,J62,J33,J119)</f>
        <v>#N/A</v>
      </c>
      <c r="K127" s="15" t="e" cm="1">
        <f t="array" aca="1" ref="K127" ca="1">MMS_PastureBeef_Soil_N2ODirect_Equations.VEERG_4_2_1_3__4_NitrogenRetainedByBody(M95,K62,K33,K119)</f>
        <v>#N/A</v>
      </c>
      <c r="L127" s="15" t="e" cm="1">
        <f t="array" aca="1" ref="L127" ca="1">MMS_PastureBeef_Soil_N2ODirect_Equations.VEERG_4_2_1_3__4_NitrogenRetainedByBody(N95,L62,L33,L119)</f>
        <v>#N/A</v>
      </c>
      <c r="M127" s="15" t="e" cm="1">
        <f t="array" aca="1" ref="M127" ca="1">MMS_PastureBeef_Soil_N2ODirect_Equations.VEERG_4_2_1_3__4_NitrogenRetainedByBody(O95,M62,M33,M119)</f>
        <v>#N/A</v>
      </c>
      <c r="N127" s="15" t="e" cm="1">
        <f t="array" aca="1" ref="N127" ca="1">MMS_PastureBeef_Soil_N2ODirect_Equations.VEERG_4_2_1_3__4_NitrogenRetainedByBody(P95,N62,N33,N119)</f>
        <v>#N/A</v>
      </c>
      <c r="O127" s="16" t="str">
        <f>$E$109</f>
        <v>kg N/head/day</v>
      </c>
      <c r="U127" s="15" t="str">
        <f>TEXT(EDATE(X_Cell_Site_StartDate,7), "mmmm")</f>
        <v>July</v>
      </c>
      <c r="V127" s="15" t="e">
        <f ca="1"/>
        <v>#N/A</v>
      </c>
      <c r="W127" s="15" t="e">
        <f ca="1"/>
        <v>#N/A</v>
      </c>
      <c r="X127" s="15" t="e">
        <f ca="1"/>
        <v>#N/A</v>
      </c>
      <c r="Y127" s="15" t="e">
        <f ca="1"/>
        <v>#N/A</v>
      </c>
      <c r="Z127" s="15" t="e">
        <f ca="1"/>
        <v>#N/A</v>
      </c>
      <c r="AA127" s="15" t="e">
        <f ca="1"/>
        <v>#N/A</v>
      </c>
      <c r="AB127" s="15" t="e">
        <f ca="1"/>
        <v>#N/A</v>
      </c>
      <c r="AC127" s="15" t="e">
        <f ca="1"/>
        <v>#N/A</v>
      </c>
      <c r="AD127" s="15" t="e">
        <f ca="1"/>
        <v>#N/A</v>
      </c>
      <c r="AE127" s="15" t="e">
        <f ca="1"/>
        <v>#N/A</v>
      </c>
      <c r="AF127" s="16" t="s">
        <v>344</v>
      </c>
      <c r="AG127" s="16"/>
      <c r="AH127" s="16"/>
    </row>
    <row r="128" spans="4:35" ht="20" customHeight="1" x14ac:dyDescent="0.25">
      <c r="D128" s="15" t="s">
        <v>336</v>
      </c>
      <c r="E128" s="15" t="e" cm="1">
        <f t="array" aca="1" ref="E128" ca="1">MMS_PastureBeef_Soil_N2ODirect_Equations.VEERG_4_2_1_3__4_NitrogenRetainedByBody(G96,E63,E34,E120)</f>
        <v>#N/A</v>
      </c>
      <c r="F128" s="15" t="e" cm="1">
        <f t="array" aca="1" ref="F128" ca="1">MMS_PastureBeef_Soil_N2ODirect_Equations.VEERG_4_2_1_3__4_NitrogenRetainedByBody(H96,F63,F34,F120)</f>
        <v>#N/A</v>
      </c>
      <c r="G128" s="15" t="e" cm="1">
        <f t="array" aca="1" ref="G128" ca="1">MMS_PastureBeef_Soil_N2ODirect_Equations.VEERG_4_2_1_3__4_NitrogenRetainedByBody(I96,G63,G34,G120)</f>
        <v>#N/A</v>
      </c>
      <c r="H128" s="15" t="e" cm="1">
        <f t="array" aca="1" ref="H128" ca="1">MMS_PastureBeef_Soil_N2ODirect_Equations.VEERG_4_2_1_3__4_NitrogenRetainedByBody(J96,H63,H34,H120)</f>
        <v>#N/A</v>
      </c>
      <c r="I128" s="15" t="e" cm="1">
        <f t="array" aca="1" ref="I128" ca="1">MMS_PastureBeef_Soil_N2ODirect_Equations.VEERG_4_2_1_3__4_NitrogenRetainedByBody(K96,I63,I34,I120)</f>
        <v>#N/A</v>
      </c>
      <c r="J128" s="15" t="e" cm="1">
        <f t="array" aca="1" ref="J128" ca="1">MMS_PastureBeef_Soil_N2ODirect_Equations.VEERG_4_2_1_3__4_NitrogenRetainedByBody(L96,J63,J34,J120)</f>
        <v>#N/A</v>
      </c>
      <c r="K128" s="15" t="e" cm="1">
        <f t="array" aca="1" ref="K128" ca="1">MMS_PastureBeef_Soil_N2ODirect_Equations.VEERG_4_2_1_3__4_NitrogenRetainedByBody(M96,K63,K34,K120)</f>
        <v>#N/A</v>
      </c>
      <c r="L128" s="15" t="e" cm="1">
        <f t="array" aca="1" ref="L128" ca="1">MMS_PastureBeef_Soil_N2ODirect_Equations.VEERG_4_2_1_3__4_NitrogenRetainedByBody(N96,L63,L34,L120)</f>
        <v>#N/A</v>
      </c>
      <c r="M128" s="15" t="e" cm="1">
        <f t="array" aca="1" ref="M128" ca="1">MMS_PastureBeef_Soil_N2ODirect_Equations.VEERG_4_2_1_3__4_NitrogenRetainedByBody(O96,M63,M34,M120)</f>
        <v>#N/A</v>
      </c>
      <c r="N128" s="15" t="e" cm="1">
        <f t="array" aca="1" ref="N128" ca="1">MMS_PastureBeef_Soil_N2ODirect_Equations.VEERG_4_2_1_3__4_NitrogenRetainedByBody(P96,N63,N34,N120)</f>
        <v>#N/A</v>
      </c>
      <c r="O128" s="16" t="str">
        <f t="shared" ref="O128:O130" si="6">$E$109</f>
        <v>kg N/head/day</v>
      </c>
      <c r="U128" s="15" t="str">
        <f>TEXT(EDATE(X_Cell_Site_StartDate,8), "mmmm")</f>
        <v>August</v>
      </c>
      <c r="V128" s="15" t="e">
        <f ca="1"/>
        <v>#N/A</v>
      </c>
      <c r="W128" s="15" t="e">
        <f ca="1"/>
        <v>#N/A</v>
      </c>
      <c r="X128" s="15" t="e">
        <f ca="1"/>
        <v>#N/A</v>
      </c>
      <c r="Y128" s="15" t="e">
        <f ca="1"/>
        <v>#N/A</v>
      </c>
      <c r="Z128" s="15" t="e">
        <f ca="1"/>
        <v>#N/A</v>
      </c>
      <c r="AA128" s="15" t="e">
        <f ca="1"/>
        <v>#N/A</v>
      </c>
      <c r="AB128" s="15" t="e">
        <f ca="1"/>
        <v>#N/A</v>
      </c>
      <c r="AC128" s="15" t="e">
        <f ca="1"/>
        <v>#N/A</v>
      </c>
      <c r="AD128" s="15" t="e">
        <f ca="1"/>
        <v>#N/A</v>
      </c>
      <c r="AE128" s="15" t="e">
        <f ca="1"/>
        <v>#N/A</v>
      </c>
      <c r="AF128" s="16" t="s">
        <v>344</v>
      </c>
      <c r="AG128" s="16"/>
      <c r="AH128" s="16"/>
    </row>
    <row r="129" spans="3:34" ht="20" customHeight="1" x14ac:dyDescent="0.25">
      <c r="D129" s="15" t="s">
        <v>337</v>
      </c>
      <c r="E129" s="15" t="e" cm="1">
        <f t="array" aca="1" ref="E129" ca="1">MMS_PastureBeef_Soil_N2ODirect_Equations.VEERG_4_2_1_3__4_NitrogenRetainedByBody(G97,E64,E35,E121)</f>
        <v>#N/A</v>
      </c>
      <c r="F129" s="15" t="e" cm="1">
        <f t="array" aca="1" ref="F129" ca="1">MMS_PastureBeef_Soil_N2ODirect_Equations.VEERG_4_2_1_3__4_NitrogenRetainedByBody(H97,F64,F35,F121)</f>
        <v>#N/A</v>
      </c>
      <c r="G129" s="15" t="e" cm="1">
        <f t="array" aca="1" ref="G129" ca="1">MMS_PastureBeef_Soil_N2ODirect_Equations.VEERG_4_2_1_3__4_NitrogenRetainedByBody(I97,G64,G35,G121)</f>
        <v>#N/A</v>
      </c>
      <c r="H129" s="15" t="e" cm="1">
        <f t="array" aca="1" ref="H129" ca="1">MMS_PastureBeef_Soil_N2ODirect_Equations.VEERG_4_2_1_3__4_NitrogenRetainedByBody(J97,H64,H35,H121)</f>
        <v>#N/A</v>
      </c>
      <c r="I129" s="15" t="e" cm="1">
        <f t="array" aca="1" ref="I129" ca="1">MMS_PastureBeef_Soil_N2ODirect_Equations.VEERG_4_2_1_3__4_NitrogenRetainedByBody(K97,I64,I35,I121)</f>
        <v>#N/A</v>
      </c>
      <c r="J129" s="15" t="e" cm="1">
        <f t="array" aca="1" ref="J129" ca="1">MMS_PastureBeef_Soil_N2ODirect_Equations.VEERG_4_2_1_3__4_NitrogenRetainedByBody(L97,J64,J35,J121)</f>
        <v>#N/A</v>
      </c>
      <c r="K129" s="15" t="e" cm="1">
        <f t="array" aca="1" ref="K129" ca="1">MMS_PastureBeef_Soil_N2ODirect_Equations.VEERG_4_2_1_3__4_NitrogenRetainedByBody(M97,K64,K35,K121)</f>
        <v>#N/A</v>
      </c>
      <c r="L129" s="15" t="e" cm="1">
        <f t="array" aca="1" ref="L129" ca="1">MMS_PastureBeef_Soil_N2ODirect_Equations.VEERG_4_2_1_3__4_NitrogenRetainedByBody(N97,L64,L35,L121)</f>
        <v>#N/A</v>
      </c>
      <c r="M129" s="15" t="e" cm="1">
        <f t="array" aca="1" ref="M129" ca="1">MMS_PastureBeef_Soil_N2ODirect_Equations.VEERG_4_2_1_3__4_NitrogenRetainedByBody(O97,M64,M35,M121)</f>
        <v>#N/A</v>
      </c>
      <c r="N129" s="15" t="e" cm="1">
        <f t="array" aca="1" ref="N129" ca="1">MMS_PastureBeef_Soil_N2ODirect_Equations.VEERG_4_2_1_3__4_NitrogenRetainedByBody(P97,N64,N35,N121)</f>
        <v>#N/A</v>
      </c>
      <c r="O129" s="16" t="str">
        <f t="shared" si="6"/>
        <v>kg N/head/day</v>
      </c>
      <c r="U129" s="15" t="str">
        <f>TEXT(EDATE(X_Cell_Site_StartDate,9), "mmmm")</f>
        <v>September</v>
      </c>
      <c r="V129" s="15" t="e">
        <f ca="1"/>
        <v>#N/A</v>
      </c>
      <c r="W129" s="15" t="e">
        <f ca="1"/>
        <v>#N/A</v>
      </c>
      <c r="X129" s="15" t="e">
        <f ca="1"/>
        <v>#N/A</v>
      </c>
      <c r="Y129" s="15" t="e">
        <f ca="1"/>
        <v>#N/A</v>
      </c>
      <c r="Z129" s="15" t="e">
        <f ca="1"/>
        <v>#N/A</v>
      </c>
      <c r="AA129" s="15" t="e">
        <f ca="1"/>
        <v>#N/A</v>
      </c>
      <c r="AB129" s="15" t="e">
        <f ca="1"/>
        <v>#N/A</v>
      </c>
      <c r="AC129" s="15" t="e">
        <f ca="1"/>
        <v>#N/A</v>
      </c>
      <c r="AD129" s="15" t="e">
        <f ca="1"/>
        <v>#N/A</v>
      </c>
      <c r="AE129" s="15" t="e">
        <f ca="1"/>
        <v>#N/A</v>
      </c>
      <c r="AF129" s="16" t="s">
        <v>344</v>
      </c>
      <c r="AG129" s="16"/>
      <c r="AH129" s="16"/>
    </row>
    <row r="130" spans="3:34" ht="20" customHeight="1" x14ac:dyDescent="0.25">
      <c r="D130" s="15" t="s">
        <v>338</v>
      </c>
      <c r="E130" s="15" t="e" cm="1">
        <f t="array" aca="1" ref="E130" ca="1">MMS_PastureBeef_Soil_N2ODirect_Equations.VEERG_4_2_1_3__4_NitrogenRetainedByBody(G98,E65,E36,E122)</f>
        <v>#N/A</v>
      </c>
      <c r="F130" s="15" t="e" cm="1">
        <f t="array" aca="1" ref="F130" ca="1">MMS_PastureBeef_Soil_N2ODirect_Equations.VEERG_4_2_1_3__4_NitrogenRetainedByBody(H98,F65,F36,F122)</f>
        <v>#N/A</v>
      </c>
      <c r="G130" s="15" t="e" cm="1">
        <f t="array" aca="1" ref="G130" ca="1">MMS_PastureBeef_Soil_N2ODirect_Equations.VEERG_4_2_1_3__4_NitrogenRetainedByBody(I98,G65,G36,G122)</f>
        <v>#N/A</v>
      </c>
      <c r="H130" s="15" t="e" cm="1">
        <f t="array" aca="1" ref="H130" ca="1">MMS_PastureBeef_Soil_N2ODirect_Equations.VEERG_4_2_1_3__4_NitrogenRetainedByBody(J98,H65,H36,H122)</f>
        <v>#N/A</v>
      </c>
      <c r="I130" s="15" t="e" cm="1">
        <f t="array" aca="1" ref="I130" ca="1">MMS_PastureBeef_Soil_N2ODirect_Equations.VEERG_4_2_1_3__4_NitrogenRetainedByBody(K98,I65,I36,I122)</f>
        <v>#N/A</v>
      </c>
      <c r="J130" s="15" t="e" cm="1">
        <f t="array" aca="1" ref="J130" ca="1">MMS_PastureBeef_Soil_N2ODirect_Equations.VEERG_4_2_1_3__4_NitrogenRetainedByBody(L98,J65,J36,J122)</f>
        <v>#N/A</v>
      </c>
      <c r="K130" s="15" t="e" cm="1">
        <f t="array" aca="1" ref="K130" ca="1">MMS_PastureBeef_Soil_N2ODirect_Equations.VEERG_4_2_1_3__4_NitrogenRetainedByBody(M98,K65,K36,K122)</f>
        <v>#N/A</v>
      </c>
      <c r="L130" s="15" t="e" cm="1">
        <f t="array" aca="1" ref="L130" ca="1">MMS_PastureBeef_Soil_N2ODirect_Equations.VEERG_4_2_1_3__4_NitrogenRetainedByBody(N98,L65,L36,L122)</f>
        <v>#N/A</v>
      </c>
      <c r="M130" s="15" t="e" cm="1">
        <f t="array" aca="1" ref="M130" ca="1">MMS_PastureBeef_Soil_N2ODirect_Equations.VEERG_4_2_1_3__4_NitrogenRetainedByBody(O98,M65,M36,M122)</f>
        <v>#N/A</v>
      </c>
      <c r="N130" s="15" t="e" cm="1">
        <f t="array" aca="1" ref="N130" ca="1">MMS_PastureBeef_Soil_N2ODirect_Equations.VEERG_4_2_1_3__4_NitrogenRetainedByBody(P98,N65,N36,N122)</f>
        <v>#N/A</v>
      </c>
      <c r="O130" s="16" t="str">
        <f t="shared" si="6"/>
        <v>kg N/head/day</v>
      </c>
      <c r="U130" s="15" t="str">
        <f>TEXT(EDATE(X_Cell_Site_StartDate,10), "mmmm")</f>
        <v>October</v>
      </c>
      <c r="V130" s="15" t="e">
        <f ca="1"/>
        <v>#N/A</v>
      </c>
      <c r="W130" s="15" t="e">
        <f ca="1"/>
        <v>#N/A</v>
      </c>
      <c r="X130" s="15" t="e">
        <f ca="1"/>
        <v>#N/A</v>
      </c>
      <c r="Y130" s="15" t="e">
        <f ca="1"/>
        <v>#N/A</v>
      </c>
      <c r="Z130" s="15" t="e">
        <f ca="1"/>
        <v>#N/A</v>
      </c>
      <c r="AA130" s="15" t="e">
        <f ca="1"/>
        <v>#N/A</v>
      </c>
      <c r="AB130" s="15" t="e">
        <f ca="1"/>
        <v>#N/A</v>
      </c>
      <c r="AC130" s="15" t="e">
        <f ca="1"/>
        <v>#N/A</v>
      </c>
      <c r="AD130" s="15" t="e">
        <f ca="1"/>
        <v>#N/A</v>
      </c>
      <c r="AE130" s="15" t="e">
        <f ca="1"/>
        <v>#N/A</v>
      </c>
      <c r="AF130" s="16" t="s">
        <v>344</v>
      </c>
      <c r="AG130" s="16"/>
      <c r="AH130" s="16"/>
    </row>
    <row r="131" spans="3:34" ht="20" customHeight="1" x14ac:dyDescent="0.25">
      <c r="U131" s="15" t="str">
        <f>TEXT(EDATE(X_Cell_Site_StartDate,11), "mmmm")</f>
        <v>November</v>
      </c>
      <c r="V131" s="15" t="e">
        <f ca="1"/>
        <v>#N/A</v>
      </c>
      <c r="W131" s="15" t="e">
        <f ca="1"/>
        <v>#N/A</v>
      </c>
      <c r="X131" s="15" t="e">
        <f ca="1"/>
        <v>#N/A</v>
      </c>
      <c r="Y131" s="15" t="e">
        <f ca="1"/>
        <v>#N/A</v>
      </c>
      <c r="Z131" s="15" t="e">
        <f ca="1"/>
        <v>#N/A</v>
      </c>
      <c r="AA131" s="15" t="e">
        <f ca="1"/>
        <v>#N/A</v>
      </c>
      <c r="AB131" s="15" t="e">
        <f ca="1"/>
        <v>#N/A</v>
      </c>
      <c r="AC131" s="15" t="e">
        <f ca="1"/>
        <v>#N/A</v>
      </c>
      <c r="AD131" s="15" t="e">
        <f ca="1"/>
        <v>#N/A</v>
      </c>
      <c r="AE131" s="15" t="e">
        <f ca="1"/>
        <v>#N/A</v>
      </c>
      <c r="AF131" s="16" t="s">
        <v>344</v>
      </c>
      <c r="AG131" s="16"/>
      <c r="AH131" s="16"/>
    </row>
    <row r="132" spans="3:34" ht="20" customHeight="1" x14ac:dyDescent="0.25"/>
    <row r="133" spans="3:34" ht="20" customHeight="1" x14ac:dyDescent="0.25">
      <c r="C133" s="87"/>
      <c r="D133" s="87"/>
      <c r="E133" s="87"/>
      <c r="F133" s="87"/>
      <c r="G133" s="87"/>
      <c r="H133" s="87"/>
      <c r="I133" s="87"/>
      <c r="J133" s="87"/>
      <c r="K133" s="87"/>
      <c r="L133" s="87"/>
      <c r="M133" s="87"/>
      <c r="N133" s="87"/>
      <c r="O133" s="87"/>
      <c r="P133" s="87"/>
      <c r="Q133" s="87"/>
      <c r="R133" s="87"/>
      <c r="U133" s="112" t="s">
        <v>457</v>
      </c>
    </row>
    <row r="134" spans="3:34" ht="20" customHeight="1" x14ac:dyDescent="0.25">
      <c r="D134" s="2" t="str" cm="1">
        <f t="array" ref="D134">MMS_PastureBeef_Soil_N2ODirect_Equations.VEERG_4_2_1_3__3_NitrogenExcreted_Title()</f>
        <v>Nitrogen excreted</v>
      </c>
      <c r="U134" s="113" t="s">
        <v>458</v>
      </c>
    </row>
    <row r="135" spans="3:34" ht="20" customHeight="1" x14ac:dyDescent="0.25">
      <c r="D135" s="17" t="str" cm="1">
        <f t="array" ref="D135">MMS_PastureBeef_Soil_N2ODirect_Equations.VEERG_4_2_1_3__3_NitrogenExcreted_Source()</f>
        <v>VEERG 2026: 4.2.1.3, Equation (3)</v>
      </c>
      <c r="U135" s="114" t="s">
        <v>75</v>
      </c>
      <c r="V135" s="114" t="s">
        <v>326</v>
      </c>
      <c r="W135" s="114" t="s">
        <v>184</v>
      </c>
      <c r="X135" s="114" t="s">
        <v>327</v>
      </c>
      <c r="Y135" s="114" t="s">
        <v>328</v>
      </c>
      <c r="Z135" s="114" t="s">
        <v>329</v>
      </c>
      <c r="AA135" s="114" t="s">
        <v>330</v>
      </c>
      <c r="AB135" s="114" t="s">
        <v>331</v>
      </c>
      <c r="AC135" s="114" t="s">
        <v>332</v>
      </c>
      <c r="AD135" s="114" t="s">
        <v>333</v>
      </c>
      <c r="AE135" s="114" t="s">
        <v>334</v>
      </c>
    </row>
    <row r="136" spans="3:34" ht="20" customHeight="1" x14ac:dyDescent="0.25">
      <c r="D136" s="103" t="s">
        <v>372</v>
      </c>
      <c r="E136" s="103" t="str" cm="1">
        <f t="array" aca="1" ref="E136" ca="1">Common_InputFunctions.Utility_DisplayFunctionName($E$169)</f>
        <v>=MMS_PastureBeef_Soil_N2ODirect_Equations.VEERG_4_2_1_3__3_NitrogenExcreted</v>
      </c>
      <c r="U136" s="15" t="str">
        <f>TEXT(X_Cell_Site_StartDate,"mmmm")</f>
        <v>January</v>
      </c>
      <c r="V136" s="15" t="e" cm="1">
        <f t="array" aca="1" ref="V136" ca="1">MMS_PastureBeef_Soil_N2ODirect_Equations.VEERG_4_2_1_3__4_NitrogenRetainedByBody(X100,V72,V36,V120)</f>
        <v>#N/A</v>
      </c>
      <c r="W136" s="15" t="e" cm="1">
        <f t="array" aca="1" ref="W136" ca="1">MMS_PastureBeef_Soil_N2ODirect_Equations.VEERG_4_2_1_3__4_NitrogenRetainedByBody(Y100,W72,W36,W120)</f>
        <v>#N/A</v>
      </c>
      <c r="X136" s="15" t="e" cm="1">
        <f t="array" aca="1" ref="X136" ca="1">MMS_PastureBeef_Soil_N2ODirect_Equations.VEERG_4_2_1_3__4_NitrogenRetainedByBody(Z100,X72,X36,X120)</f>
        <v>#N/A</v>
      </c>
      <c r="Y136" s="15" t="e" cm="1">
        <f t="array" aca="1" ref="Y136" ca="1">MMS_PastureBeef_Soil_N2ODirect_Equations.VEERG_4_2_1_3__4_NitrogenRetainedByBody(AA100,Y72,Y36,Y120)</f>
        <v>#N/A</v>
      </c>
      <c r="Z136" s="15" t="e" cm="1">
        <f t="array" aca="1" ref="Z136" ca="1">MMS_PastureBeef_Soil_N2ODirect_Equations.VEERG_4_2_1_3__4_NitrogenRetainedByBody(AB100,Z72,Z36,Z120)</f>
        <v>#N/A</v>
      </c>
      <c r="AA136" s="15" t="e" cm="1">
        <f t="array" aca="1" ref="AA136" ca="1">MMS_PastureBeef_Soil_N2ODirect_Equations.VEERG_4_2_1_3__4_NitrogenRetainedByBody(AC100,AA72,AA36,AA120)</f>
        <v>#N/A</v>
      </c>
      <c r="AB136" s="15" t="e" cm="1">
        <f t="array" aca="1" ref="AB136" ca="1">MMS_PastureBeef_Soil_N2ODirect_Equations.VEERG_4_2_1_3__4_NitrogenRetainedByBody(AD100,AB72,AB36,AB120)</f>
        <v>#N/A</v>
      </c>
      <c r="AC136" s="15" t="e" cm="1">
        <f t="array" aca="1" ref="AC136" ca="1">MMS_PastureBeef_Soil_N2ODirect_Equations.VEERG_4_2_1_3__4_NitrogenRetainedByBody(AE100,AC72,AC36,AC120)</f>
        <v>#N/A</v>
      </c>
      <c r="AD136" s="15" t="e" cm="1">
        <f t="array" aca="1" ref="AD136" ca="1">MMS_PastureBeef_Soil_N2ODirect_Equations.VEERG_4_2_1_3__4_NitrogenRetainedByBody(AF100,AD72,AD36,AD120)</f>
        <v>#N/A</v>
      </c>
      <c r="AE136" s="15" t="e" cm="1">
        <f t="array" aca="1" ref="AE136" ca="1">MMS_PastureBeef_Soil_N2ODirect_Equations.VEERG_4_2_1_3__4_NitrogenRetainedByBody(AG100,AE72,AE36,AE120)</f>
        <v>#N/A</v>
      </c>
      <c r="AF136" s="16" t="str">
        <f t="shared" ref="AF136:AF147" si="7">$E$109</f>
        <v>kg N/head/day</v>
      </c>
      <c r="AG136" s="16"/>
      <c r="AH136" s="16"/>
    </row>
    <row r="137" spans="3:34" ht="20" customHeight="1" x14ac:dyDescent="0.25">
      <c r="U137" s="15" t="str">
        <f>TEXT(EDATE(X_Cell_Site_StartDate,1), "mmmm")</f>
        <v>January</v>
      </c>
      <c r="V137" s="15" t="e" cm="1">
        <f t="array" aca="1" ref="V137" ca="1">MMS_PastureBeef_Soil_N2ODirect_Equations.VEERG_4_2_1_3__4_NitrogenRetainedByBody(X101,V73,V37,V121)</f>
        <v>#N/A</v>
      </c>
      <c r="W137" s="15" t="e" cm="1">
        <f t="array" aca="1" ref="W137" ca="1">MMS_PastureBeef_Soil_N2ODirect_Equations.VEERG_4_2_1_3__4_NitrogenRetainedByBody(Y101,W73,W37,W121)</f>
        <v>#N/A</v>
      </c>
      <c r="X137" s="15" t="e" cm="1">
        <f t="array" aca="1" ref="X137" ca="1">MMS_PastureBeef_Soil_N2ODirect_Equations.VEERG_4_2_1_3__4_NitrogenRetainedByBody(Z101,X73,X37,X121)</f>
        <v>#N/A</v>
      </c>
      <c r="Y137" s="15" t="e" cm="1">
        <f t="array" aca="1" ref="Y137" ca="1">MMS_PastureBeef_Soil_N2ODirect_Equations.VEERG_4_2_1_3__4_NitrogenRetainedByBody(AA101,Y73,Y37,Y121)</f>
        <v>#N/A</v>
      </c>
      <c r="Z137" s="15" t="e" cm="1">
        <f t="array" aca="1" ref="Z137" ca="1">MMS_PastureBeef_Soil_N2ODirect_Equations.VEERG_4_2_1_3__4_NitrogenRetainedByBody(AB101,Z73,Z37,Z121)</f>
        <v>#N/A</v>
      </c>
      <c r="AA137" s="15" t="e" cm="1">
        <f t="array" aca="1" ref="AA137" ca="1">MMS_PastureBeef_Soil_N2ODirect_Equations.VEERG_4_2_1_3__4_NitrogenRetainedByBody(AC101,AA73,AA37,AA121)</f>
        <v>#N/A</v>
      </c>
      <c r="AB137" s="15" t="e" cm="1">
        <f t="array" aca="1" ref="AB137" ca="1">MMS_PastureBeef_Soil_N2ODirect_Equations.VEERG_4_2_1_3__4_NitrogenRetainedByBody(AD101,AB73,AB37,AB121)</f>
        <v>#N/A</v>
      </c>
      <c r="AC137" s="15" t="e" cm="1">
        <f t="array" aca="1" ref="AC137" ca="1">MMS_PastureBeef_Soil_N2ODirect_Equations.VEERG_4_2_1_3__4_NitrogenRetainedByBody(AE101,AC73,AC37,AC121)</f>
        <v>#N/A</v>
      </c>
      <c r="AD137" s="15" t="e" cm="1">
        <f t="array" aca="1" ref="AD137" ca="1">MMS_PastureBeef_Soil_N2ODirect_Equations.VEERG_4_2_1_3__4_NitrogenRetainedByBody(AF101,AD73,AD37,AD121)</f>
        <v>#N/A</v>
      </c>
      <c r="AE137" s="15" t="e" cm="1">
        <f t="array" aca="1" ref="AE137" ca="1">MMS_PastureBeef_Soil_N2ODirect_Equations.VEERG_4_2_1_3__4_NitrogenRetainedByBody(AG101,AE73,AE37,AE121)</f>
        <v>#N/A</v>
      </c>
      <c r="AF137" s="16" t="str">
        <f t="shared" si="7"/>
        <v>kg N/head/day</v>
      </c>
      <c r="AG137" s="16"/>
      <c r="AH137" s="16"/>
    </row>
    <row r="138" spans="3:34" ht="20" customHeight="1" x14ac:dyDescent="0.25">
      <c r="U138" s="15" t="str">
        <f>TEXT(EDATE(X_Cell_Site_StartDate,2), "mmmm")</f>
        <v>February</v>
      </c>
      <c r="V138" s="15" t="e" cm="1">
        <f t="array" aca="1" ref="V138" ca="1">MMS_PastureBeef_Soil_N2ODirect_Equations.VEERG_4_2_1_3__4_NitrogenRetainedByBody(X102,V74,V38,V122)</f>
        <v>#N/A</v>
      </c>
      <c r="W138" s="15" t="e" cm="1">
        <f t="array" aca="1" ref="W138" ca="1">MMS_PastureBeef_Soil_N2ODirect_Equations.VEERG_4_2_1_3__4_NitrogenRetainedByBody(Y102,W74,W38,W122)</f>
        <v>#N/A</v>
      </c>
      <c r="X138" s="15" t="e" cm="1">
        <f t="array" aca="1" ref="X138" ca="1">MMS_PastureBeef_Soil_N2ODirect_Equations.VEERG_4_2_1_3__4_NitrogenRetainedByBody(Z102,X74,X38,X122)</f>
        <v>#N/A</v>
      </c>
      <c r="Y138" s="15" t="e" cm="1">
        <f t="array" aca="1" ref="Y138" ca="1">MMS_PastureBeef_Soil_N2ODirect_Equations.VEERG_4_2_1_3__4_NitrogenRetainedByBody(AA102,Y74,Y38,Y122)</f>
        <v>#N/A</v>
      </c>
      <c r="Z138" s="15" t="e" cm="1">
        <f t="array" aca="1" ref="Z138" ca="1">MMS_PastureBeef_Soil_N2ODirect_Equations.VEERG_4_2_1_3__4_NitrogenRetainedByBody(AB102,Z74,Z38,Z122)</f>
        <v>#N/A</v>
      </c>
      <c r="AA138" s="15" t="e" cm="1">
        <f t="array" aca="1" ref="AA138" ca="1">MMS_PastureBeef_Soil_N2ODirect_Equations.VEERG_4_2_1_3__4_NitrogenRetainedByBody(AC102,AA74,AA38,AA122)</f>
        <v>#N/A</v>
      </c>
      <c r="AB138" s="15" t="e" cm="1">
        <f t="array" aca="1" ref="AB138" ca="1">MMS_PastureBeef_Soil_N2ODirect_Equations.VEERG_4_2_1_3__4_NitrogenRetainedByBody(AD102,AB74,AB38,AB122)</f>
        <v>#N/A</v>
      </c>
      <c r="AC138" s="15" t="e" cm="1">
        <f t="array" aca="1" ref="AC138" ca="1">MMS_PastureBeef_Soil_N2ODirect_Equations.VEERG_4_2_1_3__4_NitrogenRetainedByBody(AE102,AC74,AC38,AC122)</f>
        <v>#N/A</v>
      </c>
      <c r="AD138" s="15" t="e" cm="1">
        <f t="array" aca="1" ref="AD138" ca="1">MMS_PastureBeef_Soil_N2ODirect_Equations.VEERG_4_2_1_3__4_NitrogenRetainedByBody(AF102,AD74,AD38,AD122)</f>
        <v>#N/A</v>
      </c>
      <c r="AE138" s="15" t="e" cm="1">
        <f t="array" aca="1" ref="AE138" ca="1">MMS_PastureBeef_Soil_N2ODirect_Equations.VEERG_4_2_1_3__4_NitrogenRetainedByBody(AG102,AE74,AE38,AE122)</f>
        <v>#N/A</v>
      </c>
      <c r="AF138" s="16" t="str">
        <f t="shared" si="7"/>
        <v>kg N/head/day</v>
      </c>
      <c r="AG138" s="16"/>
      <c r="AH138" s="16"/>
    </row>
    <row r="139" spans="3:34" ht="20" customHeight="1" x14ac:dyDescent="0.25">
      <c r="D139" s="77" t="s">
        <v>374</v>
      </c>
      <c r="E139" s="1" t="str" cm="1">
        <f t="array" ref="E139">MMS_PastureBeef_Soil_N2ODirect_Equations.VEERG_4_2_1_3__3_NitrogenExcreted_Variable()</f>
        <v>NE_jkl</v>
      </c>
      <c r="U139" s="15" t="str">
        <f>TEXT(EDATE(X_Cell_Site_StartDate,3), "mmmm")</f>
        <v>March</v>
      </c>
      <c r="V139" s="15" t="e" cm="1">
        <f t="array" aca="1" ref="V139" ca="1">MMS_PastureBeef_Soil_N2ODirect_Equations.VEERG_4_2_1_3__4_NitrogenRetainedByBody(X103,V75,V39,V123)</f>
        <v>#N/A</v>
      </c>
      <c r="W139" s="15" t="e" cm="1">
        <f t="array" aca="1" ref="W139" ca="1">MMS_PastureBeef_Soil_N2ODirect_Equations.VEERG_4_2_1_3__4_NitrogenRetainedByBody(Y103,W75,W39,W123)</f>
        <v>#N/A</v>
      </c>
      <c r="X139" s="15" t="e" cm="1">
        <f t="array" aca="1" ref="X139" ca="1">MMS_PastureBeef_Soil_N2ODirect_Equations.VEERG_4_2_1_3__4_NitrogenRetainedByBody(Z103,X75,X39,X123)</f>
        <v>#N/A</v>
      </c>
      <c r="Y139" s="15" t="e" cm="1">
        <f t="array" aca="1" ref="Y139" ca="1">MMS_PastureBeef_Soil_N2ODirect_Equations.VEERG_4_2_1_3__4_NitrogenRetainedByBody(AA103,Y75,Y39,Y123)</f>
        <v>#N/A</v>
      </c>
      <c r="Z139" s="15" t="e" cm="1">
        <f t="array" aca="1" ref="Z139" ca="1">MMS_PastureBeef_Soil_N2ODirect_Equations.VEERG_4_2_1_3__4_NitrogenRetainedByBody(AB103,Z75,Z39,Z123)</f>
        <v>#N/A</v>
      </c>
      <c r="AA139" s="15" t="e" cm="1">
        <f t="array" aca="1" ref="AA139" ca="1">MMS_PastureBeef_Soil_N2ODirect_Equations.VEERG_4_2_1_3__4_NitrogenRetainedByBody(AC103,AA75,AA39,AA123)</f>
        <v>#N/A</v>
      </c>
      <c r="AB139" s="15" t="e" cm="1">
        <f t="array" aca="1" ref="AB139" ca="1">MMS_PastureBeef_Soil_N2ODirect_Equations.VEERG_4_2_1_3__4_NitrogenRetainedByBody(AD103,AB75,AB39,AB123)</f>
        <v>#N/A</v>
      </c>
      <c r="AC139" s="15" t="e" cm="1">
        <f t="array" aca="1" ref="AC139" ca="1">MMS_PastureBeef_Soil_N2ODirect_Equations.VEERG_4_2_1_3__4_NitrogenRetainedByBody(AE103,AC75,AC39,AC123)</f>
        <v>#N/A</v>
      </c>
      <c r="AD139" s="15" t="e" cm="1">
        <f t="array" aca="1" ref="AD139" ca="1">MMS_PastureBeef_Soil_N2ODirect_Equations.VEERG_4_2_1_3__4_NitrogenRetainedByBody(AF103,AD75,AD39,AD123)</f>
        <v>#N/A</v>
      </c>
      <c r="AE139" s="15" t="e" cm="1">
        <f t="array" aca="1" ref="AE139" ca="1">MMS_PastureBeef_Soil_N2ODirect_Equations.VEERG_4_2_1_3__4_NitrogenRetainedByBody(AG103,AE75,AE39,AE123)</f>
        <v>#N/A</v>
      </c>
      <c r="AF139" s="16" t="str">
        <f t="shared" si="7"/>
        <v>kg N/head/day</v>
      </c>
      <c r="AG139" s="16"/>
      <c r="AH139" s="16"/>
    </row>
    <row r="140" spans="3:34" ht="20" customHeight="1" x14ac:dyDescent="0.25">
      <c r="D140" s="77" t="s">
        <v>121</v>
      </c>
      <c r="E140" s="9" t="str" cm="1">
        <f t="array" ref="E140">MMS_PastureBeef_Soil_N2ODirect_Equations.VEERG_4_2_1_3__3_NitrogenExcreted_Unit()</f>
        <v>kg N/head/day</v>
      </c>
      <c r="U140" s="15" t="str">
        <f>TEXT(EDATE(X_Cell_Site_StartDate,4), "mmmm")</f>
        <v>April</v>
      </c>
      <c r="V140" s="15" t="e" cm="1">
        <f t="array" aca="1" ref="V140" ca="1">MMS_PastureBeef_Soil_N2ODirect_Equations.VEERG_4_2_1_3__4_NitrogenRetainedByBody(X104,V76,V40,V124)</f>
        <v>#N/A</v>
      </c>
      <c r="W140" s="15" t="e" cm="1">
        <f t="array" aca="1" ref="W140" ca="1">MMS_PastureBeef_Soil_N2ODirect_Equations.VEERG_4_2_1_3__4_NitrogenRetainedByBody(Y104,W76,W40,W124)</f>
        <v>#N/A</v>
      </c>
      <c r="X140" s="15" t="e" cm="1">
        <f t="array" aca="1" ref="X140" ca="1">MMS_PastureBeef_Soil_N2ODirect_Equations.VEERG_4_2_1_3__4_NitrogenRetainedByBody(Z104,X76,X40,X124)</f>
        <v>#N/A</v>
      </c>
      <c r="Y140" s="15" t="e" cm="1">
        <f t="array" aca="1" ref="Y140" ca="1">MMS_PastureBeef_Soil_N2ODirect_Equations.VEERG_4_2_1_3__4_NitrogenRetainedByBody(AA104,Y76,Y40,Y124)</f>
        <v>#N/A</v>
      </c>
      <c r="Z140" s="15" t="e" cm="1">
        <f t="array" aca="1" ref="Z140" ca="1">MMS_PastureBeef_Soil_N2ODirect_Equations.VEERG_4_2_1_3__4_NitrogenRetainedByBody(AB104,Z76,Z40,Z124)</f>
        <v>#N/A</v>
      </c>
      <c r="AA140" s="15" t="e" cm="1">
        <f t="array" aca="1" ref="AA140" ca="1">MMS_PastureBeef_Soil_N2ODirect_Equations.VEERG_4_2_1_3__4_NitrogenRetainedByBody(AC104,AA76,AA40,AA124)</f>
        <v>#N/A</v>
      </c>
      <c r="AB140" s="15" t="e" cm="1">
        <f t="array" aca="1" ref="AB140" ca="1">MMS_PastureBeef_Soil_N2ODirect_Equations.VEERG_4_2_1_3__4_NitrogenRetainedByBody(AD104,AB76,AB40,AB124)</f>
        <v>#N/A</v>
      </c>
      <c r="AC140" s="15" t="e" cm="1">
        <f t="array" aca="1" ref="AC140" ca="1">MMS_PastureBeef_Soil_N2ODirect_Equations.VEERG_4_2_1_3__4_NitrogenRetainedByBody(AE104,AC76,AC40,AC124)</f>
        <v>#N/A</v>
      </c>
      <c r="AD140" s="15" t="e" cm="1">
        <f t="array" aca="1" ref="AD140" ca="1">MMS_PastureBeef_Soil_N2ODirect_Equations.VEERG_4_2_1_3__4_NitrogenRetainedByBody(AF104,AD76,AD40,AD124)</f>
        <v>#N/A</v>
      </c>
      <c r="AE140" s="15" t="e" cm="1">
        <f t="array" aca="1" ref="AE140" ca="1">MMS_PastureBeef_Soil_N2ODirect_Equations.VEERG_4_2_1_3__4_NitrogenRetainedByBody(AG104,AE76,AE40,AE124)</f>
        <v>#N/A</v>
      </c>
      <c r="AF140" s="16" t="str">
        <f t="shared" si="7"/>
        <v>kg N/head/day</v>
      </c>
      <c r="AG140" s="16"/>
      <c r="AH140" s="16"/>
    </row>
    <row r="141" spans="3:34" ht="20" customHeight="1" x14ac:dyDescent="0.25">
      <c r="U141" s="15" t="str">
        <f>TEXT(EDATE(X_Cell_Site_StartDate,5), "mmmm")</f>
        <v>May</v>
      </c>
      <c r="V141" s="15" t="e" cm="1">
        <f t="array" aca="1" ref="V141" ca="1">MMS_PastureBeef_Soil_N2ODirect_Equations.VEERG_4_2_1_3__4_NitrogenRetainedByBody(X105,V77,V41,V125)</f>
        <v>#N/A</v>
      </c>
      <c r="W141" s="15" t="e" cm="1">
        <f t="array" aca="1" ref="W141" ca="1">MMS_PastureBeef_Soil_N2ODirect_Equations.VEERG_4_2_1_3__4_NitrogenRetainedByBody(Y105,W77,W41,W125)</f>
        <v>#N/A</v>
      </c>
      <c r="X141" s="15" t="e" cm="1">
        <f t="array" aca="1" ref="X141" ca="1">MMS_PastureBeef_Soil_N2ODirect_Equations.VEERG_4_2_1_3__4_NitrogenRetainedByBody(Z105,X77,X41,X125)</f>
        <v>#N/A</v>
      </c>
      <c r="Y141" s="15" t="e" cm="1">
        <f t="array" aca="1" ref="Y141" ca="1">MMS_PastureBeef_Soil_N2ODirect_Equations.VEERG_4_2_1_3__4_NitrogenRetainedByBody(AA105,Y77,Y41,Y125)</f>
        <v>#N/A</v>
      </c>
      <c r="Z141" s="15" t="e" cm="1">
        <f t="array" aca="1" ref="Z141" ca="1">MMS_PastureBeef_Soil_N2ODirect_Equations.VEERG_4_2_1_3__4_NitrogenRetainedByBody(AB105,Z77,Z41,Z125)</f>
        <v>#N/A</v>
      </c>
      <c r="AA141" s="15" t="e" cm="1">
        <f t="array" aca="1" ref="AA141" ca="1">MMS_PastureBeef_Soil_N2ODirect_Equations.VEERG_4_2_1_3__4_NitrogenRetainedByBody(AC105,AA77,AA41,AA125)</f>
        <v>#N/A</v>
      </c>
      <c r="AB141" s="15" t="e" cm="1">
        <f t="array" aca="1" ref="AB141" ca="1">MMS_PastureBeef_Soil_N2ODirect_Equations.VEERG_4_2_1_3__4_NitrogenRetainedByBody(AD105,AB77,AB41,AB125)</f>
        <v>#N/A</v>
      </c>
      <c r="AC141" s="15" t="e" cm="1">
        <f t="array" aca="1" ref="AC141" ca="1">MMS_PastureBeef_Soil_N2ODirect_Equations.VEERG_4_2_1_3__4_NitrogenRetainedByBody(AE105,AC77,AC41,AC125)</f>
        <v>#N/A</v>
      </c>
      <c r="AD141" s="15" t="e" cm="1">
        <f t="array" aca="1" ref="AD141" ca="1">MMS_PastureBeef_Soil_N2ODirect_Equations.VEERG_4_2_1_3__4_NitrogenRetainedByBody(AF105,AD77,AD41,AD125)</f>
        <v>#N/A</v>
      </c>
      <c r="AE141" s="15" t="e" cm="1">
        <f t="array" aca="1" ref="AE141" ca="1">MMS_PastureBeef_Soil_N2ODirect_Equations.VEERG_4_2_1_3__4_NitrogenRetainedByBody(AG105,AE77,AE41,AE125)</f>
        <v>#N/A</v>
      </c>
      <c r="AF141" s="16" t="str">
        <f t="shared" si="7"/>
        <v>kg N/head/day</v>
      </c>
      <c r="AG141" s="16"/>
      <c r="AH141" s="16"/>
    </row>
    <row r="142" spans="3:34" ht="20" customHeight="1" x14ac:dyDescent="0.25">
      <c r="D142" s="105" t="str" cm="1">
        <f t="array" ref="D142:E148">_xlfn.CHOOSECOLS(MMS_PastureBeef_Soil_N2ODirect_Equations.VEERG_4_2_1_3__3_NitrogenExcreted_Arguments(),1,2)</f>
        <v>I_jkl</v>
      </c>
      <c r="E142" s="106" t="str">
        <v>dry matter intake as calculated in Chapter 3 Section 3.2.1 (kg DM/head/day)</v>
      </c>
      <c r="F142" s="108"/>
      <c r="G142" s="105" t="str" cm="1">
        <f t="array" ref="G142:H148">_xlfn.CHOOSECOLS(MMS_PastureBeef_Soil_N2ODirect_Equations.VEERG_4_2_1_3__3_NitrogenExcreted_Arguments(),3,4)</f>
        <v>kg DM/head/day</v>
      </c>
      <c r="H142" s="110" t="str">
        <v>Calculated from 3.2.1.1 (3)</v>
      </c>
      <c r="I142" s="111" t="str" cm="1">
        <f t="array" aca="1" ref="I142" ca="1">HYPERLINK(Common_InputFunctions.Utility_SourceHyperlink($D$51),$D$51)</f>
        <v>M1_Table_I_j_k_l</v>
      </c>
      <c r="U142" s="15" t="str">
        <f>TEXT(EDATE(X_Cell_Site_StartDate,6), "mmmm")</f>
        <v>June</v>
      </c>
      <c r="V142" s="15" t="e" cm="1">
        <f t="array" aca="1" ref="V142" ca="1">MMS_PastureBeef_Soil_N2ODirect_Equations.VEERG_4_2_1_3__4_NitrogenRetainedByBody(X106,V78,V42,V126)</f>
        <v>#N/A</v>
      </c>
      <c r="W142" s="15" t="e" cm="1">
        <f t="array" aca="1" ref="W142" ca="1">MMS_PastureBeef_Soil_N2ODirect_Equations.VEERG_4_2_1_3__4_NitrogenRetainedByBody(Y106,W78,W42,W126)</f>
        <v>#N/A</v>
      </c>
      <c r="X142" s="15" t="e" cm="1">
        <f t="array" aca="1" ref="X142" ca="1">MMS_PastureBeef_Soil_N2ODirect_Equations.VEERG_4_2_1_3__4_NitrogenRetainedByBody(Z106,X78,X42,X126)</f>
        <v>#N/A</v>
      </c>
      <c r="Y142" s="15" t="e" cm="1">
        <f t="array" aca="1" ref="Y142" ca="1">MMS_PastureBeef_Soil_N2ODirect_Equations.VEERG_4_2_1_3__4_NitrogenRetainedByBody(AA106,Y78,Y42,Y126)</f>
        <v>#N/A</v>
      </c>
      <c r="Z142" s="15" t="e" cm="1">
        <f t="array" aca="1" ref="Z142" ca="1">MMS_PastureBeef_Soil_N2ODirect_Equations.VEERG_4_2_1_3__4_NitrogenRetainedByBody(AB106,Z78,Z42,Z126)</f>
        <v>#N/A</v>
      </c>
      <c r="AA142" s="15" t="e" cm="1">
        <f t="array" aca="1" ref="AA142" ca="1">MMS_PastureBeef_Soil_N2ODirect_Equations.VEERG_4_2_1_3__4_NitrogenRetainedByBody(AC106,AA78,AA42,AA126)</f>
        <v>#N/A</v>
      </c>
      <c r="AB142" s="15" t="e" cm="1">
        <f t="array" aca="1" ref="AB142" ca="1">MMS_PastureBeef_Soil_N2ODirect_Equations.VEERG_4_2_1_3__4_NitrogenRetainedByBody(AD106,AB78,AB42,AB126)</f>
        <v>#N/A</v>
      </c>
      <c r="AC142" s="15" t="e" cm="1">
        <f t="array" aca="1" ref="AC142" ca="1">MMS_PastureBeef_Soil_N2ODirect_Equations.VEERG_4_2_1_3__4_NitrogenRetainedByBody(AE106,AC78,AC42,AC126)</f>
        <v>#N/A</v>
      </c>
      <c r="AD142" s="15" t="e" cm="1">
        <f t="array" aca="1" ref="AD142" ca="1">MMS_PastureBeef_Soil_N2ODirect_Equations.VEERG_4_2_1_3__4_NitrogenRetainedByBody(AF106,AD78,AD42,AD126)</f>
        <v>#N/A</v>
      </c>
      <c r="AE142" s="15" t="e" cm="1">
        <f t="array" aca="1" ref="AE142" ca="1">MMS_PastureBeef_Soil_N2ODirect_Equations.VEERG_4_2_1_3__4_NitrogenRetainedByBody(AG106,AE78,AE42,AE126)</f>
        <v>#N/A</v>
      </c>
      <c r="AF142" s="16" t="str">
        <f t="shared" si="7"/>
        <v>kg N/head/day</v>
      </c>
      <c r="AG142" s="16"/>
      <c r="AH142" s="16"/>
    </row>
    <row r="143" spans="3:34" ht="20" customHeight="1" x14ac:dyDescent="0.25">
      <c r="D143" s="105" t="str">
        <v>CP_j</v>
      </c>
      <c r="E143" s="106" t="str">
        <v>crude protein content of dry matter intake</v>
      </c>
      <c r="F143" s="108"/>
      <c r="G143" s="105" t="str">
        <v>fraction</v>
      </c>
      <c r="H143" s="109" t="str">
        <v>Input</v>
      </c>
      <c r="I143" s="111" t="str" cm="1">
        <f t="array" aca="1" ref="I143" ca="1">HYPERLINK(Common_InputFunctions.Utility_SourceHyperlink($D$150), $D$150)</f>
        <v>M1_Table_CP_j</v>
      </c>
      <c r="U143" s="15" t="str">
        <f>TEXT(EDATE(X_Cell_Site_StartDate,7), "mmmm")</f>
        <v>July</v>
      </c>
      <c r="V143" s="15" t="e" cm="1">
        <f t="array" aca="1" ref="V143" ca="1">MMS_PastureBeef_Soil_N2ODirect_Equations.VEERG_4_2_1_3__4_NitrogenRetainedByBody(X107,V79,V43,V127)</f>
        <v>#N/A</v>
      </c>
      <c r="W143" s="15" t="e" cm="1">
        <f t="array" aca="1" ref="W143" ca="1">MMS_PastureBeef_Soil_N2ODirect_Equations.VEERG_4_2_1_3__4_NitrogenRetainedByBody(Y107,W79,W43,W127)</f>
        <v>#N/A</v>
      </c>
      <c r="X143" s="15" t="e" cm="1">
        <f t="array" aca="1" ref="X143" ca="1">MMS_PastureBeef_Soil_N2ODirect_Equations.VEERG_4_2_1_3__4_NitrogenRetainedByBody(Z107,X79,X43,X127)</f>
        <v>#N/A</v>
      </c>
      <c r="Y143" s="15" t="e" cm="1">
        <f t="array" aca="1" ref="Y143" ca="1">MMS_PastureBeef_Soil_N2ODirect_Equations.VEERG_4_2_1_3__4_NitrogenRetainedByBody(AA107,Y79,Y43,Y127)</f>
        <v>#N/A</v>
      </c>
      <c r="Z143" s="15" t="e" cm="1">
        <f t="array" aca="1" ref="Z143" ca="1">MMS_PastureBeef_Soil_N2ODirect_Equations.VEERG_4_2_1_3__4_NitrogenRetainedByBody(AB107,Z79,Z43,Z127)</f>
        <v>#N/A</v>
      </c>
      <c r="AA143" s="15" t="e" cm="1">
        <f t="array" aca="1" ref="AA143" ca="1">MMS_PastureBeef_Soil_N2ODirect_Equations.VEERG_4_2_1_3__4_NitrogenRetainedByBody(AC107,AA79,AA43,AA127)</f>
        <v>#N/A</v>
      </c>
      <c r="AB143" s="15" t="e" cm="1">
        <f t="array" aca="1" ref="AB143" ca="1">MMS_PastureBeef_Soil_N2ODirect_Equations.VEERG_4_2_1_3__4_NitrogenRetainedByBody(AD107,AB79,AB43,AB127)</f>
        <v>#N/A</v>
      </c>
      <c r="AC143" s="15" t="e" cm="1">
        <f t="array" aca="1" ref="AC143" ca="1">MMS_PastureBeef_Soil_N2ODirect_Equations.VEERG_4_2_1_3__4_NitrogenRetainedByBody(AE107,AC79,AC43,AC127)</f>
        <v>#N/A</v>
      </c>
      <c r="AD143" s="15" t="e" cm="1">
        <f t="array" aca="1" ref="AD143" ca="1">MMS_PastureBeef_Soil_N2ODirect_Equations.VEERG_4_2_1_3__4_NitrogenRetainedByBody(AF107,AD79,AD43,AD127)</f>
        <v>#N/A</v>
      </c>
      <c r="AE143" s="15" t="e" cm="1">
        <f t="array" aca="1" ref="AE143" ca="1">MMS_PastureBeef_Soil_N2ODirect_Equations.VEERG_4_2_1_3__4_NitrogenRetainedByBody(AG107,AE79,AE43,AE127)</f>
        <v>#N/A</v>
      </c>
      <c r="AF143" s="16" t="str">
        <f t="shared" si="7"/>
        <v>kg N/head/day</v>
      </c>
      <c r="AG143" s="16"/>
      <c r="AH143" s="16"/>
    </row>
    <row r="144" spans="3:34" ht="20" customHeight="1" x14ac:dyDescent="0.25">
      <c r="D144" s="105" t="str">
        <v>MC_jk136</v>
      </c>
      <c r="E144" s="106" t="str">
        <v>milk intake (kg/head/day)</v>
      </c>
      <c r="F144" s="108"/>
      <c r="G144" s="105" t="str">
        <v>kg/head/day</v>
      </c>
      <c r="H144" s="110" t="str">
        <v>Constant</v>
      </c>
      <c r="I144" s="111" t="str" cm="1">
        <f t="array" aca="1" ref="I144" ca="1">HYPERLINK(Common_InputFunctions.Utility_SourceHyperlink($D$158), $D$158)</f>
        <v>M1_Table_MC_j_k_1-3-6</v>
      </c>
      <c r="U144" s="15" t="str">
        <f>TEXT(EDATE(X_Cell_Site_StartDate,8), "mmmm")</f>
        <v>August</v>
      </c>
      <c r="V144" s="15" t="e" cm="1">
        <f t="array" aca="1" ref="V144" ca="1">MMS_PastureBeef_Soil_N2ODirect_Equations.VEERG_4_2_1_3__4_NitrogenRetainedByBody(X108,V80,V44,V128)</f>
        <v>#N/A</v>
      </c>
      <c r="W144" s="15" t="e" cm="1">
        <f t="array" aca="1" ref="W144" ca="1">MMS_PastureBeef_Soil_N2ODirect_Equations.VEERG_4_2_1_3__4_NitrogenRetainedByBody(Y108,W80,W44,W128)</f>
        <v>#N/A</v>
      </c>
      <c r="X144" s="15" t="e" cm="1">
        <f t="array" aca="1" ref="X144" ca="1">MMS_PastureBeef_Soil_N2ODirect_Equations.VEERG_4_2_1_3__4_NitrogenRetainedByBody(Z108,X80,X44,X128)</f>
        <v>#N/A</v>
      </c>
      <c r="Y144" s="15" t="e" cm="1">
        <f t="array" aca="1" ref="Y144" ca="1">MMS_PastureBeef_Soil_N2ODirect_Equations.VEERG_4_2_1_3__4_NitrogenRetainedByBody(AA108,Y80,Y44,Y128)</f>
        <v>#N/A</v>
      </c>
      <c r="Z144" s="15" t="e" cm="1">
        <f t="array" aca="1" ref="Z144" ca="1">MMS_PastureBeef_Soil_N2ODirect_Equations.VEERG_4_2_1_3__4_NitrogenRetainedByBody(AB108,Z80,Z44,Z128)</f>
        <v>#N/A</v>
      </c>
      <c r="AA144" s="15" t="e" cm="1">
        <f t="array" aca="1" ref="AA144" ca="1">MMS_PastureBeef_Soil_N2ODirect_Equations.VEERG_4_2_1_3__4_NitrogenRetainedByBody(AC108,AA80,AA44,AA128)</f>
        <v>#N/A</v>
      </c>
      <c r="AB144" s="15" t="e" cm="1">
        <f t="array" aca="1" ref="AB144" ca="1">MMS_PastureBeef_Soil_N2ODirect_Equations.VEERG_4_2_1_3__4_NitrogenRetainedByBody(AD108,AB80,AB44,AB128)</f>
        <v>#N/A</v>
      </c>
      <c r="AC144" s="15" t="e" cm="1">
        <f t="array" aca="1" ref="AC144" ca="1">MMS_PastureBeef_Soil_N2ODirect_Equations.VEERG_4_2_1_3__4_NitrogenRetainedByBody(AE108,AC80,AC44,AC128)</f>
        <v>#N/A</v>
      </c>
      <c r="AD144" s="15" t="e" cm="1">
        <f t="array" aca="1" ref="AD144" ca="1">MMS_PastureBeef_Soil_N2ODirect_Equations.VEERG_4_2_1_3__4_NitrogenRetainedByBody(AF108,AD80,AD44,AD128)</f>
        <v>#N/A</v>
      </c>
      <c r="AE144" s="15" t="e" cm="1">
        <f t="array" aca="1" ref="AE144" ca="1">MMS_PastureBeef_Soil_N2ODirect_Equations.VEERG_4_2_1_3__4_NitrogenRetainedByBody(AG108,AE80,AE44,AE128)</f>
        <v>#N/A</v>
      </c>
      <c r="AF144" s="16" t="str">
        <f t="shared" si="7"/>
        <v>kg N/head/day</v>
      </c>
      <c r="AG144" s="16"/>
      <c r="AH144" s="16"/>
    </row>
    <row r="145" spans="4:35" ht="20" customHeight="1" x14ac:dyDescent="0.25">
      <c r="D145" s="105" t="str">
        <v>NR_jkl</v>
      </c>
      <c r="E145" s="106" t="str">
        <v>the amount of nitrogen retained by the body (kg N/head/day)</v>
      </c>
      <c r="F145" s="108"/>
      <c r="G145" s="105" t="str">
        <v>kg N/head/day</v>
      </c>
      <c r="H145" s="110" t="str">
        <v>Calculated from 4.2.1.3 (4)</v>
      </c>
      <c r="I145" s="111" t="str" cm="1">
        <f t="array" aca="1" ref="I145" ca="1">HYPERLINK(Common_InputFunctions.Utility_SourceHyperlink($D$124), $D$124)</f>
        <v>M1_Table_NR_j_k_l</v>
      </c>
      <c r="U145" s="15" t="str">
        <f>TEXT(EDATE(X_Cell_Site_StartDate,9), "mmmm")</f>
        <v>September</v>
      </c>
      <c r="V145" s="15" t="e" cm="1">
        <f t="array" aca="1" ref="V145" ca="1">MMS_PastureBeef_Soil_N2ODirect_Equations.VEERG_4_2_1_3__4_NitrogenRetainedByBody(X109,V81,V45,V129)</f>
        <v>#N/A</v>
      </c>
      <c r="W145" s="15" t="e" cm="1">
        <f t="array" aca="1" ref="W145" ca="1">MMS_PastureBeef_Soil_N2ODirect_Equations.VEERG_4_2_1_3__4_NitrogenRetainedByBody(Y109,W81,W45,W129)</f>
        <v>#N/A</v>
      </c>
      <c r="X145" s="15" t="e" cm="1">
        <f t="array" aca="1" ref="X145" ca="1">MMS_PastureBeef_Soil_N2ODirect_Equations.VEERG_4_2_1_3__4_NitrogenRetainedByBody(Z109,X81,X45,X129)</f>
        <v>#N/A</v>
      </c>
      <c r="Y145" s="15" t="e" cm="1">
        <f t="array" aca="1" ref="Y145" ca="1">MMS_PastureBeef_Soil_N2ODirect_Equations.VEERG_4_2_1_3__4_NitrogenRetainedByBody(AA109,Y81,Y45,Y129)</f>
        <v>#N/A</v>
      </c>
      <c r="Z145" s="15" t="e" cm="1">
        <f t="array" aca="1" ref="Z145" ca="1">MMS_PastureBeef_Soil_N2ODirect_Equations.VEERG_4_2_1_3__4_NitrogenRetainedByBody(AB109,Z81,Z45,Z129)</f>
        <v>#N/A</v>
      </c>
      <c r="AA145" s="15" t="e" cm="1">
        <f t="array" aca="1" ref="AA145" ca="1">MMS_PastureBeef_Soil_N2ODirect_Equations.VEERG_4_2_1_3__4_NitrogenRetainedByBody(AC109,AA81,AA45,AA129)</f>
        <v>#N/A</v>
      </c>
      <c r="AB145" s="15" t="e" cm="1">
        <f t="array" aca="1" ref="AB145" ca="1">MMS_PastureBeef_Soil_N2ODirect_Equations.VEERG_4_2_1_3__4_NitrogenRetainedByBody(AD109,AB81,AB45,AB129)</f>
        <v>#N/A</v>
      </c>
      <c r="AC145" s="15" t="e" cm="1">
        <f t="array" aca="1" ref="AC145" ca="1">MMS_PastureBeef_Soil_N2ODirect_Equations.VEERG_4_2_1_3__4_NitrogenRetainedByBody(AE109,AC81,AC45,AC129)</f>
        <v>#N/A</v>
      </c>
      <c r="AD145" s="15" t="e" cm="1">
        <f t="array" aca="1" ref="AD145" ca="1">MMS_PastureBeef_Soil_N2ODirect_Equations.VEERG_4_2_1_3__4_NitrogenRetainedByBody(AF109,AD81,AD45,AD129)</f>
        <v>#N/A</v>
      </c>
      <c r="AE145" s="15" t="e" cm="1">
        <f t="array" aca="1" ref="AE145" ca="1">MMS_PastureBeef_Soil_N2ODirect_Equations.VEERG_4_2_1_3__4_NitrogenRetainedByBody(AG109,AE81,AE45,AE129)</f>
        <v>#N/A</v>
      </c>
      <c r="AF145" s="16" t="str">
        <f t="shared" si="7"/>
        <v>kg N/head/day</v>
      </c>
      <c r="AG145" s="16"/>
      <c r="AH145" s="16"/>
    </row>
    <row r="146" spans="4:35" ht="20" customHeight="1" x14ac:dyDescent="0.25">
      <c r="D146" s="105" t="str">
        <v>W_jkl</v>
      </c>
      <c r="E146" s="106" t="str">
        <v>liveweight (kg/head)</v>
      </c>
      <c r="F146" s="108"/>
      <c r="G146" s="105" t="str">
        <v>kg/head</v>
      </c>
      <c r="H146" s="109" t="str">
        <v>Input</v>
      </c>
      <c r="I146" s="111" t="str" cm="1">
        <f t="array" aca="1" ref="I146" ca="1">HYPERLINK(Common_InputFunctions.Utility_SourceHyperlink($D$17), $D$17)</f>
        <v>M1_Table_W_j_k_l</v>
      </c>
      <c r="U146" s="15" t="str">
        <f>TEXT(EDATE(X_Cell_Site_StartDate,10), "mmmm")</f>
        <v>October</v>
      </c>
      <c r="V146" s="15" t="e" cm="1">
        <f t="array" aca="1" ref="V146" ca="1">MMS_PastureBeef_Soil_N2ODirect_Equations.VEERG_4_2_1_3__4_NitrogenRetainedByBody(X110,V82,V46,V130)</f>
        <v>#N/A</v>
      </c>
      <c r="W146" s="15" t="e" cm="1">
        <f t="array" aca="1" ref="W146" ca="1">MMS_PastureBeef_Soil_N2ODirect_Equations.VEERG_4_2_1_3__4_NitrogenRetainedByBody(Y110,W82,W46,W130)</f>
        <v>#N/A</v>
      </c>
      <c r="X146" s="15" t="e" cm="1">
        <f t="array" aca="1" ref="X146" ca="1">MMS_PastureBeef_Soil_N2ODirect_Equations.VEERG_4_2_1_3__4_NitrogenRetainedByBody(Z110,X82,X46,X130)</f>
        <v>#N/A</v>
      </c>
      <c r="Y146" s="15" t="e" cm="1">
        <f t="array" aca="1" ref="Y146" ca="1">MMS_PastureBeef_Soil_N2ODirect_Equations.VEERG_4_2_1_3__4_NitrogenRetainedByBody(AA110,Y82,Y46,Y130)</f>
        <v>#N/A</v>
      </c>
      <c r="Z146" s="15" t="e" cm="1">
        <f t="array" aca="1" ref="Z146" ca="1">MMS_PastureBeef_Soil_N2ODirect_Equations.VEERG_4_2_1_3__4_NitrogenRetainedByBody(AB110,Z82,Z46,Z130)</f>
        <v>#N/A</v>
      </c>
      <c r="AA146" s="15" t="e" cm="1">
        <f t="array" aca="1" ref="AA146" ca="1">MMS_PastureBeef_Soil_N2ODirect_Equations.VEERG_4_2_1_3__4_NitrogenRetainedByBody(AC110,AA82,AA46,AA130)</f>
        <v>#N/A</v>
      </c>
      <c r="AB146" s="15" t="e" cm="1">
        <f t="array" aca="1" ref="AB146" ca="1">MMS_PastureBeef_Soil_N2ODirect_Equations.VEERG_4_2_1_3__4_NitrogenRetainedByBody(AD110,AB82,AB46,AB130)</f>
        <v>#N/A</v>
      </c>
      <c r="AC146" s="15" t="e" cm="1">
        <f t="array" aca="1" ref="AC146" ca="1">MMS_PastureBeef_Soil_N2ODirect_Equations.VEERG_4_2_1_3__4_NitrogenRetainedByBody(AE110,AC82,AC46,AC130)</f>
        <v>#N/A</v>
      </c>
      <c r="AD146" s="15" t="e" cm="1">
        <f t="array" aca="1" ref="AD146" ca="1">MMS_PastureBeef_Soil_N2ODirect_Equations.VEERG_4_2_1_3__4_NitrogenRetainedByBody(AF110,AD82,AD46,AD130)</f>
        <v>#N/A</v>
      </c>
      <c r="AE146" s="15" t="e" cm="1">
        <f t="array" aca="1" ref="AE146" ca="1">MMS_PastureBeef_Soil_N2ODirect_Equations.VEERG_4_2_1_3__4_NitrogenRetainedByBody(AG110,AE82,AE46,AE130)</f>
        <v>#N/A</v>
      </c>
      <c r="AF146" s="16" t="str">
        <f t="shared" si="7"/>
        <v>kg N/head/day</v>
      </c>
      <c r="AG146" s="16"/>
      <c r="AH146" s="16"/>
    </row>
    <row r="147" spans="4:35" ht="20" customHeight="1" x14ac:dyDescent="0.25">
      <c r="D147" s="105" t="str">
        <v>b</v>
      </c>
      <c r="E147" s="106" t="str">
        <v>breed of cattle</v>
      </c>
      <c r="F147" s="108"/>
      <c r="G147" s="105" t="str">
        <v/>
      </c>
      <c r="H147" s="109" t="str">
        <v>Input</v>
      </c>
      <c r="I147" s="116">
        <f>X_Cell_PastureBeef_Breed</f>
        <v>0</v>
      </c>
      <c r="U147" s="15" t="str">
        <f>TEXT(EDATE(X_Cell_Site_StartDate,11), "mmmm")</f>
        <v>November</v>
      </c>
      <c r="V147" s="15" t="e" cm="1">
        <f t="array" aca="1" ref="V147" ca="1">MMS_PastureBeef_Soil_N2ODirect_Equations.VEERG_4_2_1_3__4_NitrogenRetainedByBody(X111,V83,V47,V131)</f>
        <v>#N/A</v>
      </c>
      <c r="W147" s="15" t="e" cm="1">
        <f t="array" aca="1" ref="W147" ca="1">MMS_PastureBeef_Soil_N2ODirect_Equations.VEERG_4_2_1_3__4_NitrogenRetainedByBody(Y111,W83,W47,W131)</f>
        <v>#N/A</v>
      </c>
      <c r="X147" s="15" t="e" cm="1">
        <f t="array" aca="1" ref="X147" ca="1">MMS_PastureBeef_Soil_N2ODirect_Equations.VEERG_4_2_1_3__4_NitrogenRetainedByBody(Z111,X83,X47,X131)</f>
        <v>#N/A</v>
      </c>
      <c r="Y147" s="15" t="e" cm="1">
        <f t="array" aca="1" ref="Y147" ca="1">MMS_PastureBeef_Soil_N2ODirect_Equations.VEERG_4_2_1_3__4_NitrogenRetainedByBody(AA111,Y83,Y47,Y131)</f>
        <v>#N/A</v>
      </c>
      <c r="Z147" s="15" t="e" cm="1">
        <f t="array" aca="1" ref="Z147" ca="1">MMS_PastureBeef_Soil_N2ODirect_Equations.VEERG_4_2_1_3__4_NitrogenRetainedByBody(AB111,Z83,Z47,Z131)</f>
        <v>#N/A</v>
      </c>
      <c r="AA147" s="15" t="e" cm="1">
        <f t="array" aca="1" ref="AA147" ca="1">MMS_PastureBeef_Soil_N2ODirect_Equations.VEERG_4_2_1_3__4_NitrogenRetainedByBody(AC111,AA83,AA47,AA131)</f>
        <v>#N/A</v>
      </c>
      <c r="AB147" s="15" t="e" cm="1">
        <f t="array" aca="1" ref="AB147" ca="1">MMS_PastureBeef_Soil_N2ODirect_Equations.VEERG_4_2_1_3__4_NitrogenRetainedByBody(AD111,AB83,AB47,AB131)</f>
        <v>#N/A</v>
      </c>
      <c r="AC147" s="15" t="e" cm="1">
        <f t="array" aca="1" ref="AC147" ca="1">MMS_PastureBeef_Soil_N2ODirect_Equations.VEERG_4_2_1_3__4_NitrogenRetainedByBody(AE111,AC83,AC47,AC131)</f>
        <v>#N/A</v>
      </c>
      <c r="AD147" s="15" t="e" cm="1">
        <f t="array" aca="1" ref="AD147" ca="1">MMS_PastureBeef_Soil_N2ODirect_Equations.VEERG_4_2_1_3__4_NitrogenRetainedByBody(AF111,AD83,AD47,AD131)</f>
        <v>#N/A</v>
      </c>
      <c r="AE147" s="15" t="e" cm="1">
        <f t="array" aca="1" ref="AE147" ca="1">MMS_PastureBeef_Soil_N2ODirect_Equations.VEERG_4_2_1_3__4_NitrogenRetainedByBody(AG111,AE83,AE47,AE131)</f>
        <v>#N/A</v>
      </c>
      <c r="AF147" s="16" t="str">
        <f t="shared" si="7"/>
        <v>kg N/head/day</v>
      </c>
      <c r="AG147" s="16"/>
      <c r="AH147" s="16"/>
    </row>
    <row r="148" spans="4:35" ht="20" customHeight="1" x14ac:dyDescent="0.25">
      <c r="D148" s="105" t="str">
        <v>s</v>
      </c>
      <c r="E148" s="106" t="str">
        <v>Calving season</v>
      </c>
      <c r="F148" s="108"/>
      <c r="G148" s="105" t="str">
        <v/>
      </c>
      <c r="H148" s="109" t="str">
        <v>Input</v>
      </c>
      <c r="I148" s="116" t="str">
        <f>'Input - Pasture Beef'!$E$162</f>
        <v>Winter</v>
      </c>
    </row>
    <row r="149" spans="4:35" ht="20" customHeight="1" x14ac:dyDescent="0.25"/>
    <row r="150" spans="4:35" ht="20" customHeight="1" x14ac:dyDescent="0.25">
      <c r="D150" s="112" t="s">
        <v>459</v>
      </c>
      <c r="T150" s="87"/>
      <c r="U150" s="87"/>
      <c r="V150" s="87"/>
      <c r="W150" s="87"/>
      <c r="X150" s="87"/>
      <c r="Y150" s="87"/>
      <c r="Z150" s="87"/>
      <c r="AA150" s="87"/>
      <c r="AB150" s="87"/>
      <c r="AC150" s="87"/>
      <c r="AD150" s="87"/>
      <c r="AE150" s="87"/>
      <c r="AF150" s="87"/>
      <c r="AG150" s="87"/>
      <c r="AH150" s="87"/>
      <c r="AI150" s="87"/>
    </row>
    <row r="151" spans="4:35" ht="20" customHeight="1" x14ac:dyDescent="0.25">
      <c r="D151" s="113" t="s">
        <v>460</v>
      </c>
      <c r="U151" s="2" t="str" cm="1">
        <f t="array" ref="U151">MMS_PastureBeef_Soil_N2ODirect_Equations.VEERG_4_2_1_3__3_NitrogenExcreted_Title()</f>
        <v>Nitrogen excreted</v>
      </c>
    </row>
    <row r="152" spans="4:35" ht="20" customHeight="1" x14ac:dyDescent="0.25">
      <c r="D152" s="114" t="s">
        <v>76</v>
      </c>
      <c r="E152" s="82" t="s">
        <v>326</v>
      </c>
      <c r="F152" s="82" t="s">
        <v>184</v>
      </c>
      <c r="G152" s="82" t="s">
        <v>327</v>
      </c>
      <c r="H152" s="82" t="s">
        <v>328</v>
      </c>
      <c r="I152" s="82" t="s">
        <v>329</v>
      </c>
      <c r="J152" s="82" t="s">
        <v>330</v>
      </c>
      <c r="K152" s="82" t="s">
        <v>331</v>
      </c>
      <c r="L152" s="82" t="s">
        <v>332</v>
      </c>
      <c r="M152" s="82" t="s">
        <v>333</v>
      </c>
      <c r="N152" s="82" t="s">
        <v>334</v>
      </c>
    </row>
    <row r="153" spans="4:35" ht="20" customHeight="1" x14ac:dyDescent="0.25">
      <c r="D153" s="15" t="s">
        <v>335</v>
      </c>
      <c r="E153" s="15" t="e" cm="1">
        <f t="array" aca="1" ref="E153:N156" ca="1">OFFSET(X_Table_PastureBeef_CrudeProtein_Method1, 1,1, 4,10)</f>
        <v>#N/A</v>
      </c>
      <c r="F153" s="15" t="e">
        <f ca="1"/>
        <v>#N/A</v>
      </c>
      <c r="G153" s="15" t="e">
        <f ca="1"/>
        <v>#N/A</v>
      </c>
      <c r="H153" s="15" t="e">
        <f ca="1"/>
        <v>#N/A</v>
      </c>
      <c r="I153" s="15" t="e">
        <f ca="1"/>
        <v>#N/A</v>
      </c>
      <c r="J153" s="15" t="e">
        <f ca="1"/>
        <v>#N/A</v>
      </c>
      <c r="K153" s="15" t="e">
        <f ca="1"/>
        <v>#N/A</v>
      </c>
      <c r="L153" s="15" t="e">
        <f ca="1"/>
        <v>#N/A</v>
      </c>
      <c r="M153" s="15" t="e">
        <f ca="1"/>
        <v>#N/A</v>
      </c>
      <c r="N153" s="15" t="e">
        <f ca="1"/>
        <v>#N/A</v>
      </c>
      <c r="O153" s="16" t="s">
        <v>346</v>
      </c>
    </row>
    <row r="154" spans="4:35" ht="20" customHeight="1" x14ac:dyDescent="0.25">
      <c r="D154" s="15" t="s">
        <v>336</v>
      </c>
      <c r="E154" s="15" t="e">
        <f ca="1"/>
        <v>#N/A</v>
      </c>
      <c r="F154" s="15" t="e">
        <f ca="1"/>
        <v>#N/A</v>
      </c>
      <c r="G154" s="15" t="e">
        <f ca="1"/>
        <v>#N/A</v>
      </c>
      <c r="H154" s="15" t="e">
        <f ca="1"/>
        <v>#N/A</v>
      </c>
      <c r="I154" s="15" t="e">
        <f ca="1"/>
        <v>#N/A</v>
      </c>
      <c r="J154" s="15" t="e">
        <f ca="1"/>
        <v>#N/A</v>
      </c>
      <c r="K154" s="15" t="e">
        <f ca="1"/>
        <v>#N/A</v>
      </c>
      <c r="L154" s="15" t="e">
        <f ca="1"/>
        <v>#N/A</v>
      </c>
      <c r="M154" s="15" t="e">
        <f ca="1"/>
        <v>#N/A</v>
      </c>
      <c r="N154" s="15" t="e">
        <f ca="1"/>
        <v>#N/A</v>
      </c>
      <c r="O154" s="16" t="s">
        <v>346</v>
      </c>
    </row>
    <row r="155" spans="4:35" ht="20" customHeight="1" x14ac:dyDescent="0.25">
      <c r="D155" s="15" t="s">
        <v>337</v>
      </c>
      <c r="E155" s="15" t="e">
        <f ca="1"/>
        <v>#N/A</v>
      </c>
      <c r="F155" s="15" t="e">
        <f ca="1"/>
        <v>#N/A</v>
      </c>
      <c r="G155" s="15" t="e">
        <f ca="1"/>
        <v>#N/A</v>
      </c>
      <c r="H155" s="15" t="e">
        <f ca="1"/>
        <v>#N/A</v>
      </c>
      <c r="I155" s="15" t="e">
        <f ca="1"/>
        <v>#N/A</v>
      </c>
      <c r="J155" s="15" t="e">
        <f ca="1"/>
        <v>#N/A</v>
      </c>
      <c r="K155" s="15" t="e">
        <f ca="1"/>
        <v>#N/A</v>
      </c>
      <c r="L155" s="15" t="e">
        <f ca="1"/>
        <v>#N/A</v>
      </c>
      <c r="M155" s="15" t="e">
        <f ca="1"/>
        <v>#N/A</v>
      </c>
      <c r="N155" s="15" t="e">
        <f ca="1"/>
        <v>#N/A</v>
      </c>
      <c r="O155" s="16" t="s">
        <v>346</v>
      </c>
    </row>
    <row r="156" spans="4:35" ht="20" customHeight="1" x14ac:dyDescent="0.25">
      <c r="D156" s="15" t="s">
        <v>338</v>
      </c>
      <c r="E156" s="15" t="e">
        <f ca="1"/>
        <v>#N/A</v>
      </c>
      <c r="F156" s="15" t="e">
        <f ca="1"/>
        <v>#N/A</v>
      </c>
      <c r="G156" s="15" t="e">
        <f ca="1"/>
        <v>#N/A</v>
      </c>
      <c r="H156" s="15" t="e">
        <f ca="1"/>
        <v>#N/A</v>
      </c>
      <c r="I156" s="15" t="e">
        <f ca="1"/>
        <v>#N/A</v>
      </c>
      <c r="J156" s="15" t="e">
        <f ca="1"/>
        <v>#N/A</v>
      </c>
      <c r="K156" s="15" t="e">
        <f ca="1"/>
        <v>#N/A</v>
      </c>
      <c r="L156" s="15" t="e">
        <f ca="1"/>
        <v>#N/A</v>
      </c>
      <c r="M156" s="15" t="e">
        <f ca="1"/>
        <v>#N/A</v>
      </c>
      <c r="N156" s="15" t="e">
        <f ca="1"/>
        <v>#N/A</v>
      </c>
      <c r="O156" s="16" t="s">
        <v>346</v>
      </c>
    </row>
    <row r="157" spans="4:35" ht="20" customHeight="1" x14ac:dyDescent="0.25"/>
    <row r="158" spans="4:35" ht="20" customHeight="1" x14ac:dyDescent="0.25">
      <c r="D158" s="112" t="s">
        <v>461</v>
      </c>
    </row>
    <row r="159" spans="4:35" ht="20" customHeight="1" x14ac:dyDescent="0.25">
      <c r="D159" s="113" t="s">
        <v>462</v>
      </c>
    </row>
    <row r="160" spans="4:35" ht="20" customHeight="1" x14ac:dyDescent="0.25">
      <c r="D160" s="114" t="s">
        <v>76</v>
      </c>
      <c r="E160" s="114" t="s">
        <v>357</v>
      </c>
      <c r="F160" s="114" t="s">
        <v>326</v>
      </c>
      <c r="G160" s="114" t="s">
        <v>184</v>
      </c>
      <c r="H160" s="114" t="s">
        <v>327</v>
      </c>
      <c r="I160" s="114" t="s">
        <v>328</v>
      </c>
      <c r="J160" s="114" t="s">
        <v>329</v>
      </c>
      <c r="K160" s="114" t="s">
        <v>330</v>
      </c>
      <c r="L160" s="114" t="s">
        <v>331</v>
      </c>
      <c r="M160" s="114" t="s">
        <v>332</v>
      </c>
      <c r="N160" s="114" t="s">
        <v>333</v>
      </c>
      <c r="O160" s="114" t="s">
        <v>334</v>
      </c>
    </row>
    <row r="161" spans="3:34" ht="20" customHeight="1" x14ac:dyDescent="0.25">
      <c r="D161" s="15" t="s">
        <v>335</v>
      </c>
      <c r="E161" s="15" t="str" cm="1">
        <f t="array" ref="E161">_xlfn.IFS($D$161=$I$148,"Calving season",$D$164=$I$148,"Season after calving",TRUE, "")</f>
        <v>Season after calving</v>
      </c>
      <c r="F161" s="15" cm="1">
        <f t="array" ref="F161">_xlfn.XLOOKUP(1, (Table_SourceData_PastureBeef_FeedIntakeAdjustment_Variation[Breed]=$I$147)*(Table_SourceData_PastureBeef_FeedIntakeAdjustment_Variation[Season]=$E161), Table_SourceData_PastureBeef_FeedIntakeAdjustment_Variation[Milk intake/production], 0)</f>
        <v>0</v>
      </c>
      <c r="G161" s="15">
        <v>0</v>
      </c>
      <c r="H161" s="15" cm="1">
        <f t="array" ref="H161">_xlfn.XLOOKUP(1, (Table_SourceData_PastureBeef_FeedIntakeAdjustment_Variation[Breed]=$I$147)*(Table_SourceData_PastureBeef_FeedIntakeAdjustment_Variation[Season]=$E161), Table_SourceData_PastureBeef_FeedIntakeAdjustment_Variation[Milk intake/production], 0)</f>
        <v>0</v>
      </c>
      <c r="I161" s="15">
        <v>0</v>
      </c>
      <c r="J161" s="15">
        <v>0</v>
      </c>
      <c r="K161" s="15">
        <v>0</v>
      </c>
      <c r="L161" s="15" cm="1">
        <f t="array" ref="L161">_xlfn.XLOOKUP(1, (Table_SourceData_PastureBeef_FeedIntakeAdjustment_Variation[Breed]=$I$147)*(Table_SourceData_PastureBeef_FeedIntakeAdjustment_Variation[Season]=$E161), Table_SourceData_PastureBeef_FeedIntakeAdjustment_Variation[Milk intake/production], 0)</f>
        <v>0</v>
      </c>
      <c r="M161" s="15">
        <v>0</v>
      </c>
      <c r="N161" s="15">
        <v>0</v>
      </c>
      <c r="O161" s="15">
        <v>0</v>
      </c>
      <c r="P161" s="16" t="s">
        <v>344</v>
      </c>
      <c r="Q161" s="16"/>
      <c r="U161" s="112" t="s">
        <v>463</v>
      </c>
    </row>
    <row r="162" spans="3:34" ht="20" customHeight="1" x14ac:dyDescent="0.25">
      <c r="D162" s="15" t="s">
        <v>336</v>
      </c>
      <c r="E162" s="15" t="str" cm="1">
        <f t="array" ref="E162">_xlfn.IFS($D$162=$I$148,"Calving season",$D$161=$I$148,"Season after calving",TRUE, "")</f>
        <v/>
      </c>
      <c r="F162" s="15" cm="1">
        <f t="array" ref="F162">_xlfn.XLOOKUP(1, (Table_SourceData_PastureBeef_FeedIntakeAdjustment_Variation[Breed]=$I$147)*(Table_SourceData_PastureBeef_FeedIntakeAdjustment_Variation[Season]=$E162), Table_SourceData_PastureBeef_FeedIntakeAdjustment_Variation[Milk intake/production], 0)</f>
        <v>0</v>
      </c>
      <c r="G162" s="15">
        <v>0</v>
      </c>
      <c r="H162" s="15" cm="1">
        <f t="array" ref="H162">_xlfn.XLOOKUP(1, (Table_SourceData_PastureBeef_FeedIntakeAdjustment_Variation[Breed]=$I$147)*(Table_SourceData_PastureBeef_FeedIntakeAdjustment_Variation[Season]=$E162), Table_SourceData_PastureBeef_FeedIntakeAdjustment_Variation[Milk intake/production], 0)</f>
        <v>0</v>
      </c>
      <c r="I162" s="15">
        <v>0</v>
      </c>
      <c r="J162" s="15">
        <v>0</v>
      </c>
      <c r="K162" s="15">
        <v>0</v>
      </c>
      <c r="L162" s="15" cm="1">
        <f t="array" ref="L162">_xlfn.XLOOKUP(1, (Table_SourceData_PastureBeef_FeedIntakeAdjustment_Variation[Breed]=$I$147)*(Table_SourceData_PastureBeef_FeedIntakeAdjustment_Variation[Season]=$E162), Table_SourceData_PastureBeef_FeedIntakeAdjustment_Variation[Milk intake/production], 0)</f>
        <v>0</v>
      </c>
      <c r="M162" s="15">
        <v>0</v>
      </c>
      <c r="N162" s="15">
        <v>0</v>
      </c>
      <c r="O162" s="15">
        <v>0</v>
      </c>
      <c r="P162" s="16" t="s">
        <v>344</v>
      </c>
      <c r="Q162" s="16"/>
      <c r="U162" s="113" t="s">
        <v>464</v>
      </c>
    </row>
    <row r="163" spans="3:34" ht="20" customHeight="1" x14ac:dyDescent="0.25">
      <c r="D163" s="15" t="s">
        <v>337</v>
      </c>
      <c r="E163" s="15" t="str" cm="1">
        <f t="array" ref="E163">_xlfn.IFS($D$163=$I$148,"Calving season",$D$162=$I$148,"Season after calving",TRUE, "")</f>
        <v/>
      </c>
      <c r="F163" s="15" cm="1">
        <f t="array" ref="F163">_xlfn.XLOOKUP(1, (Table_SourceData_PastureBeef_FeedIntakeAdjustment_Variation[Breed]=$I$147)*(Table_SourceData_PastureBeef_FeedIntakeAdjustment_Variation[Season]=$E163), Table_SourceData_PastureBeef_FeedIntakeAdjustment_Variation[Milk intake/production], 0)</f>
        <v>0</v>
      </c>
      <c r="G163" s="15">
        <v>0</v>
      </c>
      <c r="H163" s="15" cm="1">
        <f t="array" ref="H163">_xlfn.XLOOKUP(1, (Table_SourceData_PastureBeef_FeedIntakeAdjustment_Variation[Breed]=$I$147)*(Table_SourceData_PastureBeef_FeedIntakeAdjustment_Variation[Season]=$E163), Table_SourceData_PastureBeef_FeedIntakeAdjustment_Variation[Milk intake/production], 0)</f>
        <v>0</v>
      </c>
      <c r="I163" s="15">
        <v>0</v>
      </c>
      <c r="J163" s="15">
        <v>0</v>
      </c>
      <c r="K163" s="15">
        <v>0</v>
      </c>
      <c r="L163" s="15" cm="1">
        <f t="array" ref="L163">_xlfn.XLOOKUP(1, (Table_SourceData_PastureBeef_FeedIntakeAdjustment_Variation[Breed]=$I$147)*(Table_SourceData_PastureBeef_FeedIntakeAdjustment_Variation[Season]=$E163), Table_SourceData_PastureBeef_FeedIntakeAdjustment_Variation[Milk intake/production], 0)</f>
        <v>0</v>
      </c>
      <c r="M163" s="15">
        <v>0</v>
      </c>
      <c r="N163" s="15">
        <v>0</v>
      </c>
      <c r="O163" s="15">
        <v>0</v>
      </c>
      <c r="P163" s="16" t="s">
        <v>344</v>
      </c>
      <c r="Q163" s="16"/>
      <c r="U163" s="114" t="s">
        <v>75</v>
      </c>
      <c r="V163" s="82" t="s">
        <v>326</v>
      </c>
      <c r="W163" s="82" t="s">
        <v>184</v>
      </c>
      <c r="X163" s="82" t="s">
        <v>327</v>
      </c>
      <c r="Y163" s="82" t="s">
        <v>328</v>
      </c>
      <c r="Z163" s="82" t="s">
        <v>329</v>
      </c>
      <c r="AA163" s="82" t="s">
        <v>330</v>
      </c>
      <c r="AB163" s="82" t="s">
        <v>331</v>
      </c>
      <c r="AC163" s="82" t="s">
        <v>332</v>
      </c>
      <c r="AD163" s="82" t="s">
        <v>333</v>
      </c>
      <c r="AE163" s="82" t="s">
        <v>334</v>
      </c>
    </row>
    <row r="164" spans="3:34" ht="20" customHeight="1" x14ac:dyDescent="0.25">
      <c r="D164" s="15" t="s">
        <v>338</v>
      </c>
      <c r="E164" s="15" t="str" cm="1">
        <f t="array" ref="E164">_xlfn.IFS($D$164=$I$148,"Calving season",$D$163=$I$148,"Season after calving",TRUE, "")</f>
        <v>Calving season</v>
      </c>
      <c r="F164" s="15" cm="1">
        <f t="array" ref="F164">_xlfn.XLOOKUP(1, (Table_SourceData_PastureBeef_FeedIntakeAdjustment_Variation[Breed]=$I$147)*(Table_SourceData_PastureBeef_FeedIntakeAdjustment_Variation[Season]=$E164), Table_SourceData_PastureBeef_FeedIntakeAdjustment_Variation[Milk intake/production], 0)</f>
        <v>0</v>
      </c>
      <c r="G164" s="15">
        <v>0</v>
      </c>
      <c r="H164" s="15" cm="1">
        <f t="array" ref="H164">_xlfn.XLOOKUP(1, (Table_SourceData_PastureBeef_FeedIntakeAdjustment_Variation[Breed]=$I$147)*(Table_SourceData_PastureBeef_FeedIntakeAdjustment_Variation[Season]=$E164), Table_SourceData_PastureBeef_FeedIntakeAdjustment_Variation[Milk intake/production], 0)</f>
        <v>0</v>
      </c>
      <c r="I164" s="15">
        <v>0</v>
      </c>
      <c r="J164" s="15">
        <v>0</v>
      </c>
      <c r="K164" s="15">
        <v>0</v>
      </c>
      <c r="L164" s="15" cm="1">
        <f t="array" ref="L164">_xlfn.XLOOKUP(1, (Table_SourceData_PastureBeef_FeedIntakeAdjustment_Variation[Breed]=$I$147)*(Table_SourceData_PastureBeef_FeedIntakeAdjustment_Variation[Season]=$E164), Table_SourceData_PastureBeef_FeedIntakeAdjustment_Variation[Milk intake/production], 0)</f>
        <v>0</v>
      </c>
      <c r="M164" s="15">
        <v>0</v>
      </c>
      <c r="N164" s="15">
        <v>0</v>
      </c>
      <c r="O164" s="15">
        <v>0</v>
      </c>
      <c r="P164" s="16" t="s">
        <v>344</v>
      </c>
      <c r="Q164" s="16"/>
      <c r="U164" s="15" t="str">
        <f>TEXT(X_Cell_Site_StartDate,"mmmm")</f>
        <v>January</v>
      </c>
      <c r="V164" s="15" t="e" cm="1">
        <f t="array" aca="1" ref="V164:AE175" ca="1">OFFSET(X_Table_PastureBeef_CrudeProtein_Method2, 1,1, 12,10)</f>
        <v>#N/A</v>
      </c>
      <c r="W164" s="15" t="e">
        <f ca="1"/>
        <v>#N/A</v>
      </c>
      <c r="X164" s="15" t="e">
        <f ca="1"/>
        <v>#N/A</v>
      </c>
      <c r="Y164" s="15" t="e">
        <f ca="1"/>
        <v>#N/A</v>
      </c>
      <c r="Z164" s="15" t="e">
        <f ca="1"/>
        <v>#N/A</v>
      </c>
      <c r="AA164" s="15" t="e">
        <f ca="1"/>
        <v>#N/A</v>
      </c>
      <c r="AB164" s="15" t="e">
        <f ca="1"/>
        <v>#N/A</v>
      </c>
      <c r="AC164" s="15" t="e">
        <f ca="1"/>
        <v>#N/A</v>
      </c>
      <c r="AD164" s="15" t="e">
        <f ca="1"/>
        <v>#N/A</v>
      </c>
      <c r="AE164" s="15" t="e">
        <f ca="1"/>
        <v>#N/A</v>
      </c>
      <c r="AF164" s="16" t="s">
        <v>346</v>
      </c>
    </row>
    <row r="165" spans="3:34" ht="20" customHeight="1" x14ac:dyDescent="0.25">
      <c r="U165" s="15" t="str">
        <f>TEXT(EDATE(X_Cell_Site_StartDate,1), "mmmm")</f>
        <v>January</v>
      </c>
      <c r="V165" s="15" t="e">
        <f ca="1"/>
        <v>#N/A</v>
      </c>
      <c r="W165" s="15" t="e">
        <f ca="1"/>
        <v>#N/A</v>
      </c>
      <c r="X165" s="15" t="e">
        <f ca="1"/>
        <v>#N/A</v>
      </c>
      <c r="Y165" s="15" t="e">
        <f ca="1"/>
        <v>#N/A</v>
      </c>
      <c r="Z165" s="15" t="e">
        <f ca="1"/>
        <v>#N/A</v>
      </c>
      <c r="AA165" s="15" t="e">
        <f ca="1"/>
        <v>#N/A</v>
      </c>
      <c r="AB165" s="15" t="e">
        <f ca="1"/>
        <v>#N/A</v>
      </c>
      <c r="AC165" s="15" t="e">
        <f ca="1"/>
        <v>#N/A</v>
      </c>
      <c r="AD165" s="15" t="e">
        <f ca="1"/>
        <v>#N/A</v>
      </c>
      <c r="AE165" s="15" t="e">
        <f ca="1"/>
        <v>#N/A</v>
      </c>
      <c r="AF165" s="16" t="s">
        <v>346</v>
      </c>
    </row>
    <row r="166" spans="3:34" ht="20" customHeight="1" x14ac:dyDescent="0.25">
      <c r="D166" s="112" t="s">
        <v>465</v>
      </c>
      <c r="U166" s="15" t="str">
        <f>TEXT(EDATE(X_Cell_Site_StartDate,2), "mmmm")</f>
        <v>February</v>
      </c>
      <c r="V166" s="15" t="e">
        <f ca="1"/>
        <v>#N/A</v>
      </c>
      <c r="W166" s="15" t="e">
        <f ca="1"/>
        <v>#N/A</v>
      </c>
      <c r="X166" s="15" t="e">
        <f ca="1"/>
        <v>#N/A</v>
      </c>
      <c r="Y166" s="15" t="e">
        <f ca="1"/>
        <v>#N/A</v>
      </c>
      <c r="Z166" s="15" t="e">
        <f ca="1"/>
        <v>#N/A</v>
      </c>
      <c r="AA166" s="15" t="e">
        <f ca="1"/>
        <v>#N/A</v>
      </c>
      <c r="AB166" s="15" t="e">
        <f ca="1"/>
        <v>#N/A</v>
      </c>
      <c r="AC166" s="15" t="e">
        <f ca="1"/>
        <v>#N/A</v>
      </c>
      <c r="AD166" s="15" t="e">
        <f ca="1"/>
        <v>#N/A</v>
      </c>
      <c r="AE166" s="15" t="e">
        <f ca="1"/>
        <v>#N/A</v>
      </c>
      <c r="AF166" s="16" t="s">
        <v>346</v>
      </c>
    </row>
    <row r="167" spans="3:34" ht="20" customHeight="1" x14ac:dyDescent="0.25">
      <c r="D167" s="113" t="s">
        <v>466</v>
      </c>
      <c r="U167" s="15" t="str">
        <f>TEXT(EDATE(X_Cell_Site_StartDate,3), "mmmm")</f>
        <v>March</v>
      </c>
      <c r="V167" s="15" t="e">
        <f ca="1"/>
        <v>#N/A</v>
      </c>
      <c r="W167" s="15" t="e">
        <f ca="1"/>
        <v>#N/A</v>
      </c>
      <c r="X167" s="15" t="e">
        <f ca="1"/>
        <v>#N/A</v>
      </c>
      <c r="Y167" s="15" t="e">
        <f ca="1"/>
        <v>#N/A</v>
      </c>
      <c r="Z167" s="15" t="e">
        <f ca="1"/>
        <v>#N/A</v>
      </c>
      <c r="AA167" s="15" t="e">
        <f ca="1"/>
        <v>#N/A</v>
      </c>
      <c r="AB167" s="15" t="e">
        <f ca="1"/>
        <v>#N/A</v>
      </c>
      <c r="AC167" s="15" t="e">
        <f ca="1"/>
        <v>#N/A</v>
      </c>
      <c r="AD167" s="15" t="e">
        <f ca="1"/>
        <v>#N/A</v>
      </c>
      <c r="AE167" s="15" t="e">
        <f ca="1"/>
        <v>#N/A</v>
      </c>
      <c r="AF167" s="16" t="s">
        <v>346</v>
      </c>
    </row>
    <row r="168" spans="3:34" ht="20" customHeight="1" x14ac:dyDescent="0.25">
      <c r="D168" s="114" t="s">
        <v>76</v>
      </c>
      <c r="E168" s="114" t="s">
        <v>326</v>
      </c>
      <c r="F168" s="114" t="s">
        <v>184</v>
      </c>
      <c r="G168" s="114" t="s">
        <v>327</v>
      </c>
      <c r="H168" s="114" t="s">
        <v>328</v>
      </c>
      <c r="I168" s="114" t="s">
        <v>329</v>
      </c>
      <c r="J168" s="114" t="s">
        <v>330</v>
      </c>
      <c r="K168" s="114" t="s">
        <v>331</v>
      </c>
      <c r="L168" s="114" t="s">
        <v>332</v>
      </c>
      <c r="M168" s="114" t="s">
        <v>333</v>
      </c>
      <c r="N168" s="114" t="s">
        <v>334</v>
      </c>
      <c r="U168" s="15" t="str">
        <f>TEXT(EDATE(X_Cell_Site_StartDate,4), "mmmm")</f>
        <v>April</v>
      </c>
      <c r="V168" s="15" t="e">
        <f ca="1"/>
        <v>#N/A</v>
      </c>
      <c r="W168" s="15" t="e">
        <f ca="1"/>
        <v>#N/A</v>
      </c>
      <c r="X168" s="15" t="e">
        <f ca="1"/>
        <v>#N/A</v>
      </c>
      <c r="Y168" s="15" t="e">
        <f ca="1"/>
        <v>#N/A</v>
      </c>
      <c r="Z168" s="15" t="e">
        <f ca="1"/>
        <v>#N/A</v>
      </c>
      <c r="AA168" s="15" t="e">
        <f ca="1"/>
        <v>#N/A</v>
      </c>
      <c r="AB168" s="15" t="e">
        <f ca="1"/>
        <v>#N/A</v>
      </c>
      <c r="AC168" s="15" t="e">
        <f ca="1"/>
        <v>#N/A</v>
      </c>
      <c r="AD168" s="15" t="e">
        <f ca="1"/>
        <v>#N/A</v>
      </c>
      <c r="AE168" s="15" t="e">
        <f ca="1"/>
        <v>#N/A</v>
      </c>
      <c r="AF168" s="16" t="s">
        <v>346</v>
      </c>
      <c r="AG168" s="16"/>
      <c r="AH168" s="16"/>
    </row>
    <row r="169" spans="3:34" ht="20" customHeight="1" x14ac:dyDescent="0.25">
      <c r="D169" s="15" t="s">
        <v>335</v>
      </c>
      <c r="E169" s="15" t="e" cm="1">
        <f t="array" aca="1" ref="E169" ca="1">MMS_PastureBeef_Soil_N2ODirect_Equations.VEERG_4_2_1_3__3_NitrogenExcreted(E54,E153,F161,E127,E20)</f>
        <v>#N/A</v>
      </c>
      <c r="F169" s="15" t="e" cm="1">
        <f t="array" aca="1" ref="F169" ca="1">MMS_PastureBeef_Soil_N2ODirect_Equations.VEERG_4_2_1_3__3_NitrogenExcreted(F54,F153,G161,F127,F20)</f>
        <v>#N/A</v>
      </c>
      <c r="G169" s="15" t="e" cm="1">
        <f t="array" aca="1" ref="G169" ca="1">MMS_PastureBeef_Soil_N2ODirect_Equations.VEERG_4_2_1_3__3_NitrogenExcreted(G54,G153,H161,G127,G20)</f>
        <v>#N/A</v>
      </c>
      <c r="H169" s="15" t="e" cm="1">
        <f t="array" aca="1" ref="H169" ca="1">MMS_PastureBeef_Soil_N2ODirect_Equations.VEERG_4_2_1_3__3_NitrogenExcreted(H54,H153,I161,H127,H20)</f>
        <v>#N/A</v>
      </c>
      <c r="I169" s="15" t="e" cm="1">
        <f t="array" aca="1" ref="I169" ca="1">MMS_PastureBeef_Soil_N2ODirect_Equations.VEERG_4_2_1_3__3_NitrogenExcreted(I54,I153,J161,I127,I20)</f>
        <v>#N/A</v>
      </c>
      <c r="J169" s="15" t="e" cm="1">
        <f t="array" aca="1" ref="J169" ca="1">MMS_PastureBeef_Soil_N2ODirect_Equations.VEERG_4_2_1_3__3_NitrogenExcreted(J54,J153,K161,J127,J20)</f>
        <v>#N/A</v>
      </c>
      <c r="K169" s="15" t="e" cm="1">
        <f t="array" aca="1" ref="K169" ca="1">MMS_PastureBeef_Soil_N2ODirect_Equations.VEERG_4_2_1_3__3_NitrogenExcreted(K54,K153,L161,K127,K20)</f>
        <v>#N/A</v>
      </c>
      <c r="L169" s="15" t="e" cm="1">
        <f t="array" aca="1" ref="L169" ca="1">MMS_PastureBeef_Soil_N2ODirect_Equations.VEERG_4_2_1_3__3_NitrogenExcreted(L54,L153,M161,L127,L20)</f>
        <v>#N/A</v>
      </c>
      <c r="M169" s="15" t="e" cm="1">
        <f t="array" aca="1" ref="M169" ca="1">MMS_PastureBeef_Soil_N2ODirect_Equations.VEERG_4_2_1_3__3_NitrogenExcreted(M54,M153,N161,M127,M20)</f>
        <v>#N/A</v>
      </c>
      <c r="N169" s="15" t="e" cm="1">
        <f t="array" aca="1" ref="N169" ca="1">MMS_PastureBeef_Soil_N2ODirect_Equations.VEERG_4_2_1_3__3_NitrogenExcreted(N54,N153,O161,N127,N20)</f>
        <v>#N/A</v>
      </c>
      <c r="O169" s="16" t="str">
        <f>$E$140</f>
        <v>kg N/head/day</v>
      </c>
      <c r="U169" s="15" t="str">
        <f>TEXT(EDATE(X_Cell_Site_StartDate,5), "mmmm")</f>
        <v>May</v>
      </c>
      <c r="V169" s="15" t="e">
        <f ca="1"/>
        <v>#N/A</v>
      </c>
      <c r="W169" s="15" t="e">
        <f ca="1"/>
        <v>#N/A</v>
      </c>
      <c r="X169" s="15" t="e">
        <f ca="1"/>
        <v>#N/A</v>
      </c>
      <c r="Y169" s="15" t="e">
        <f ca="1"/>
        <v>#N/A</v>
      </c>
      <c r="Z169" s="15" t="e">
        <f ca="1"/>
        <v>#N/A</v>
      </c>
      <c r="AA169" s="15" t="e">
        <f ca="1"/>
        <v>#N/A</v>
      </c>
      <c r="AB169" s="15" t="e">
        <f ca="1"/>
        <v>#N/A</v>
      </c>
      <c r="AC169" s="15" t="e">
        <f ca="1"/>
        <v>#N/A</v>
      </c>
      <c r="AD169" s="15" t="e">
        <f ca="1"/>
        <v>#N/A</v>
      </c>
      <c r="AE169" s="15" t="e">
        <f ca="1"/>
        <v>#N/A</v>
      </c>
      <c r="AF169" s="16" t="s">
        <v>346</v>
      </c>
      <c r="AG169" s="16"/>
      <c r="AH169" s="16"/>
    </row>
    <row r="170" spans="3:34" ht="20" customHeight="1" x14ac:dyDescent="0.25">
      <c r="D170" s="15" t="s">
        <v>336</v>
      </c>
      <c r="E170" s="15" t="e" cm="1">
        <f t="array" aca="1" ref="E170" ca="1">MMS_PastureBeef_Soil_N2ODirect_Equations.VEERG_4_2_1_3__3_NitrogenExcreted(E55,E154,F162,E128,E21)</f>
        <v>#N/A</v>
      </c>
      <c r="F170" s="15" t="e" cm="1">
        <f t="array" aca="1" ref="F170" ca="1">MMS_PastureBeef_Soil_N2ODirect_Equations.VEERG_4_2_1_3__3_NitrogenExcreted(F55,F154,G162,F128,F21)</f>
        <v>#N/A</v>
      </c>
      <c r="G170" s="15" t="e" cm="1">
        <f t="array" aca="1" ref="G170" ca="1">MMS_PastureBeef_Soil_N2ODirect_Equations.VEERG_4_2_1_3__3_NitrogenExcreted(G55,G154,H162,G128,G21)</f>
        <v>#N/A</v>
      </c>
      <c r="H170" s="15" t="e" cm="1">
        <f t="array" aca="1" ref="H170" ca="1">MMS_PastureBeef_Soil_N2ODirect_Equations.VEERG_4_2_1_3__3_NitrogenExcreted(H55,H154,I162,H128,H21)</f>
        <v>#N/A</v>
      </c>
      <c r="I170" s="15" t="e" cm="1">
        <f t="array" aca="1" ref="I170" ca="1">MMS_PastureBeef_Soil_N2ODirect_Equations.VEERG_4_2_1_3__3_NitrogenExcreted(I55,I154,J162,I128,I21)</f>
        <v>#N/A</v>
      </c>
      <c r="J170" s="15" t="e" cm="1">
        <f t="array" aca="1" ref="J170" ca="1">MMS_PastureBeef_Soil_N2ODirect_Equations.VEERG_4_2_1_3__3_NitrogenExcreted(J55,J154,K162,J128,J21)</f>
        <v>#N/A</v>
      </c>
      <c r="K170" s="15" t="e" cm="1">
        <f t="array" aca="1" ref="K170" ca="1">MMS_PastureBeef_Soil_N2ODirect_Equations.VEERG_4_2_1_3__3_NitrogenExcreted(K55,K154,L162,K128,K21)</f>
        <v>#N/A</v>
      </c>
      <c r="L170" s="15" t="e" cm="1">
        <f t="array" aca="1" ref="L170" ca="1">MMS_PastureBeef_Soil_N2ODirect_Equations.VEERG_4_2_1_3__3_NitrogenExcreted(L55,L154,M162,L128,L21)</f>
        <v>#N/A</v>
      </c>
      <c r="M170" s="15" t="e" cm="1">
        <f t="array" aca="1" ref="M170" ca="1">MMS_PastureBeef_Soil_N2ODirect_Equations.VEERG_4_2_1_3__3_NitrogenExcreted(M55,M154,N162,M128,M21)</f>
        <v>#N/A</v>
      </c>
      <c r="N170" s="15" t="e" cm="1">
        <f t="array" aca="1" ref="N170" ca="1">MMS_PastureBeef_Soil_N2ODirect_Equations.VEERG_4_2_1_3__3_NitrogenExcreted(N55,N154,O162,N128,N21)</f>
        <v>#N/A</v>
      </c>
      <c r="O170" s="16" t="str">
        <f t="shared" ref="O170:O172" si="8">$E$140</f>
        <v>kg N/head/day</v>
      </c>
      <c r="U170" s="15" t="str">
        <f>TEXT(EDATE(X_Cell_Site_StartDate,6), "mmmm")</f>
        <v>June</v>
      </c>
      <c r="V170" s="15" t="e">
        <f ca="1"/>
        <v>#N/A</v>
      </c>
      <c r="W170" s="15" t="e">
        <f ca="1"/>
        <v>#N/A</v>
      </c>
      <c r="X170" s="15" t="e">
        <f ca="1"/>
        <v>#N/A</v>
      </c>
      <c r="Y170" s="15" t="e">
        <f ca="1"/>
        <v>#N/A</v>
      </c>
      <c r="Z170" s="15" t="e">
        <f ca="1"/>
        <v>#N/A</v>
      </c>
      <c r="AA170" s="15" t="e">
        <f ca="1"/>
        <v>#N/A</v>
      </c>
      <c r="AB170" s="15" t="e">
        <f ca="1"/>
        <v>#N/A</v>
      </c>
      <c r="AC170" s="15" t="e">
        <f ca="1"/>
        <v>#N/A</v>
      </c>
      <c r="AD170" s="15" t="e">
        <f ca="1"/>
        <v>#N/A</v>
      </c>
      <c r="AE170" s="15" t="e">
        <f ca="1"/>
        <v>#N/A</v>
      </c>
      <c r="AF170" s="16" t="s">
        <v>346</v>
      </c>
      <c r="AG170" s="16"/>
      <c r="AH170" s="16"/>
    </row>
    <row r="171" spans="3:34" ht="20" customHeight="1" x14ac:dyDescent="0.25">
      <c r="D171" s="15" t="s">
        <v>337</v>
      </c>
      <c r="E171" s="15" t="e" cm="1">
        <f t="array" aca="1" ref="E171" ca="1">MMS_PastureBeef_Soil_N2ODirect_Equations.VEERG_4_2_1_3__3_NitrogenExcreted(E56,E155,F163,E129,E22)</f>
        <v>#N/A</v>
      </c>
      <c r="F171" s="15" t="e" cm="1">
        <f t="array" aca="1" ref="F171" ca="1">MMS_PastureBeef_Soil_N2ODirect_Equations.VEERG_4_2_1_3__3_NitrogenExcreted(F56,F155,G163,F129,F22)</f>
        <v>#N/A</v>
      </c>
      <c r="G171" s="15" t="e" cm="1">
        <f t="array" aca="1" ref="G171" ca="1">MMS_PastureBeef_Soil_N2ODirect_Equations.VEERG_4_2_1_3__3_NitrogenExcreted(G56,G155,H163,G129,G22)</f>
        <v>#N/A</v>
      </c>
      <c r="H171" s="15" t="e" cm="1">
        <f t="array" aca="1" ref="H171" ca="1">MMS_PastureBeef_Soil_N2ODirect_Equations.VEERG_4_2_1_3__3_NitrogenExcreted(H56,H155,I163,H129,H22)</f>
        <v>#N/A</v>
      </c>
      <c r="I171" s="15" t="e" cm="1">
        <f t="array" aca="1" ref="I171" ca="1">MMS_PastureBeef_Soil_N2ODirect_Equations.VEERG_4_2_1_3__3_NitrogenExcreted(I56,I155,J163,I129,I22)</f>
        <v>#N/A</v>
      </c>
      <c r="J171" s="15" t="e" cm="1">
        <f t="array" aca="1" ref="J171" ca="1">MMS_PastureBeef_Soil_N2ODirect_Equations.VEERG_4_2_1_3__3_NitrogenExcreted(J56,J155,K163,J129,J22)</f>
        <v>#N/A</v>
      </c>
      <c r="K171" s="15" t="e" cm="1">
        <f t="array" aca="1" ref="K171" ca="1">MMS_PastureBeef_Soil_N2ODirect_Equations.VEERG_4_2_1_3__3_NitrogenExcreted(K56,K155,L163,K129,K22)</f>
        <v>#N/A</v>
      </c>
      <c r="L171" s="15" t="e" cm="1">
        <f t="array" aca="1" ref="L171" ca="1">MMS_PastureBeef_Soil_N2ODirect_Equations.VEERG_4_2_1_3__3_NitrogenExcreted(L56,L155,M163,L129,L22)</f>
        <v>#N/A</v>
      </c>
      <c r="M171" s="15" t="e" cm="1">
        <f t="array" aca="1" ref="M171" ca="1">MMS_PastureBeef_Soil_N2ODirect_Equations.VEERG_4_2_1_3__3_NitrogenExcreted(M56,M155,N163,M129,M22)</f>
        <v>#N/A</v>
      </c>
      <c r="N171" s="15" t="e" cm="1">
        <f t="array" aca="1" ref="N171" ca="1">MMS_PastureBeef_Soil_N2ODirect_Equations.VEERG_4_2_1_3__3_NitrogenExcreted(N56,N155,O163,N129,N22)</f>
        <v>#N/A</v>
      </c>
      <c r="O171" s="16" t="str">
        <f t="shared" si="8"/>
        <v>kg N/head/day</v>
      </c>
      <c r="U171" s="15" t="str">
        <f>TEXT(EDATE(X_Cell_Site_StartDate,7), "mmmm")</f>
        <v>July</v>
      </c>
      <c r="V171" s="15" t="e">
        <f ca="1"/>
        <v>#N/A</v>
      </c>
      <c r="W171" s="15" t="e">
        <f ca="1"/>
        <v>#N/A</v>
      </c>
      <c r="X171" s="15" t="e">
        <f ca="1"/>
        <v>#N/A</v>
      </c>
      <c r="Y171" s="15" t="e">
        <f ca="1"/>
        <v>#N/A</v>
      </c>
      <c r="Z171" s="15" t="e">
        <f ca="1"/>
        <v>#N/A</v>
      </c>
      <c r="AA171" s="15" t="e">
        <f ca="1"/>
        <v>#N/A</v>
      </c>
      <c r="AB171" s="15" t="e">
        <f ca="1"/>
        <v>#N/A</v>
      </c>
      <c r="AC171" s="15" t="e">
        <f ca="1"/>
        <v>#N/A</v>
      </c>
      <c r="AD171" s="15" t="e">
        <f ca="1"/>
        <v>#N/A</v>
      </c>
      <c r="AE171" s="15" t="e">
        <f ca="1"/>
        <v>#N/A</v>
      </c>
      <c r="AF171" s="16" t="s">
        <v>346</v>
      </c>
      <c r="AG171" s="16"/>
      <c r="AH171" s="16"/>
    </row>
    <row r="172" spans="3:34" ht="20" customHeight="1" x14ac:dyDescent="0.25">
      <c r="D172" s="15" t="s">
        <v>338</v>
      </c>
      <c r="E172" s="15" t="e" cm="1">
        <f t="array" aca="1" ref="E172" ca="1">MMS_PastureBeef_Soil_N2ODirect_Equations.VEERG_4_2_1_3__3_NitrogenExcreted(E57,E156,F164,E130,E23)</f>
        <v>#N/A</v>
      </c>
      <c r="F172" s="15" t="e" cm="1">
        <f t="array" aca="1" ref="F172" ca="1">MMS_PastureBeef_Soil_N2ODirect_Equations.VEERG_4_2_1_3__3_NitrogenExcreted(F57,F156,G164,F130,F23)</f>
        <v>#N/A</v>
      </c>
      <c r="G172" s="15" t="e" cm="1">
        <f t="array" aca="1" ref="G172" ca="1">MMS_PastureBeef_Soil_N2ODirect_Equations.VEERG_4_2_1_3__3_NitrogenExcreted(G57,G156,H164,G130,G23)</f>
        <v>#N/A</v>
      </c>
      <c r="H172" s="15" t="e" cm="1">
        <f t="array" aca="1" ref="H172" ca="1">MMS_PastureBeef_Soil_N2ODirect_Equations.VEERG_4_2_1_3__3_NitrogenExcreted(H57,H156,I164,H130,H23)</f>
        <v>#N/A</v>
      </c>
      <c r="I172" s="15" t="e" cm="1">
        <f t="array" aca="1" ref="I172" ca="1">MMS_PastureBeef_Soil_N2ODirect_Equations.VEERG_4_2_1_3__3_NitrogenExcreted(I57,I156,J164,I130,I23)</f>
        <v>#N/A</v>
      </c>
      <c r="J172" s="15" t="e" cm="1">
        <f t="array" aca="1" ref="J172" ca="1">MMS_PastureBeef_Soil_N2ODirect_Equations.VEERG_4_2_1_3__3_NitrogenExcreted(J57,J156,K164,J130,J23)</f>
        <v>#N/A</v>
      </c>
      <c r="K172" s="15" t="e" cm="1">
        <f t="array" aca="1" ref="K172" ca="1">MMS_PastureBeef_Soil_N2ODirect_Equations.VEERG_4_2_1_3__3_NitrogenExcreted(K57,K156,L164,K130,K23)</f>
        <v>#N/A</v>
      </c>
      <c r="L172" s="15" t="e" cm="1">
        <f t="array" aca="1" ref="L172" ca="1">MMS_PastureBeef_Soil_N2ODirect_Equations.VEERG_4_2_1_3__3_NitrogenExcreted(L57,L156,M164,L130,L23)</f>
        <v>#N/A</v>
      </c>
      <c r="M172" s="15" t="e" cm="1">
        <f t="array" aca="1" ref="M172" ca="1">MMS_PastureBeef_Soil_N2ODirect_Equations.VEERG_4_2_1_3__3_NitrogenExcreted(M57,M156,N164,M130,M23)</f>
        <v>#N/A</v>
      </c>
      <c r="N172" s="15" t="e" cm="1">
        <f t="array" aca="1" ref="N172" ca="1">MMS_PastureBeef_Soil_N2ODirect_Equations.VEERG_4_2_1_3__3_NitrogenExcreted(N57,N156,O164,N130,N23)</f>
        <v>#N/A</v>
      </c>
      <c r="O172" s="16" t="str">
        <f t="shared" si="8"/>
        <v>kg N/head/day</v>
      </c>
      <c r="U172" s="15" t="str">
        <f>TEXT(EDATE(X_Cell_Site_StartDate,8), "mmmm")</f>
        <v>August</v>
      </c>
      <c r="V172" s="15" t="e">
        <f ca="1"/>
        <v>#N/A</v>
      </c>
      <c r="W172" s="15" t="e">
        <f ca="1"/>
        <v>#N/A</v>
      </c>
      <c r="X172" s="15" t="e">
        <f ca="1"/>
        <v>#N/A</v>
      </c>
      <c r="Y172" s="15" t="e">
        <f ca="1"/>
        <v>#N/A</v>
      </c>
      <c r="Z172" s="15" t="e">
        <f ca="1"/>
        <v>#N/A</v>
      </c>
      <c r="AA172" s="15" t="e">
        <f ca="1"/>
        <v>#N/A</v>
      </c>
      <c r="AB172" s="15" t="e">
        <f ca="1"/>
        <v>#N/A</v>
      </c>
      <c r="AC172" s="15" t="e">
        <f ca="1"/>
        <v>#N/A</v>
      </c>
      <c r="AD172" s="15" t="e">
        <f ca="1"/>
        <v>#N/A</v>
      </c>
      <c r="AE172" s="15" t="e">
        <f ca="1"/>
        <v>#N/A</v>
      </c>
      <c r="AF172" s="16" t="s">
        <v>346</v>
      </c>
      <c r="AG172" s="16"/>
      <c r="AH172" s="16"/>
    </row>
    <row r="173" spans="3:34" ht="20" customHeight="1" x14ac:dyDescent="0.25">
      <c r="U173" s="15" t="str">
        <f>TEXT(EDATE(X_Cell_Site_StartDate,9), "mmmm")</f>
        <v>September</v>
      </c>
      <c r="V173" s="15" t="e">
        <f ca="1"/>
        <v>#N/A</v>
      </c>
      <c r="W173" s="15" t="e">
        <f ca="1"/>
        <v>#N/A</v>
      </c>
      <c r="X173" s="15" t="e">
        <f ca="1"/>
        <v>#N/A</v>
      </c>
      <c r="Y173" s="15" t="e">
        <f ca="1"/>
        <v>#N/A</v>
      </c>
      <c r="Z173" s="15" t="e">
        <f ca="1"/>
        <v>#N/A</v>
      </c>
      <c r="AA173" s="15" t="e">
        <f ca="1"/>
        <v>#N/A</v>
      </c>
      <c r="AB173" s="15" t="e">
        <f ca="1"/>
        <v>#N/A</v>
      </c>
      <c r="AC173" s="15" t="e">
        <f ca="1"/>
        <v>#N/A</v>
      </c>
      <c r="AD173" s="15" t="e">
        <f ca="1"/>
        <v>#N/A</v>
      </c>
      <c r="AE173" s="15" t="e">
        <f ca="1"/>
        <v>#N/A</v>
      </c>
      <c r="AF173" s="16" t="s">
        <v>346</v>
      </c>
      <c r="AG173" s="16"/>
      <c r="AH173" s="16"/>
    </row>
    <row r="174" spans="3:34" ht="20" customHeight="1" x14ac:dyDescent="0.25">
      <c r="U174" s="15" t="str">
        <f>TEXT(EDATE(X_Cell_Site_StartDate,10), "mmmm")</f>
        <v>October</v>
      </c>
      <c r="V174" s="15" t="e">
        <f ca="1"/>
        <v>#N/A</v>
      </c>
      <c r="W174" s="15" t="e">
        <f ca="1"/>
        <v>#N/A</v>
      </c>
      <c r="X174" s="15" t="e">
        <f ca="1"/>
        <v>#N/A</v>
      </c>
      <c r="Y174" s="15" t="e">
        <f ca="1"/>
        <v>#N/A</v>
      </c>
      <c r="Z174" s="15" t="e">
        <f ca="1"/>
        <v>#N/A</v>
      </c>
      <c r="AA174" s="15" t="e">
        <f ca="1"/>
        <v>#N/A</v>
      </c>
      <c r="AB174" s="15" t="e">
        <f ca="1"/>
        <v>#N/A</v>
      </c>
      <c r="AC174" s="15" t="e">
        <f ca="1"/>
        <v>#N/A</v>
      </c>
      <c r="AD174" s="15" t="e">
        <f ca="1"/>
        <v>#N/A</v>
      </c>
      <c r="AE174" s="15" t="e">
        <f ca="1"/>
        <v>#N/A</v>
      </c>
      <c r="AF174" s="16" t="s">
        <v>346</v>
      </c>
      <c r="AG174" s="16"/>
      <c r="AH174" s="16"/>
    </row>
    <row r="175" spans="3:34" ht="20" customHeight="1" x14ac:dyDescent="0.25">
      <c r="C175" s="87"/>
      <c r="D175" s="87"/>
      <c r="E175" s="87"/>
      <c r="F175" s="87"/>
      <c r="G175" s="87"/>
      <c r="H175" s="87"/>
      <c r="I175" s="87"/>
      <c r="J175" s="87"/>
      <c r="K175" s="87"/>
      <c r="L175" s="87"/>
      <c r="M175" s="87"/>
      <c r="N175" s="87"/>
      <c r="O175" s="87"/>
      <c r="P175" s="87"/>
      <c r="Q175" s="87"/>
      <c r="R175" s="87"/>
      <c r="U175" s="15" t="str">
        <f>TEXT(EDATE(X_Cell_Site_StartDate,11), "mmmm")</f>
        <v>November</v>
      </c>
      <c r="V175" s="15" t="e">
        <f ca="1"/>
        <v>#N/A</v>
      </c>
      <c r="W175" s="15" t="e">
        <f ca="1"/>
        <v>#N/A</v>
      </c>
      <c r="X175" s="15" t="e">
        <f ca="1"/>
        <v>#N/A</v>
      </c>
      <c r="Y175" s="15" t="e">
        <f ca="1"/>
        <v>#N/A</v>
      </c>
      <c r="Z175" s="15" t="e">
        <f ca="1"/>
        <v>#N/A</v>
      </c>
      <c r="AA175" s="15" t="e">
        <f ca="1"/>
        <v>#N/A</v>
      </c>
      <c r="AB175" s="15" t="e">
        <f ca="1"/>
        <v>#N/A</v>
      </c>
      <c r="AC175" s="15" t="e">
        <f ca="1"/>
        <v>#N/A</v>
      </c>
      <c r="AD175" s="15" t="e">
        <f ca="1"/>
        <v>#N/A</v>
      </c>
      <c r="AE175" s="15" t="e">
        <f ca="1"/>
        <v>#N/A</v>
      </c>
      <c r="AF175" s="16" t="s">
        <v>346</v>
      </c>
      <c r="AG175" s="16"/>
      <c r="AH175" s="16"/>
    </row>
    <row r="176" spans="3:34" ht="20" customHeight="1" x14ac:dyDescent="0.25">
      <c r="D176" s="2" t="str" cm="1">
        <f t="array" ref="D176">MMS_PastureBeef_Soil_N2ODirect_Equations.VEERG_4_2_1_3__2_TotalNitrogenExcretedToPastureRangeAndPaddock_Title()</f>
        <v>Total nitrogen excreted to pasture, range and paddock</v>
      </c>
      <c r="AG176" s="16"/>
      <c r="AH176" s="16"/>
    </row>
    <row r="177" spans="4:34" ht="20" customHeight="1" x14ac:dyDescent="0.25">
      <c r="D177" s="17" t="str" cm="1">
        <f t="array" ref="D177">MMS_PastureBeef_Soil_N2ODirect_Equations.VEERG_4_2_1_3__2_TotalNitrogenExcretedToPastureRangeAndPaddock_Source()</f>
        <v>VEERG 2026: 4.2.1.3, Equation (2)</v>
      </c>
      <c r="U177" s="112" t="s">
        <v>467</v>
      </c>
      <c r="AH177" s="16"/>
    </row>
    <row r="178" spans="4:34" ht="20" customHeight="1" x14ac:dyDescent="0.25">
      <c r="D178" s="103" t="s">
        <v>372</v>
      </c>
      <c r="E178" s="103" t="str" cm="1">
        <f t="array" aca="1" ref="E178" ca="1">Common_InputFunctions.Utility_DisplayFunctionName($E$207)</f>
        <v>=MMS_PastureBeef_Soil_N2ODirect_Equations.VEERG_4_2_1_3__2_TotalNitrogenExcretedToPastureRangeAndPaddock</v>
      </c>
      <c r="U178" s="113" t="s">
        <v>468</v>
      </c>
      <c r="AH178" s="16"/>
    </row>
    <row r="179" spans="4:34" ht="20" customHeight="1" x14ac:dyDescent="0.25">
      <c r="U179" s="114" t="s">
        <v>75</v>
      </c>
      <c r="V179" s="114" t="s">
        <v>357</v>
      </c>
      <c r="W179" s="114" t="s">
        <v>326</v>
      </c>
      <c r="X179" s="114" t="s">
        <v>184</v>
      </c>
      <c r="Y179" s="114" t="s">
        <v>327</v>
      </c>
      <c r="Z179" s="114" t="s">
        <v>328</v>
      </c>
      <c r="AA179" s="114" t="s">
        <v>329</v>
      </c>
      <c r="AB179" s="114" t="s">
        <v>330</v>
      </c>
      <c r="AC179" s="114" t="s">
        <v>331</v>
      </c>
      <c r="AD179" s="114" t="s">
        <v>332</v>
      </c>
      <c r="AE179" s="114" t="s">
        <v>333</v>
      </c>
      <c r="AF179" s="114" t="s">
        <v>334</v>
      </c>
      <c r="AH179" s="16"/>
    </row>
    <row r="180" spans="4:34" ht="20" customHeight="1" x14ac:dyDescent="0.25">
      <c r="U180" s="15" t="str">
        <f>TEXT(X_Cell_Site_StartDate,"mmmm")</f>
        <v>January</v>
      </c>
      <c r="V180" s="15" t="str" cm="1">
        <f t="array" ref="V180">IFERROR(_xlfn.IFS(SUMPRODUCT(ISNUMBER(SEARCH(TRIM(_xlfn.TEXTSPLIT($U$92,",")),U180))*1)&gt;0,"Calving season",SUMPRODUCT(ISNUMBER(SEARCH(TRIM(_xlfn.TEXTSPLIT($U$93,",")),U180))*1)&gt;0,"Season after calving"), "")</f>
        <v>Season after calving</v>
      </c>
      <c r="W180" s="15" cm="1">
        <f t="array" ref="W180">_xlfn.XLOOKUP(1, (Table_SourceData_PastureBeef_FeedIntakeAdjustment_Variation[Breed]=$Z$158)*(Table_SourceData_PastureBeef_FeedIntakeAdjustment_Variation[Season]=$V180), Table_SourceData_PastureBeef_FeedIntakeAdjustment_Variation[Milk intake/production], 0)</f>
        <v>0</v>
      </c>
      <c r="X180" s="15">
        <v>0</v>
      </c>
      <c r="Y180" s="15" cm="1">
        <f t="array" ref="Y180">_xlfn.XLOOKUP(1, (Table_SourceData_PastureBeef_FeedIntakeAdjustment_Variation[Breed]=$Z$158)*(Table_SourceData_PastureBeef_FeedIntakeAdjustment_Variation[Season]=$V180), Table_SourceData_PastureBeef_FeedIntakeAdjustment_Variation[Milk intake/production], 0)</f>
        <v>0</v>
      </c>
      <c r="Z180" s="15">
        <v>0</v>
      </c>
      <c r="AA180" s="15">
        <v>0</v>
      </c>
      <c r="AB180" s="15">
        <v>0</v>
      </c>
      <c r="AC180" s="15" cm="1">
        <f t="array" ref="AC180">_xlfn.XLOOKUP(1, (Table_SourceData_PastureBeef_FeedIntakeAdjustment_Variation[Breed]=$Z$158)*(Table_SourceData_PastureBeef_FeedIntakeAdjustment_Variation[Season]=$V180), Table_SourceData_PastureBeef_FeedIntakeAdjustment_Variation[Milk intake/production], 0)</f>
        <v>0</v>
      </c>
      <c r="AD180" s="15">
        <v>0</v>
      </c>
      <c r="AE180" s="15">
        <v>0</v>
      </c>
      <c r="AF180" s="15">
        <v>0</v>
      </c>
      <c r="AG180" s="16" t="s">
        <v>344</v>
      </c>
    </row>
    <row r="181" spans="4:34" ht="20" customHeight="1" x14ac:dyDescent="0.25">
      <c r="D181" s="77" t="s">
        <v>374</v>
      </c>
      <c r="E181" s="1" t="str" cm="1">
        <f t="array" ref="E181">MMS_PastureBeef_Soil_N2ODirect_Equations.VEERG_4_2_1_3__2_TotalNitrogenExcretedToPastureRangeAndPaddock_Variable()</f>
        <v>AE</v>
      </c>
      <c r="U181" s="15" t="str">
        <f>TEXT(EDATE(X_Cell_Site_StartDate,1), "mmmm")</f>
        <v>January</v>
      </c>
      <c r="V181" s="15" t="str" cm="1">
        <f t="array" ref="V181">IFERROR(_xlfn.IFS(SUMPRODUCT(ISNUMBER(SEARCH(TRIM(_xlfn.TEXTSPLIT($U$92,",")),U181))*1)&gt;0,"Calving season",SUMPRODUCT(ISNUMBER(SEARCH(TRIM(_xlfn.TEXTSPLIT($U$93,",")),U181))*1)&gt;0,"Season after calving"), "")</f>
        <v>Season after calving</v>
      </c>
      <c r="W181" s="15" cm="1">
        <f t="array" ref="W181">_xlfn.XLOOKUP(1, (Table_SourceData_PastureBeef_FeedIntakeAdjustment_Variation[Breed]=$Z$158)*(Table_SourceData_PastureBeef_FeedIntakeAdjustment_Variation[Season]=$V181), Table_SourceData_PastureBeef_FeedIntakeAdjustment_Variation[Milk intake/production], 0)</f>
        <v>0</v>
      </c>
      <c r="X181" s="15">
        <v>0</v>
      </c>
      <c r="Y181" s="15" cm="1">
        <f t="array" ref="Y181">_xlfn.XLOOKUP(1, (Table_SourceData_PastureBeef_FeedIntakeAdjustment_Variation[Breed]=$Z$158)*(Table_SourceData_PastureBeef_FeedIntakeAdjustment_Variation[Season]=$V181), Table_SourceData_PastureBeef_FeedIntakeAdjustment_Variation[Milk intake/production], 0)</f>
        <v>0</v>
      </c>
      <c r="Z181" s="15">
        <v>0</v>
      </c>
      <c r="AA181" s="15">
        <v>0</v>
      </c>
      <c r="AB181" s="15">
        <v>0</v>
      </c>
      <c r="AC181" s="15" cm="1">
        <f t="array" ref="AC181">_xlfn.XLOOKUP(1, (Table_SourceData_PastureBeef_FeedIntakeAdjustment_Variation[Breed]=$Z$158)*(Table_SourceData_PastureBeef_FeedIntakeAdjustment_Variation[Season]=$V181), Table_SourceData_PastureBeef_FeedIntakeAdjustment_Variation[Milk intake/production], 0)</f>
        <v>0</v>
      </c>
      <c r="AD181" s="15">
        <v>0</v>
      </c>
      <c r="AE181" s="15">
        <v>0</v>
      </c>
      <c r="AF181" s="15">
        <v>0</v>
      </c>
      <c r="AG181" s="16" t="s">
        <v>344</v>
      </c>
    </row>
    <row r="182" spans="4:34" ht="20" customHeight="1" x14ac:dyDescent="0.25">
      <c r="D182" s="77" t="s">
        <v>121</v>
      </c>
      <c r="E182" s="9" t="str" cm="1">
        <f t="array" ref="E182">MMS_PastureBeef_Soil_N2ODirect_Equations.VEERG_4_2_1_3__2_TotalNitrogenExcretedToPastureRangeAndPaddock_Unit()</f>
        <v>kg N</v>
      </c>
      <c r="U182" s="15" t="str">
        <f>TEXT(EDATE(X_Cell_Site_StartDate,2), "mmmm")</f>
        <v>February</v>
      </c>
      <c r="V182" s="15" t="str" cm="1">
        <f t="array" ref="V182">IFERROR(_xlfn.IFS(SUMPRODUCT(ISNUMBER(SEARCH(TRIM(_xlfn.TEXTSPLIT($U$92,",")),U182))*1)&gt;0,"Calving season",SUMPRODUCT(ISNUMBER(SEARCH(TRIM(_xlfn.TEXTSPLIT($U$93,",")),U182))*1)&gt;0,"Season after calving"), "")</f>
        <v/>
      </c>
      <c r="W182" s="15" cm="1">
        <f t="array" ref="W182">_xlfn.XLOOKUP(1, (Table_SourceData_PastureBeef_FeedIntakeAdjustment_Variation[Breed]=$Z$158)*(Table_SourceData_PastureBeef_FeedIntakeAdjustment_Variation[Season]=$V182), Table_SourceData_PastureBeef_FeedIntakeAdjustment_Variation[Milk intake/production], 0)</f>
        <v>0</v>
      </c>
      <c r="X182" s="15">
        <v>0</v>
      </c>
      <c r="Y182" s="15" cm="1">
        <f t="array" ref="Y182">_xlfn.XLOOKUP(1, (Table_SourceData_PastureBeef_FeedIntakeAdjustment_Variation[Breed]=$Z$158)*(Table_SourceData_PastureBeef_FeedIntakeAdjustment_Variation[Season]=$V182), Table_SourceData_PastureBeef_FeedIntakeAdjustment_Variation[Milk intake/production], 0)</f>
        <v>0</v>
      </c>
      <c r="Z182" s="15">
        <v>0</v>
      </c>
      <c r="AA182" s="15">
        <v>0</v>
      </c>
      <c r="AB182" s="15">
        <v>0</v>
      </c>
      <c r="AC182" s="15" cm="1">
        <f t="array" ref="AC182">_xlfn.XLOOKUP(1, (Table_SourceData_PastureBeef_FeedIntakeAdjustment_Variation[Breed]=$Z$158)*(Table_SourceData_PastureBeef_FeedIntakeAdjustment_Variation[Season]=$V182), Table_SourceData_PastureBeef_FeedIntakeAdjustment_Variation[Milk intake/production], 0)</f>
        <v>0</v>
      </c>
      <c r="AD182" s="15">
        <v>0</v>
      </c>
      <c r="AE182" s="15">
        <v>0</v>
      </c>
      <c r="AF182" s="15">
        <v>0</v>
      </c>
      <c r="AG182" s="16" t="s">
        <v>344</v>
      </c>
    </row>
    <row r="183" spans="4:34" ht="20" customHeight="1" x14ac:dyDescent="0.25">
      <c r="U183" s="15" t="str">
        <f>TEXT(EDATE(X_Cell_Site_StartDate,3), "mmmm")</f>
        <v>March</v>
      </c>
      <c r="V183" s="15" t="str" cm="1">
        <f t="array" ref="V183">IFERROR(_xlfn.IFS(SUMPRODUCT(ISNUMBER(SEARCH(TRIM(_xlfn.TEXTSPLIT($U$92,",")),U183))*1)&gt;0,"Calving season",SUMPRODUCT(ISNUMBER(SEARCH(TRIM(_xlfn.TEXTSPLIT($U$93,",")),U183))*1)&gt;0,"Season after calving"), "")</f>
        <v/>
      </c>
      <c r="W183" s="15" cm="1">
        <f t="array" ref="W183">_xlfn.XLOOKUP(1, (Table_SourceData_PastureBeef_FeedIntakeAdjustment_Variation[Breed]=$Z$158)*(Table_SourceData_PastureBeef_FeedIntakeAdjustment_Variation[Season]=$V183), Table_SourceData_PastureBeef_FeedIntakeAdjustment_Variation[Milk intake/production], 0)</f>
        <v>0</v>
      </c>
      <c r="X183" s="15">
        <v>0</v>
      </c>
      <c r="Y183" s="15" cm="1">
        <f t="array" ref="Y183">_xlfn.XLOOKUP(1, (Table_SourceData_PastureBeef_FeedIntakeAdjustment_Variation[Breed]=$Z$158)*(Table_SourceData_PastureBeef_FeedIntakeAdjustment_Variation[Season]=$V183), Table_SourceData_PastureBeef_FeedIntakeAdjustment_Variation[Milk intake/production], 0)</f>
        <v>0</v>
      </c>
      <c r="Z183" s="15">
        <v>0</v>
      </c>
      <c r="AA183" s="15">
        <v>0</v>
      </c>
      <c r="AB183" s="15">
        <v>0</v>
      </c>
      <c r="AC183" s="15" cm="1">
        <f t="array" ref="AC183">_xlfn.XLOOKUP(1, (Table_SourceData_PastureBeef_FeedIntakeAdjustment_Variation[Breed]=$Z$158)*(Table_SourceData_PastureBeef_FeedIntakeAdjustment_Variation[Season]=$V183), Table_SourceData_PastureBeef_FeedIntakeAdjustment_Variation[Milk intake/production], 0)</f>
        <v>0</v>
      </c>
      <c r="AD183" s="15">
        <v>0</v>
      </c>
      <c r="AE183" s="15">
        <v>0</v>
      </c>
      <c r="AF183" s="15">
        <v>0</v>
      </c>
      <c r="AG183" s="16" t="s">
        <v>344</v>
      </c>
    </row>
    <row r="184" spans="4:34" ht="20" customHeight="1" x14ac:dyDescent="0.25">
      <c r="D184" s="105" t="str" cm="1">
        <f t="array" ref="D184:E186">_xlfn.CHOOSECOLS(MMS_PastureBeef_Soil_N2ODirect_Equations.VEERG_4_2_1_3__2_TotalNitrogenExcretedToPastureRangeAndPaddock_Arguments(),1,2)</f>
        <v>N_jkl</v>
      </c>
      <c r="E184" s="106" t="str">
        <v>number of beef cattle by time-period, class and subclass</v>
      </c>
      <c r="F184" s="108"/>
      <c r="G184" s="105" t="str" cm="1">
        <f t="array" ref="G184:H186">_xlfn.CHOOSECOLS(MMS_PastureBeef_Soil_N2ODirect_Equations.VEERG_4_2_1_3__2_TotalNitrogenExcretedToPastureRangeAndPaddock_Arguments(),3,4)</f>
        <v>head</v>
      </c>
      <c r="H184" s="109" t="str">
        <v>Input</v>
      </c>
      <c r="I184" s="111" t="str" cm="1">
        <f t="array" aca="1" ref="I184" ca="1">HYPERLINK(Common_InputFunctions.Utility_SourceHyperlink($D$188), $D$188)</f>
        <v>M1_Table_N_j_k_l</v>
      </c>
      <c r="U184" s="15" t="str">
        <f>TEXT(EDATE(X_Cell_Site_StartDate,4), "mmmm")</f>
        <v>April</v>
      </c>
      <c r="V184" s="15" t="str" cm="1">
        <f t="array" ref="V184">IFERROR(_xlfn.IFS(SUMPRODUCT(ISNUMBER(SEARCH(TRIM(_xlfn.TEXTSPLIT($U$92,",")),U184))*1)&gt;0,"Calving season",SUMPRODUCT(ISNUMBER(SEARCH(TRIM(_xlfn.TEXTSPLIT($U$93,",")),U184))*1)&gt;0,"Season after calving"), "")</f>
        <v/>
      </c>
      <c r="W184" s="15" cm="1">
        <f t="array" ref="W184">_xlfn.XLOOKUP(1, (Table_SourceData_PastureBeef_FeedIntakeAdjustment_Variation[Breed]=$Z$158)*(Table_SourceData_PastureBeef_FeedIntakeAdjustment_Variation[Season]=$V184), Table_SourceData_PastureBeef_FeedIntakeAdjustment_Variation[Milk intake/production], 0)</f>
        <v>0</v>
      </c>
      <c r="X184" s="15">
        <v>0</v>
      </c>
      <c r="Y184" s="15" cm="1">
        <f t="array" ref="Y184">_xlfn.XLOOKUP(1, (Table_SourceData_PastureBeef_FeedIntakeAdjustment_Variation[Breed]=$Z$158)*(Table_SourceData_PastureBeef_FeedIntakeAdjustment_Variation[Season]=$V184), Table_SourceData_PastureBeef_FeedIntakeAdjustment_Variation[Milk intake/production], 0)</f>
        <v>0</v>
      </c>
      <c r="Z184" s="15">
        <v>0</v>
      </c>
      <c r="AA184" s="15">
        <v>0</v>
      </c>
      <c r="AB184" s="15">
        <v>0</v>
      </c>
      <c r="AC184" s="15" cm="1">
        <f t="array" ref="AC184">_xlfn.XLOOKUP(1, (Table_SourceData_PastureBeef_FeedIntakeAdjustment_Variation[Breed]=$Z$158)*(Table_SourceData_PastureBeef_FeedIntakeAdjustment_Variation[Season]=$V184), Table_SourceData_PastureBeef_FeedIntakeAdjustment_Variation[Milk intake/production], 0)</f>
        <v>0</v>
      </c>
      <c r="AD184" s="15">
        <v>0</v>
      </c>
      <c r="AE184" s="15">
        <v>0</v>
      </c>
      <c r="AF184" s="15">
        <v>0</v>
      </c>
      <c r="AG184" s="16" t="s">
        <v>344</v>
      </c>
      <c r="AH184" s="16"/>
    </row>
    <row r="185" spans="4:34" ht="20" customHeight="1" x14ac:dyDescent="0.25">
      <c r="D185" s="105" t="str">
        <v>NE_jkl</v>
      </c>
      <c r="E185" s="106" t="str">
        <v>nitrogen excreted in each time-period, by each class and subclass</v>
      </c>
      <c r="F185" s="108"/>
      <c r="G185" s="105" t="str">
        <v>kg N/head/day</v>
      </c>
      <c r="H185" s="110" t="str">
        <v>Calculated from 4.2.1.3 (3)</v>
      </c>
      <c r="I185" s="111" t="str" cm="1">
        <f t="array" aca="1" ref="I185" ca="1">HYPERLINK(Common_InputFunctions.Utility_SourceHyperlink($D$166), $D$166)</f>
        <v>M1_Table_NE_j_k_l</v>
      </c>
      <c r="U185" s="15" t="str">
        <f>TEXT(EDATE(X_Cell_Site_StartDate,5), "mmmm")</f>
        <v>May</v>
      </c>
      <c r="V185" s="15" t="str" cm="1">
        <f t="array" ref="V185">IFERROR(_xlfn.IFS(SUMPRODUCT(ISNUMBER(SEARCH(TRIM(_xlfn.TEXTSPLIT($U$92,",")),U185))*1)&gt;0,"Calving season",SUMPRODUCT(ISNUMBER(SEARCH(TRIM(_xlfn.TEXTSPLIT($U$93,",")),U185))*1)&gt;0,"Season after calving"), "")</f>
        <v/>
      </c>
      <c r="W185" s="15" cm="1">
        <f t="array" ref="W185">_xlfn.XLOOKUP(1, (Table_SourceData_PastureBeef_FeedIntakeAdjustment_Variation[Breed]=$Z$158)*(Table_SourceData_PastureBeef_FeedIntakeAdjustment_Variation[Season]=$V185), Table_SourceData_PastureBeef_FeedIntakeAdjustment_Variation[Milk intake/production], 0)</f>
        <v>0</v>
      </c>
      <c r="X185" s="15">
        <v>0</v>
      </c>
      <c r="Y185" s="15" cm="1">
        <f t="array" ref="Y185">_xlfn.XLOOKUP(1, (Table_SourceData_PastureBeef_FeedIntakeAdjustment_Variation[Breed]=$Z$158)*(Table_SourceData_PastureBeef_FeedIntakeAdjustment_Variation[Season]=$V185), Table_SourceData_PastureBeef_FeedIntakeAdjustment_Variation[Milk intake/production], 0)</f>
        <v>0</v>
      </c>
      <c r="Z185" s="15">
        <v>0</v>
      </c>
      <c r="AA185" s="15">
        <v>0</v>
      </c>
      <c r="AB185" s="15">
        <v>0</v>
      </c>
      <c r="AC185" s="15" cm="1">
        <f t="array" ref="AC185">_xlfn.XLOOKUP(1, (Table_SourceData_PastureBeef_FeedIntakeAdjustment_Variation[Breed]=$Z$158)*(Table_SourceData_PastureBeef_FeedIntakeAdjustment_Variation[Season]=$V185), Table_SourceData_PastureBeef_FeedIntakeAdjustment_Variation[Milk intake/production], 0)</f>
        <v>0</v>
      </c>
      <c r="AD185" s="15">
        <v>0</v>
      </c>
      <c r="AE185" s="15">
        <v>0</v>
      </c>
      <c r="AF185" s="15">
        <v>0</v>
      </c>
      <c r="AG185" s="16" t="s">
        <v>344</v>
      </c>
      <c r="AH185" s="16"/>
    </row>
    <row r="186" spans="4:34" ht="20" customHeight="1" x14ac:dyDescent="0.25">
      <c r="D186" s="105" t="str">
        <v>D_j</v>
      </c>
      <c r="E186" s="106" t="str">
        <v>number of days in each time-period (days)</v>
      </c>
      <c r="F186" s="108"/>
      <c r="G186" s="105" t="str">
        <v>days</v>
      </c>
      <c r="H186" s="109" t="str">
        <v>Input</v>
      </c>
      <c r="I186" s="111" t="str" cm="1">
        <f t="array" aca="1" ref="I186" ca="1">HYPERLINK(Common_InputFunctions.Utility_SourceHyperlink($D$196), $D$196)</f>
        <v>M1_Table_D_j</v>
      </c>
      <c r="U186" s="15" t="str">
        <f>TEXT(EDATE(X_Cell_Site_StartDate,6), "mmmm")</f>
        <v>June</v>
      </c>
      <c r="V186" s="15" t="str" cm="1">
        <f t="array" ref="V186">IFERROR(_xlfn.IFS(SUMPRODUCT(ISNUMBER(SEARCH(TRIM(_xlfn.TEXTSPLIT($U$92,",")),U186))*1)&gt;0,"Calving season",SUMPRODUCT(ISNUMBER(SEARCH(TRIM(_xlfn.TEXTSPLIT($U$93,",")),U186))*1)&gt;0,"Season after calving"), "")</f>
        <v/>
      </c>
      <c r="W186" s="15" cm="1">
        <f t="array" ref="W186">_xlfn.XLOOKUP(1, (Table_SourceData_PastureBeef_FeedIntakeAdjustment_Variation[Breed]=$Z$158)*(Table_SourceData_PastureBeef_FeedIntakeAdjustment_Variation[Season]=$V186), Table_SourceData_PastureBeef_FeedIntakeAdjustment_Variation[Milk intake/production], 0)</f>
        <v>0</v>
      </c>
      <c r="X186" s="15">
        <v>0</v>
      </c>
      <c r="Y186" s="15" cm="1">
        <f t="array" ref="Y186">_xlfn.XLOOKUP(1, (Table_SourceData_PastureBeef_FeedIntakeAdjustment_Variation[Breed]=$Z$158)*(Table_SourceData_PastureBeef_FeedIntakeAdjustment_Variation[Season]=$V186), Table_SourceData_PastureBeef_FeedIntakeAdjustment_Variation[Milk intake/production], 0)</f>
        <v>0</v>
      </c>
      <c r="Z186" s="15">
        <v>0</v>
      </c>
      <c r="AA186" s="15">
        <v>0</v>
      </c>
      <c r="AB186" s="15">
        <v>0</v>
      </c>
      <c r="AC186" s="15" cm="1">
        <f t="array" ref="AC186">_xlfn.XLOOKUP(1, (Table_SourceData_PastureBeef_FeedIntakeAdjustment_Variation[Breed]=$Z$158)*(Table_SourceData_PastureBeef_FeedIntakeAdjustment_Variation[Season]=$V186), Table_SourceData_PastureBeef_FeedIntakeAdjustment_Variation[Milk intake/production], 0)</f>
        <v>0</v>
      </c>
      <c r="AD186" s="15">
        <v>0</v>
      </c>
      <c r="AE186" s="15">
        <v>0</v>
      </c>
      <c r="AF186" s="15">
        <v>0</v>
      </c>
      <c r="AG186" s="16" t="s">
        <v>344</v>
      </c>
      <c r="AH186" s="16"/>
    </row>
    <row r="187" spans="4:34" ht="20" customHeight="1" x14ac:dyDescent="0.25">
      <c r="U187" s="15" t="str">
        <f>TEXT(EDATE(X_Cell_Site_StartDate,7), "mmmm")</f>
        <v>July</v>
      </c>
      <c r="V187" s="15" t="str" cm="1">
        <f t="array" ref="V187">IFERROR(_xlfn.IFS(SUMPRODUCT(ISNUMBER(SEARCH(TRIM(_xlfn.TEXTSPLIT($U$92,",")),U187))*1)&gt;0,"Calving season",SUMPRODUCT(ISNUMBER(SEARCH(TRIM(_xlfn.TEXTSPLIT($U$93,",")),U187))*1)&gt;0,"Season after calving"), "")</f>
        <v/>
      </c>
      <c r="W187" s="15" cm="1">
        <f t="array" ref="W187">_xlfn.XLOOKUP(1, (Table_SourceData_PastureBeef_FeedIntakeAdjustment_Variation[Breed]=$Z$158)*(Table_SourceData_PastureBeef_FeedIntakeAdjustment_Variation[Season]=$V187), Table_SourceData_PastureBeef_FeedIntakeAdjustment_Variation[Milk intake/production], 0)</f>
        <v>0</v>
      </c>
      <c r="X187" s="15">
        <v>0</v>
      </c>
      <c r="Y187" s="15" cm="1">
        <f t="array" ref="Y187">_xlfn.XLOOKUP(1, (Table_SourceData_PastureBeef_FeedIntakeAdjustment_Variation[Breed]=$Z$158)*(Table_SourceData_PastureBeef_FeedIntakeAdjustment_Variation[Season]=$V187), Table_SourceData_PastureBeef_FeedIntakeAdjustment_Variation[Milk intake/production], 0)</f>
        <v>0</v>
      </c>
      <c r="Z187" s="15">
        <v>0</v>
      </c>
      <c r="AA187" s="15">
        <v>0</v>
      </c>
      <c r="AB187" s="15">
        <v>0</v>
      </c>
      <c r="AC187" s="15" cm="1">
        <f t="array" ref="AC187">_xlfn.XLOOKUP(1, (Table_SourceData_PastureBeef_FeedIntakeAdjustment_Variation[Breed]=$Z$158)*(Table_SourceData_PastureBeef_FeedIntakeAdjustment_Variation[Season]=$V187), Table_SourceData_PastureBeef_FeedIntakeAdjustment_Variation[Milk intake/production], 0)</f>
        <v>0</v>
      </c>
      <c r="AD187" s="15">
        <v>0</v>
      </c>
      <c r="AE187" s="15">
        <v>0</v>
      </c>
      <c r="AF187" s="15">
        <v>0</v>
      </c>
      <c r="AG187" s="16" t="s">
        <v>344</v>
      </c>
      <c r="AH187" s="16"/>
    </row>
    <row r="188" spans="4:34" ht="20" customHeight="1" x14ac:dyDescent="0.25">
      <c r="D188" s="112" t="s">
        <v>422</v>
      </c>
      <c r="U188" s="15" t="str">
        <f>TEXT(EDATE(X_Cell_Site_StartDate,8), "mmmm")</f>
        <v>August</v>
      </c>
      <c r="V188" s="15" t="str" cm="1">
        <f t="array" ref="V188">IFERROR(_xlfn.IFS(SUMPRODUCT(ISNUMBER(SEARCH(TRIM(_xlfn.TEXTSPLIT($U$92,",")),U188))*1)&gt;0,"Calving season",SUMPRODUCT(ISNUMBER(SEARCH(TRIM(_xlfn.TEXTSPLIT($U$93,",")),U188))*1)&gt;0,"Season after calving"), "")</f>
        <v>Calving season</v>
      </c>
      <c r="W188" s="15" cm="1">
        <f t="array" ref="W188">_xlfn.XLOOKUP(1, (Table_SourceData_PastureBeef_FeedIntakeAdjustment_Variation[Breed]=$Z$158)*(Table_SourceData_PastureBeef_FeedIntakeAdjustment_Variation[Season]=$V188), Table_SourceData_PastureBeef_FeedIntakeAdjustment_Variation[Milk intake/production], 0)</f>
        <v>0</v>
      </c>
      <c r="X188" s="15">
        <v>0</v>
      </c>
      <c r="Y188" s="15" cm="1">
        <f t="array" ref="Y188">_xlfn.XLOOKUP(1, (Table_SourceData_PastureBeef_FeedIntakeAdjustment_Variation[Breed]=$Z$158)*(Table_SourceData_PastureBeef_FeedIntakeAdjustment_Variation[Season]=$V188), Table_SourceData_PastureBeef_FeedIntakeAdjustment_Variation[Milk intake/production], 0)</f>
        <v>0</v>
      </c>
      <c r="Z188" s="15">
        <v>0</v>
      </c>
      <c r="AA188" s="15">
        <v>0</v>
      </c>
      <c r="AB188" s="15">
        <v>0</v>
      </c>
      <c r="AC188" s="15" cm="1">
        <f t="array" ref="AC188">_xlfn.XLOOKUP(1, (Table_SourceData_PastureBeef_FeedIntakeAdjustment_Variation[Breed]=$Z$158)*(Table_SourceData_PastureBeef_FeedIntakeAdjustment_Variation[Season]=$V188), Table_SourceData_PastureBeef_FeedIntakeAdjustment_Variation[Milk intake/production], 0)</f>
        <v>0</v>
      </c>
      <c r="AD188" s="15">
        <v>0</v>
      </c>
      <c r="AE188" s="15">
        <v>0</v>
      </c>
      <c r="AF188" s="15">
        <v>0</v>
      </c>
      <c r="AG188" s="16" t="s">
        <v>344</v>
      </c>
    </row>
    <row r="189" spans="4:34" ht="20" customHeight="1" x14ac:dyDescent="0.25">
      <c r="D189" s="113" t="s">
        <v>424</v>
      </c>
      <c r="U189" s="15" t="str">
        <f>TEXT(EDATE(X_Cell_Site_StartDate,9), "mmmm")</f>
        <v>September</v>
      </c>
      <c r="V189" s="15" t="str" cm="1">
        <f t="array" ref="V189">IFERROR(_xlfn.IFS(SUMPRODUCT(ISNUMBER(SEARCH(TRIM(_xlfn.TEXTSPLIT($U$92,",")),U189))*1)&gt;0,"Calving season",SUMPRODUCT(ISNUMBER(SEARCH(TRIM(_xlfn.TEXTSPLIT($U$93,",")),U189))*1)&gt;0,"Season after calving"), "")</f>
        <v>Calving season</v>
      </c>
      <c r="W189" s="15" cm="1">
        <f t="array" ref="W189">_xlfn.XLOOKUP(1, (Table_SourceData_PastureBeef_FeedIntakeAdjustment_Variation[Breed]=$Z$158)*(Table_SourceData_PastureBeef_FeedIntakeAdjustment_Variation[Season]=$V189), Table_SourceData_PastureBeef_FeedIntakeAdjustment_Variation[Milk intake/production], 0)</f>
        <v>0</v>
      </c>
      <c r="X189" s="15">
        <v>0</v>
      </c>
      <c r="Y189" s="15" cm="1">
        <f t="array" ref="Y189">_xlfn.XLOOKUP(1, (Table_SourceData_PastureBeef_FeedIntakeAdjustment_Variation[Breed]=$Z$158)*(Table_SourceData_PastureBeef_FeedIntakeAdjustment_Variation[Season]=$V189), Table_SourceData_PastureBeef_FeedIntakeAdjustment_Variation[Milk intake/production], 0)</f>
        <v>0</v>
      </c>
      <c r="Z189" s="15">
        <v>0</v>
      </c>
      <c r="AA189" s="15">
        <v>0</v>
      </c>
      <c r="AB189" s="15">
        <v>0</v>
      </c>
      <c r="AC189" s="15" cm="1">
        <f t="array" ref="AC189">_xlfn.XLOOKUP(1, (Table_SourceData_PastureBeef_FeedIntakeAdjustment_Variation[Breed]=$Z$158)*(Table_SourceData_PastureBeef_FeedIntakeAdjustment_Variation[Season]=$V189), Table_SourceData_PastureBeef_FeedIntakeAdjustment_Variation[Milk intake/production], 0)</f>
        <v>0</v>
      </c>
      <c r="AD189" s="15">
        <v>0</v>
      </c>
      <c r="AE189" s="15">
        <v>0</v>
      </c>
      <c r="AF189" s="15">
        <v>0</v>
      </c>
      <c r="AG189" s="16" t="s">
        <v>344</v>
      </c>
    </row>
    <row r="190" spans="4:34" ht="20" customHeight="1" x14ac:dyDescent="0.25">
      <c r="D190" s="114" t="s">
        <v>76</v>
      </c>
      <c r="E190" s="82" t="s">
        <v>326</v>
      </c>
      <c r="F190" s="82" t="s">
        <v>184</v>
      </c>
      <c r="G190" s="82" t="s">
        <v>327</v>
      </c>
      <c r="H190" s="82" t="s">
        <v>328</v>
      </c>
      <c r="I190" s="82" t="s">
        <v>329</v>
      </c>
      <c r="J190" s="82" t="s">
        <v>330</v>
      </c>
      <c r="K190" s="82" t="s">
        <v>331</v>
      </c>
      <c r="L190" s="82" t="s">
        <v>332</v>
      </c>
      <c r="M190" s="82" t="s">
        <v>333</v>
      </c>
      <c r="N190" s="82" t="s">
        <v>334</v>
      </c>
      <c r="U190" s="15" t="str">
        <f>TEXT(EDATE(X_Cell_Site_StartDate,10), "mmmm")</f>
        <v>October</v>
      </c>
      <c r="V190" s="15" t="str" cm="1">
        <f t="array" ref="V190">IFERROR(_xlfn.IFS(SUMPRODUCT(ISNUMBER(SEARCH(TRIM(_xlfn.TEXTSPLIT($U$92,",")),U190))*1)&gt;0,"Calving season",SUMPRODUCT(ISNUMBER(SEARCH(TRIM(_xlfn.TEXTSPLIT($U$93,",")),U190))*1)&gt;0,"Season after calving"), "")</f>
        <v>Calving season</v>
      </c>
      <c r="W190" s="15" cm="1">
        <f t="array" ref="W190">_xlfn.XLOOKUP(1, (Table_SourceData_PastureBeef_FeedIntakeAdjustment_Variation[Breed]=$Z$158)*(Table_SourceData_PastureBeef_FeedIntakeAdjustment_Variation[Season]=$V190), Table_SourceData_PastureBeef_FeedIntakeAdjustment_Variation[Milk intake/production], 0)</f>
        <v>0</v>
      </c>
      <c r="X190" s="15">
        <v>0</v>
      </c>
      <c r="Y190" s="15" cm="1">
        <f t="array" ref="Y190">_xlfn.XLOOKUP(1, (Table_SourceData_PastureBeef_FeedIntakeAdjustment_Variation[Breed]=$Z$158)*(Table_SourceData_PastureBeef_FeedIntakeAdjustment_Variation[Season]=$V190), Table_SourceData_PastureBeef_FeedIntakeAdjustment_Variation[Milk intake/production], 0)</f>
        <v>0</v>
      </c>
      <c r="Z190" s="15">
        <v>0</v>
      </c>
      <c r="AA190" s="15">
        <v>0</v>
      </c>
      <c r="AB190" s="15">
        <v>0</v>
      </c>
      <c r="AC190" s="15" cm="1">
        <f t="array" ref="AC190">_xlfn.XLOOKUP(1, (Table_SourceData_PastureBeef_FeedIntakeAdjustment_Variation[Breed]=$Z$158)*(Table_SourceData_PastureBeef_FeedIntakeAdjustment_Variation[Season]=$V190), Table_SourceData_PastureBeef_FeedIntakeAdjustment_Variation[Milk intake/production], 0)</f>
        <v>0</v>
      </c>
      <c r="AD190" s="15">
        <v>0</v>
      </c>
      <c r="AE190" s="15">
        <v>0</v>
      </c>
      <c r="AF190" s="15">
        <v>0</v>
      </c>
      <c r="AG190" s="16" t="s">
        <v>344</v>
      </c>
    </row>
    <row r="191" spans="4:34" ht="20" customHeight="1" x14ac:dyDescent="0.25">
      <c r="D191" s="15" t="s">
        <v>335</v>
      </c>
      <c r="E191" s="15" cm="1">
        <f t="array" aca="1" ref="E191:N194" ca="1">OFFSET(X_Table_PastureBeef_Head_Method1, 1,1, 4,10)</f>
        <v>0</v>
      </c>
      <c r="F191" s="15">
        <f ca="1"/>
        <v>0</v>
      </c>
      <c r="G191" s="15">
        <f ca="1"/>
        <v>0</v>
      </c>
      <c r="H191" s="15">
        <f ca="1"/>
        <v>0</v>
      </c>
      <c r="I191" s="15">
        <f ca="1"/>
        <v>0</v>
      </c>
      <c r="J191" s="15">
        <f ca="1"/>
        <v>0</v>
      </c>
      <c r="K191" s="15">
        <f ca="1"/>
        <v>0</v>
      </c>
      <c r="L191" s="15">
        <f ca="1"/>
        <v>0</v>
      </c>
      <c r="M191" s="15">
        <f ca="1"/>
        <v>0</v>
      </c>
      <c r="N191" s="15">
        <f ca="1"/>
        <v>0</v>
      </c>
      <c r="O191" s="16" t="s">
        <v>426</v>
      </c>
      <c r="U191" s="15" t="str">
        <f>TEXT(EDATE(X_Cell_Site_StartDate,11), "mmmm")</f>
        <v>November</v>
      </c>
      <c r="V191" s="15" t="str" cm="1">
        <f t="array" ref="V191">IFERROR(_xlfn.IFS(SUMPRODUCT(ISNUMBER(SEARCH(TRIM(_xlfn.TEXTSPLIT($U$92,",")),U191))*1)&gt;0,"Calving season",SUMPRODUCT(ISNUMBER(SEARCH(TRIM(_xlfn.TEXTSPLIT($U$93,",")),U191))*1)&gt;0,"Season after calving"), "")</f>
        <v>Season after calving</v>
      </c>
      <c r="W191" s="15" cm="1">
        <f t="array" ref="W191">_xlfn.XLOOKUP(1, (Table_SourceData_PastureBeef_FeedIntakeAdjustment_Variation[Breed]=$Z$158)*(Table_SourceData_PastureBeef_FeedIntakeAdjustment_Variation[Season]=$V191), Table_SourceData_PastureBeef_FeedIntakeAdjustment_Variation[Milk intake/production], 0)</f>
        <v>0</v>
      </c>
      <c r="X191" s="15">
        <v>0</v>
      </c>
      <c r="Y191" s="15" cm="1">
        <f t="array" ref="Y191">_xlfn.XLOOKUP(1, (Table_SourceData_PastureBeef_FeedIntakeAdjustment_Variation[Breed]=$Z$158)*(Table_SourceData_PastureBeef_FeedIntakeAdjustment_Variation[Season]=$V191), Table_SourceData_PastureBeef_FeedIntakeAdjustment_Variation[Milk intake/production], 0)</f>
        <v>0</v>
      </c>
      <c r="Z191" s="15">
        <v>0</v>
      </c>
      <c r="AA191" s="15">
        <v>0</v>
      </c>
      <c r="AB191" s="15">
        <v>0</v>
      </c>
      <c r="AC191" s="15" cm="1">
        <f t="array" ref="AC191">_xlfn.XLOOKUP(1, (Table_SourceData_PastureBeef_FeedIntakeAdjustment_Variation[Breed]=$Z$158)*(Table_SourceData_PastureBeef_FeedIntakeAdjustment_Variation[Season]=$V191), Table_SourceData_PastureBeef_FeedIntakeAdjustment_Variation[Milk intake/production], 0)</f>
        <v>0</v>
      </c>
      <c r="AD191" s="15">
        <v>0</v>
      </c>
      <c r="AE191" s="15">
        <v>0</v>
      </c>
      <c r="AF191" s="15">
        <v>0</v>
      </c>
      <c r="AG191" s="16" t="s">
        <v>344</v>
      </c>
    </row>
    <row r="192" spans="4:34" ht="20" customHeight="1" x14ac:dyDescent="0.25">
      <c r="D192" s="15" t="s">
        <v>336</v>
      </c>
      <c r="E192" s="15">
        <f ca="1"/>
        <v>0</v>
      </c>
      <c r="F192" s="15">
        <f ca="1"/>
        <v>0</v>
      </c>
      <c r="G192" s="15">
        <f ca="1"/>
        <v>0</v>
      </c>
      <c r="H192" s="15">
        <f ca="1"/>
        <v>0</v>
      </c>
      <c r="I192" s="15">
        <f ca="1"/>
        <v>0</v>
      </c>
      <c r="J192" s="15">
        <f ca="1"/>
        <v>0</v>
      </c>
      <c r="K192" s="15">
        <f ca="1"/>
        <v>0</v>
      </c>
      <c r="L192" s="15">
        <f ca="1"/>
        <v>0</v>
      </c>
      <c r="M192" s="15">
        <f ca="1"/>
        <v>0</v>
      </c>
      <c r="N192" s="15">
        <f ca="1"/>
        <v>0</v>
      </c>
      <c r="O192" s="16" t="s">
        <v>426</v>
      </c>
    </row>
    <row r="193" spans="4:34" ht="20" customHeight="1" x14ac:dyDescent="0.25">
      <c r="D193" s="15" t="s">
        <v>337</v>
      </c>
      <c r="E193" s="15">
        <f ca="1"/>
        <v>0</v>
      </c>
      <c r="F193" s="15">
        <f ca="1"/>
        <v>0</v>
      </c>
      <c r="G193" s="15">
        <f ca="1"/>
        <v>0</v>
      </c>
      <c r="H193" s="15">
        <f ca="1"/>
        <v>0</v>
      </c>
      <c r="I193" s="15">
        <f ca="1"/>
        <v>0</v>
      </c>
      <c r="J193" s="15">
        <f ca="1"/>
        <v>0</v>
      </c>
      <c r="K193" s="15">
        <f ca="1"/>
        <v>0</v>
      </c>
      <c r="L193" s="15">
        <f ca="1"/>
        <v>0</v>
      </c>
      <c r="M193" s="15">
        <f ca="1"/>
        <v>0</v>
      </c>
      <c r="N193" s="15">
        <f ca="1"/>
        <v>0</v>
      </c>
      <c r="O193" s="16" t="s">
        <v>426</v>
      </c>
      <c r="U193" s="112" t="s">
        <v>469</v>
      </c>
    </row>
    <row r="194" spans="4:34" ht="20" customHeight="1" x14ac:dyDescent="0.25">
      <c r="D194" s="15" t="s">
        <v>338</v>
      </c>
      <c r="E194" s="15">
        <f ca="1"/>
        <v>0</v>
      </c>
      <c r="F194" s="15">
        <f ca="1"/>
        <v>0</v>
      </c>
      <c r="G194" s="15">
        <f ca="1"/>
        <v>0</v>
      </c>
      <c r="H194" s="15">
        <f ca="1"/>
        <v>0</v>
      </c>
      <c r="I194" s="15">
        <f ca="1"/>
        <v>0</v>
      </c>
      <c r="J194" s="15">
        <f ca="1"/>
        <v>0</v>
      </c>
      <c r="K194" s="15">
        <f ca="1"/>
        <v>0</v>
      </c>
      <c r="L194" s="15">
        <f ca="1"/>
        <v>0</v>
      </c>
      <c r="M194" s="15">
        <f ca="1"/>
        <v>0</v>
      </c>
      <c r="N194" s="15">
        <f ca="1"/>
        <v>0</v>
      </c>
      <c r="O194" s="16" t="s">
        <v>426</v>
      </c>
      <c r="U194" s="113" t="s">
        <v>470</v>
      </c>
    </row>
    <row r="195" spans="4:34" ht="20" customHeight="1" x14ac:dyDescent="0.25">
      <c r="U195" s="114" t="s">
        <v>75</v>
      </c>
      <c r="V195" s="114" t="s">
        <v>326</v>
      </c>
      <c r="W195" s="114" t="s">
        <v>184</v>
      </c>
      <c r="X195" s="114" t="s">
        <v>327</v>
      </c>
      <c r="Y195" s="114" t="s">
        <v>328</v>
      </c>
      <c r="Z195" s="114" t="s">
        <v>329</v>
      </c>
      <c r="AA195" s="114" t="s">
        <v>330</v>
      </c>
      <c r="AB195" s="114" t="s">
        <v>331</v>
      </c>
      <c r="AC195" s="114" t="s">
        <v>332</v>
      </c>
      <c r="AD195" s="114" t="s">
        <v>333</v>
      </c>
      <c r="AE195" s="114" t="s">
        <v>334</v>
      </c>
    </row>
    <row r="196" spans="4:34" ht="20" customHeight="1" x14ac:dyDescent="0.25">
      <c r="D196" s="112" t="s">
        <v>427</v>
      </c>
      <c r="U196" s="15" t="str">
        <f>TEXT(X_Cell_Site_StartDate,"mmmm")</f>
        <v>January</v>
      </c>
      <c r="V196" s="15" t="e" cm="1">
        <f t="array" aca="1" ref="V196" ca="1">MMS_PastureBeef_Soil_N2ODirect_Equations.VEERG_4_2_1_3__3_NitrogenExcreted(V56,V164,W180,V136,V20)</f>
        <v>#N/A</v>
      </c>
      <c r="W196" s="15" t="e" cm="1">
        <f t="array" aca="1" ref="W196" ca="1">MMS_PastureBeef_Soil_N2ODirect_Equations.VEERG_4_2_1_3__3_NitrogenExcreted(W56,W164,X180,W136,W20)</f>
        <v>#N/A</v>
      </c>
      <c r="X196" s="15" t="e" cm="1">
        <f t="array" aca="1" ref="X196" ca="1">MMS_PastureBeef_Soil_N2ODirect_Equations.VEERG_4_2_1_3__3_NitrogenExcreted(X56,X164,Y180,X136,X20)</f>
        <v>#N/A</v>
      </c>
      <c r="Y196" s="15" t="e" cm="1">
        <f t="array" aca="1" ref="Y196" ca="1">MMS_PastureBeef_Soil_N2ODirect_Equations.VEERG_4_2_1_3__3_NitrogenExcreted(Y56,Y164,Z180,Y136,Y20)</f>
        <v>#N/A</v>
      </c>
      <c r="Z196" s="15" t="e" cm="1">
        <f t="array" aca="1" ref="Z196" ca="1">MMS_PastureBeef_Soil_N2ODirect_Equations.VEERG_4_2_1_3__3_NitrogenExcreted(Z56,Z164,AA180,Z136,Z20)</f>
        <v>#N/A</v>
      </c>
      <c r="AA196" s="15" t="e" cm="1">
        <f t="array" aca="1" ref="AA196" ca="1">MMS_PastureBeef_Soil_N2ODirect_Equations.VEERG_4_2_1_3__3_NitrogenExcreted(AA56,AA164,AB180,AA136,AA20)</f>
        <v>#N/A</v>
      </c>
      <c r="AB196" s="15" t="e" cm="1">
        <f t="array" aca="1" ref="AB196" ca="1">MMS_PastureBeef_Soil_N2ODirect_Equations.VEERG_4_2_1_3__3_NitrogenExcreted(AB56,AB164,AC180,AB136,AB20)</f>
        <v>#N/A</v>
      </c>
      <c r="AC196" s="15" t="e" cm="1">
        <f t="array" aca="1" ref="AC196" ca="1">MMS_PastureBeef_Soil_N2ODirect_Equations.VEERG_4_2_1_3__3_NitrogenExcreted(AC56,AC164,AD180,AC136,AC20)</f>
        <v>#N/A</v>
      </c>
      <c r="AD196" s="15" t="e" cm="1">
        <f t="array" aca="1" ref="AD196" ca="1">MMS_PastureBeef_Soil_N2ODirect_Equations.VEERG_4_2_1_3__3_NitrogenExcreted(AD56,AD164,AE180,AD136,AD20)</f>
        <v>#N/A</v>
      </c>
      <c r="AE196" s="15" t="e" cm="1">
        <f t="array" aca="1" ref="AE196" ca="1">MMS_PastureBeef_Soil_N2ODirect_Equations.VEERG_4_2_1_3__3_NitrogenExcreted(AE56,AE164,AF180,AE136,AE20)</f>
        <v>#N/A</v>
      </c>
      <c r="AF196" s="16" t="str">
        <f t="shared" ref="AF196:AF207" si="9">$E$140</f>
        <v>kg N/head/day</v>
      </c>
      <c r="AG196" s="16"/>
      <c r="AH196" s="16"/>
    </row>
    <row r="197" spans="4:34" ht="20" customHeight="1" x14ac:dyDescent="0.25">
      <c r="D197" s="113" t="s">
        <v>428</v>
      </c>
      <c r="U197" s="15" t="str">
        <f>TEXT(EDATE(X_Cell_Site_StartDate,1), "mmmm")</f>
        <v>January</v>
      </c>
      <c r="V197" s="15" t="e" cm="1">
        <f t="array" aca="1" ref="V197" ca="1">MMS_PastureBeef_Soil_N2ODirect_Equations.VEERG_4_2_1_3__3_NitrogenExcreted(V57,V165,W181,V137,V21)</f>
        <v>#N/A</v>
      </c>
      <c r="W197" s="15" t="e" cm="1">
        <f t="array" aca="1" ref="W197" ca="1">MMS_PastureBeef_Soil_N2ODirect_Equations.VEERG_4_2_1_3__3_NitrogenExcreted(W57,W165,X181,W137,W21)</f>
        <v>#N/A</v>
      </c>
      <c r="X197" s="15" t="e" cm="1">
        <f t="array" aca="1" ref="X197" ca="1">MMS_PastureBeef_Soil_N2ODirect_Equations.VEERG_4_2_1_3__3_NitrogenExcreted(X57,X165,Y181,X137,X21)</f>
        <v>#N/A</v>
      </c>
      <c r="Y197" s="15" t="e" cm="1">
        <f t="array" aca="1" ref="Y197" ca="1">MMS_PastureBeef_Soil_N2ODirect_Equations.VEERG_4_2_1_3__3_NitrogenExcreted(Y57,Y165,Z181,Y137,Y21)</f>
        <v>#N/A</v>
      </c>
      <c r="Z197" s="15" t="e" cm="1">
        <f t="array" aca="1" ref="Z197" ca="1">MMS_PastureBeef_Soil_N2ODirect_Equations.VEERG_4_2_1_3__3_NitrogenExcreted(Z57,Z165,AA181,Z137,Z21)</f>
        <v>#N/A</v>
      </c>
      <c r="AA197" s="15" t="e" cm="1">
        <f t="array" aca="1" ref="AA197" ca="1">MMS_PastureBeef_Soil_N2ODirect_Equations.VEERG_4_2_1_3__3_NitrogenExcreted(AA57,AA165,AB181,AA137,AA21)</f>
        <v>#N/A</v>
      </c>
      <c r="AB197" s="15" t="e" cm="1">
        <f t="array" aca="1" ref="AB197" ca="1">MMS_PastureBeef_Soil_N2ODirect_Equations.VEERG_4_2_1_3__3_NitrogenExcreted(AB57,AB165,AC181,AB137,AB21)</f>
        <v>#N/A</v>
      </c>
      <c r="AC197" s="15" t="e" cm="1">
        <f t="array" aca="1" ref="AC197" ca="1">MMS_PastureBeef_Soil_N2ODirect_Equations.VEERG_4_2_1_3__3_NitrogenExcreted(AC57,AC165,AD181,AC137,AC21)</f>
        <v>#N/A</v>
      </c>
      <c r="AD197" s="15" t="e" cm="1">
        <f t="array" aca="1" ref="AD197" ca="1">MMS_PastureBeef_Soil_N2ODirect_Equations.VEERG_4_2_1_3__3_NitrogenExcreted(AD57,AD165,AE181,AD137,AD21)</f>
        <v>#N/A</v>
      </c>
      <c r="AE197" s="15" t="e" cm="1">
        <f t="array" aca="1" ref="AE197" ca="1">MMS_PastureBeef_Soil_N2ODirect_Equations.VEERG_4_2_1_3__3_NitrogenExcreted(AE57,AE165,AF181,AE137,AE21)</f>
        <v>#N/A</v>
      </c>
      <c r="AF197" s="16" t="str">
        <f t="shared" si="9"/>
        <v>kg N/head/day</v>
      </c>
      <c r="AG197" s="16"/>
      <c r="AH197" s="16"/>
    </row>
    <row r="198" spans="4:34" ht="20" customHeight="1" x14ac:dyDescent="0.25">
      <c r="D198" s="114" t="s">
        <v>76</v>
      </c>
      <c r="E198" s="82" t="s">
        <v>326</v>
      </c>
      <c r="F198" s="82" t="s">
        <v>184</v>
      </c>
      <c r="G198" s="82" t="s">
        <v>327</v>
      </c>
      <c r="H198" s="82" t="s">
        <v>328</v>
      </c>
      <c r="I198" s="82" t="s">
        <v>329</v>
      </c>
      <c r="J198" s="82" t="s">
        <v>330</v>
      </c>
      <c r="K198" s="82" t="s">
        <v>331</v>
      </c>
      <c r="L198" s="82" t="s">
        <v>332</v>
      </c>
      <c r="M198" s="82" t="s">
        <v>333</v>
      </c>
      <c r="N198" s="82" t="s">
        <v>334</v>
      </c>
      <c r="U198" s="15" t="str">
        <f>TEXT(EDATE(X_Cell_Site_StartDate,2), "mmmm")</f>
        <v>February</v>
      </c>
      <c r="V198" s="15" t="e" cm="1">
        <f t="array" aca="1" ref="V198" ca="1">MMS_PastureBeef_Soil_N2ODirect_Equations.VEERG_4_2_1_3__3_NitrogenExcreted(V58,V166,W182,V138,V22)</f>
        <v>#N/A</v>
      </c>
      <c r="W198" s="15" t="e" cm="1">
        <f t="array" aca="1" ref="W198" ca="1">MMS_PastureBeef_Soil_N2ODirect_Equations.VEERG_4_2_1_3__3_NitrogenExcreted(W58,W166,X182,W138,W22)</f>
        <v>#N/A</v>
      </c>
      <c r="X198" s="15" t="e" cm="1">
        <f t="array" aca="1" ref="X198" ca="1">MMS_PastureBeef_Soil_N2ODirect_Equations.VEERG_4_2_1_3__3_NitrogenExcreted(X58,X166,Y182,X138,X22)</f>
        <v>#N/A</v>
      </c>
      <c r="Y198" s="15" t="e" cm="1">
        <f t="array" aca="1" ref="Y198" ca="1">MMS_PastureBeef_Soil_N2ODirect_Equations.VEERG_4_2_1_3__3_NitrogenExcreted(Y58,Y166,Z182,Y138,Y22)</f>
        <v>#N/A</v>
      </c>
      <c r="Z198" s="15" t="e" cm="1">
        <f t="array" aca="1" ref="Z198" ca="1">MMS_PastureBeef_Soil_N2ODirect_Equations.VEERG_4_2_1_3__3_NitrogenExcreted(Z58,Z166,AA182,Z138,Z22)</f>
        <v>#N/A</v>
      </c>
      <c r="AA198" s="15" t="e" cm="1">
        <f t="array" aca="1" ref="AA198" ca="1">MMS_PastureBeef_Soil_N2ODirect_Equations.VEERG_4_2_1_3__3_NitrogenExcreted(AA58,AA166,AB182,AA138,AA22)</f>
        <v>#N/A</v>
      </c>
      <c r="AB198" s="15" t="e" cm="1">
        <f t="array" aca="1" ref="AB198" ca="1">MMS_PastureBeef_Soil_N2ODirect_Equations.VEERG_4_2_1_3__3_NitrogenExcreted(AB58,AB166,AC182,AB138,AB22)</f>
        <v>#N/A</v>
      </c>
      <c r="AC198" s="15" t="e" cm="1">
        <f t="array" aca="1" ref="AC198" ca="1">MMS_PastureBeef_Soil_N2ODirect_Equations.VEERG_4_2_1_3__3_NitrogenExcreted(AC58,AC166,AD182,AC138,AC22)</f>
        <v>#N/A</v>
      </c>
      <c r="AD198" s="15" t="e" cm="1">
        <f t="array" aca="1" ref="AD198" ca="1">MMS_PastureBeef_Soil_N2ODirect_Equations.VEERG_4_2_1_3__3_NitrogenExcreted(AD58,AD166,AE182,AD138,AD22)</f>
        <v>#N/A</v>
      </c>
      <c r="AE198" s="15" t="e" cm="1">
        <f t="array" aca="1" ref="AE198" ca="1">MMS_PastureBeef_Soil_N2ODirect_Equations.VEERG_4_2_1_3__3_NitrogenExcreted(AE58,AE166,AF182,AE138,AE22)</f>
        <v>#N/A</v>
      </c>
      <c r="AF198" s="16" t="str">
        <f t="shared" si="9"/>
        <v>kg N/head/day</v>
      </c>
      <c r="AG198" s="16"/>
      <c r="AH198" s="16"/>
    </row>
    <row r="199" spans="4:34" ht="20" customHeight="1" x14ac:dyDescent="0.25">
      <c r="D199" s="15" t="s">
        <v>335</v>
      </c>
      <c r="E199" s="15" cm="1">
        <f t="array" aca="1" ref="E199:N202" ca="1">OFFSET(X_Table_PastureBeef_Duration_Method1, 1,1, 4,10)</f>
        <v>91.25</v>
      </c>
      <c r="F199" s="15">
        <f ca="1"/>
        <v>91.25</v>
      </c>
      <c r="G199" s="15">
        <f ca="1"/>
        <v>91.25</v>
      </c>
      <c r="H199" s="15">
        <f ca="1"/>
        <v>91.25</v>
      </c>
      <c r="I199" s="15">
        <f ca="1"/>
        <v>91.25</v>
      </c>
      <c r="J199" s="15">
        <f ca="1"/>
        <v>91.25</v>
      </c>
      <c r="K199" s="15">
        <f ca="1"/>
        <v>91.25</v>
      </c>
      <c r="L199" s="15">
        <f ca="1"/>
        <v>91.25</v>
      </c>
      <c r="M199" s="15">
        <f ca="1"/>
        <v>91.25</v>
      </c>
      <c r="N199" s="15">
        <f ca="1"/>
        <v>91.25</v>
      </c>
      <c r="O199" s="16" t="s">
        <v>429</v>
      </c>
      <c r="U199" s="15" t="str">
        <f>TEXT(EDATE(X_Cell_Site_StartDate,3), "mmmm")</f>
        <v>March</v>
      </c>
      <c r="V199" s="15" t="e" cm="1">
        <f t="array" aca="1" ref="V199" ca="1">MMS_PastureBeef_Soil_N2ODirect_Equations.VEERG_4_2_1_3__3_NitrogenExcreted(V59,V167,W183,V139,V23)</f>
        <v>#N/A</v>
      </c>
      <c r="W199" s="15" t="e" cm="1">
        <f t="array" aca="1" ref="W199" ca="1">MMS_PastureBeef_Soil_N2ODirect_Equations.VEERG_4_2_1_3__3_NitrogenExcreted(W59,W167,X183,W139,W23)</f>
        <v>#N/A</v>
      </c>
      <c r="X199" s="15" t="e" cm="1">
        <f t="array" aca="1" ref="X199" ca="1">MMS_PastureBeef_Soil_N2ODirect_Equations.VEERG_4_2_1_3__3_NitrogenExcreted(X59,X167,Y183,X139,X23)</f>
        <v>#N/A</v>
      </c>
      <c r="Y199" s="15" t="e" cm="1">
        <f t="array" aca="1" ref="Y199" ca="1">MMS_PastureBeef_Soil_N2ODirect_Equations.VEERG_4_2_1_3__3_NitrogenExcreted(Y59,Y167,Z183,Y139,Y23)</f>
        <v>#N/A</v>
      </c>
      <c r="Z199" s="15" t="e" cm="1">
        <f t="array" aca="1" ref="Z199" ca="1">MMS_PastureBeef_Soil_N2ODirect_Equations.VEERG_4_2_1_3__3_NitrogenExcreted(Z59,Z167,AA183,Z139,Z23)</f>
        <v>#N/A</v>
      </c>
      <c r="AA199" s="15" t="e" cm="1">
        <f t="array" aca="1" ref="AA199" ca="1">MMS_PastureBeef_Soil_N2ODirect_Equations.VEERG_4_2_1_3__3_NitrogenExcreted(AA59,AA167,AB183,AA139,AA23)</f>
        <v>#N/A</v>
      </c>
      <c r="AB199" s="15" t="e" cm="1">
        <f t="array" aca="1" ref="AB199" ca="1">MMS_PastureBeef_Soil_N2ODirect_Equations.VEERG_4_2_1_3__3_NitrogenExcreted(AB59,AB167,AC183,AB139,AB23)</f>
        <v>#N/A</v>
      </c>
      <c r="AC199" s="15" t="e" cm="1">
        <f t="array" aca="1" ref="AC199" ca="1">MMS_PastureBeef_Soil_N2ODirect_Equations.VEERG_4_2_1_3__3_NitrogenExcreted(AC59,AC167,AD183,AC139,AC23)</f>
        <v>#N/A</v>
      </c>
      <c r="AD199" s="15" t="e" cm="1">
        <f t="array" aca="1" ref="AD199" ca="1">MMS_PastureBeef_Soil_N2ODirect_Equations.VEERG_4_2_1_3__3_NitrogenExcreted(AD59,AD167,AE183,AD139,AD23)</f>
        <v>#N/A</v>
      </c>
      <c r="AE199" s="15" t="e" cm="1">
        <f t="array" aca="1" ref="AE199" ca="1">MMS_PastureBeef_Soil_N2ODirect_Equations.VEERG_4_2_1_3__3_NitrogenExcreted(AE59,AE167,AF183,AE139,AE23)</f>
        <v>#N/A</v>
      </c>
      <c r="AF199" s="16" t="str">
        <f t="shared" si="9"/>
        <v>kg N/head/day</v>
      </c>
      <c r="AG199" s="16"/>
      <c r="AH199" s="16"/>
    </row>
    <row r="200" spans="4:34" ht="20" customHeight="1" x14ac:dyDescent="0.25">
      <c r="D200" s="15" t="s">
        <v>336</v>
      </c>
      <c r="E200" s="15">
        <f ca="1"/>
        <v>91.25</v>
      </c>
      <c r="F200" s="15">
        <f ca="1"/>
        <v>91.25</v>
      </c>
      <c r="G200" s="15">
        <f ca="1"/>
        <v>91.25</v>
      </c>
      <c r="H200" s="15">
        <f ca="1"/>
        <v>91.25</v>
      </c>
      <c r="I200" s="15">
        <f ca="1"/>
        <v>91.25</v>
      </c>
      <c r="J200" s="15">
        <f ca="1"/>
        <v>91.25</v>
      </c>
      <c r="K200" s="15">
        <f ca="1"/>
        <v>91.25</v>
      </c>
      <c r="L200" s="15">
        <f ca="1"/>
        <v>91.25</v>
      </c>
      <c r="M200" s="15">
        <f ca="1"/>
        <v>91.25</v>
      </c>
      <c r="N200" s="15">
        <f ca="1"/>
        <v>91.25</v>
      </c>
      <c r="O200" s="16" t="s">
        <v>429</v>
      </c>
      <c r="U200" s="15" t="str">
        <f>TEXT(EDATE(X_Cell_Site_StartDate,4), "mmmm")</f>
        <v>April</v>
      </c>
      <c r="V200" s="15" t="e" cm="1">
        <f t="array" aca="1" ref="V200" ca="1">MMS_PastureBeef_Soil_N2ODirect_Equations.VEERG_4_2_1_3__3_NitrogenExcreted(V60,V168,W184,V140,V24)</f>
        <v>#N/A</v>
      </c>
      <c r="W200" s="15" t="e" cm="1">
        <f t="array" aca="1" ref="W200" ca="1">MMS_PastureBeef_Soil_N2ODirect_Equations.VEERG_4_2_1_3__3_NitrogenExcreted(W60,W168,X184,W140,W24)</f>
        <v>#N/A</v>
      </c>
      <c r="X200" s="15" t="e" cm="1">
        <f t="array" aca="1" ref="X200" ca="1">MMS_PastureBeef_Soil_N2ODirect_Equations.VEERG_4_2_1_3__3_NitrogenExcreted(X60,X168,Y184,X140,X24)</f>
        <v>#N/A</v>
      </c>
      <c r="Y200" s="15" t="e" cm="1">
        <f t="array" aca="1" ref="Y200" ca="1">MMS_PastureBeef_Soil_N2ODirect_Equations.VEERG_4_2_1_3__3_NitrogenExcreted(Y60,Y168,Z184,Y140,Y24)</f>
        <v>#N/A</v>
      </c>
      <c r="Z200" s="15" t="e" cm="1">
        <f t="array" aca="1" ref="Z200" ca="1">MMS_PastureBeef_Soil_N2ODirect_Equations.VEERG_4_2_1_3__3_NitrogenExcreted(Z60,Z168,AA184,Z140,Z24)</f>
        <v>#N/A</v>
      </c>
      <c r="AA200" s="15" t="e" cm="1">
        <f t="array" aca="1" ref="AA200" ca="1">MMS_PastureBeef_Soil_N2ODirect_Equations.VEERG_4_2_1_3__3_NitrogenExcreted(AA60,AA168,AB184,AA140,AA24)</f>
        <v>#N/A</v>
      </c>
      <c r="AB200" s="15" t="e" cm="1">
        <f t="array" aca="1" ref="AB200" ca="1">MMS_PastureBeef_Soil_N2ODirect_Equations.VEERG_4_2_1_3__3_NitrogenExcreted(AB60,AB168,AC184,AB140,AB24)</f>
        <v>#N/A</v>
      </c>
      <c r="AC200" s="15" t="e" cm="1">
        <f t="array" aca="1" ref="AC200" ca="1">MMS_PastureBeef_Soil_N2ODirect_Equations.VEERG_4_2_1_3__3_NitrogenExcreted(AC60,AC168,AD184,AC140,AC24)</f>
        <v>#N/A</v>
      </c>
      <c r="AD200" s="15" t="e" cm="1">
        <f t="array" aca="1" ref="AD200" ca="1">MMS_PastureBeef_Soil_N2ODirect_Equations.VEERG_4_2_1_3__3_NitrogenExcreted(AD60,AD168,AE184,AD140,AD24)</f>
        <v>#N/A</v>
      </c>
      <c r="AE200" s="15" t="e" cm="1">
        <f t="array" aca="1" ref="AE200" ca="1">MMS_PastureBeef_Soil_N2ODirect_Equations.VEERG_4_2_1_3__3_NitrogenExcreted(AE60,AE168,AF184,AE140,AE24)</f>
        <v>#N/A</v>
      </c>
      <c r="AF200" s="16" t="str">
        <f t="shared" si="9"/>
        <v>kg N/head/day</v>
      </c>
      <c r="AG200" s="16"/>
      <c r="AH200" s="16"/>
    </row>
    <row r="201" spans="4:34" ht="20" customHeight="1" x14ac:dyDescent="0.25">
      <c r="D201" s="15" t="s">
        <v>337</v>
      </c>
      <c r="E201" s="15">
        <f ca="1"/>
        <v>91.25</v>
      </c>
      <c r="F201" s="15">
        <f ca="1"/>
        <v>91.25</v>
      </c>
      <c r="G201" s="15">
        <f ca="1"/>
        <v>91.25</v>
      </c>
      <c r="H201" s="15">
        <f ca="1"/>
        <v>91.25</v>
      </c>
      <c r="I201" s="15">
        <f ca="1"/>
        <v>91.25</v>
      </c>
      <c r="J201" s="15">
        <f ca="1"/>
        <v>91.25</v>
      </c>
      <c r="K201" s="15">
        <f ca="1"/>
        <v>91.25</v>
      </c>
      <c r="L201" s="15">
        <f ca="1"/>
        <v>91.25</v>
      </c>
      <c r="M201" s="15">
        <f ca="1"/>
        <v>91.25</v>
      </c>
      <c r="N201" s="15">
        <f ca="1"/>
        <v>91.25</v>
      </c>
      <c r="O201" s="16" t="s">
        <v>429</v>
      </c>
      <c r="U201" s="15" t="str">
        <f>TEXT(EDATE(X_Cell_Site_StartDate,5), "mmmm")</f>
        <v>May</v>
      </c>
      <c r="V201" s="15" t="e" cm="1">
        <f t="array" aca="1" ref="V201" ca="1">MMS_PastureBeef_Soil_N2ODirect_Equations.VEERG_4_2_1_3__3_NitrogenExcreted(V61,V169,W185,V141,V25)</f>
        <v>#N/A</v>
      </c>
      <c r="W201" s="15" t="e" cm="1">
        <f t="array" aca="1" ref="W201" ca="1">MMS_PastureBeef_Soil_N2ODirect_Equations.VEERG_4_2_1_3__3_NitrogenExcreted(W61,W169,X185,W141,W25)</f>
        <v>#N/A</v>
      </c>
      <c r="X201" s="15" t="e" cm="1">
        <f t="array" aca="1" ref="X201" ca="1">MMS_PastureBeef_Soil_N2ODirect_Equations.VEERG_4_2_1_3__3_NitrogenExcreted(X61,X169,Y185,X141,X25)</f>
        <v>#N/A</v>
      </c>
      <c r="Y201" s="15" t="e" cm="1">
        <f t="array" aca="1" ref="Y201" ca="1">MMS_PastureBeef_Soil_N2ODirect_Equations.VEERG_4_2_1_3__3_NitrogenExcreted(Y61,Y169,Z185,Y141,Y25)</f>
        <v>#N/A</v>
      </c>
      <c r="Z201" s="15" t="e" cm="1">
        <f t="array" aca="1" ref="Z201" ca="1">MMS_PastureBeef_Soil_N2ODirect_Equations.VEERG_4_2_1_3__3_NitrogenExcreted(Z61,Z169,AA185,Z141,Z25)</f>
        <v>#N/A</v>
      </c>
      <c r="AA201" s="15" t="e" cm="1">
        <f t="array" aca="1" ref="AA201" ca="1">MMS_PastureBeef_Soil_N2ODirect_Equations.VEERG_4_2_1_3__3_NitrogenExcreted(AA61,AA169,AB185,AA141,AA25)</f>
        <v>#N/A</v>
      </c>
      <c r="AB201" s="15" t="e" cm="1">
        <f t="array" aca="1" ref="AB201" ca="1">MMS_PastureBeef_Soil_N2ODirect_Equations.VEERG_4_2_1_3__3_NitrogenExcreted(AB61,AB169,AC185,AB141,AB25)</f>
        <v>#N/A</v>
      </c>
      <c r="AC201" s="15" t="e" cm="1">
        <f t="array" aca="1" ref="AC201" ca="1">MMS_PastureBeef_Soil_N2ODirect_Equations.VEERG_4_2_1_3__3_NitrogenExcreted(AC61,AC169,AD185,AC141,AC25)</f>
        <v>#N/A</v>
      </c>
      <c r="AD201" s="15" t="e" cm="1">
        <f t="array" aca="1" ref="AD201" ca="1">MMS_PastureBeef_Soil_N2ODirect_Equations.VEERG_4_2_1_3__3_NitrogenExcreted(AD61,AD169,AE185,AD141,AD25)</f>
        <v>#N/A</v>
      </c>
      <c r="AE201" s="15" t="e" cm="1">
        <f t="array" aca="1" ref="AE201" ca="1">MMS_PastureBeef_Soil_N2ODirect_Equations.VEERG_4_2_1_3__3_NitrogenExcreted(AE61,AE169,AF185,AE141,AE25)</f>
        <v>#N/A</v>
      </c>
      <c r="AF201" s="16" t="str">
        <f t="shared" si="9"/>
        <v>kg N/head/day</v>
      </c>
      <c r="AG201" s="16"/>
      <c r="AH201" s="16"/>
    </row>
    <row r="202" spans="4:34" ht="20" customHeight="1" x14ac:dyDescent="0.25">
      <c r="D202" s="15" t="s">
        <v>338</v>
      </c>
      <c r="E202" s="15">
        <f ca="1"/>
        <v>91.25</v>
      </c>
      <c r="F202" s="15">
        <f ca="1"/>
        <v>91.25</v>
      </c>
      <c r="G202" s="15">
        <f ca="1"/>
        <v>91.25</v>
      </c>
      <c r="H202" s="15">
        <f ca="1"/>
        <v>91.25</v>
      </c>
      <c r="I202" s="15">
        <f ca="1"/>
        <v>91.25</v>
      </c>
      <c r="J202" s="15">
        <f ca="1"/>
        <v>91.25</v>
      </c>
      <c r="K202" s="15">
        <f ca="1"/>
        <v>91.25</v>
      </c>
      <c r="L202" s="15">
        <f ca="1"/>
        <v>91.25</v>
      </c>
      <c r="M202" s="15">
        <f ca="1"/>
        <v>91.25</v>
      </c>
      <c r="N202" s="15">
        <f ca="1"/>
        <v>91.25</v>
      </c>
      <c r="O202" s="16" t="s">
        <v>429</v>
      </c>
      <c r="U202" s="15" t="str">
        <f>TEXT(EDATE(X_Cell_Site_StartDate,6), "mmmm")</f>
        <v>June</v>
      </c>
      <c r="V202" s="15" t="e" cm="1">
        <f t="array" aca="1" ref="V202" ca="1">MMS_PastureBeef_Soil_N2ODirect_Equations.VEERG_4_2_1_3__3_NitrogenExcreted(V62,V170,W186,V142,V26)</f>
        <v>#N/A</v>
      </c>
      <c r="W202" s="15" t="e" cm="1">
        <f t="array" aca="1" ref="W202" ca="1">MMS_PastureBeef_Soil_N2ODirect_Equations.VEERG_4_2_1_3__3_NitrogenExcreted(W62,W170,X186,W142,W26)</f>
        <v>#N/A</v>
      </c>
      <c r="X202" s="15" t="e" cm="1">
        <f t="array" aca="1" ref="X202" ca="1">MMS_PastureBeef_Soil_N2ODirect_Equations.VEERG_4_2_1_3__3_NitrogenExcreted(X62,X170,Y186,X142,X26)</f>
        <v>#N/A</v>
      </c>
      <c r="Y202" s="15" t="e" cm="1">
        <f t="array" aca="1" ref="Y202" ca="1">MMS_PastureBeef_Soil_N2ODirect_Equations.VEERG_4_2_1_3__3_NitrogenExcreted(Y62,Y170,Z186,Y142,Y26)</f>
        <v>#N/A</v>
      </c>
      <c r="Z202" s="15" t="e" cm="1">
        <f t="array" aca="1" ref="Z202" ca="1">MMS_PastureBeef_Soil_N2ODirect_Equations.VEERG_4_2_1_3__3_NitrogenExcreted(Z62,Z170,AA186,Z142,Z26)</f>
        <v>#N/A</v>
      </c>
      <c r="AA202" s="15" t="e" cm="1">
        <f t="array" aca="1" ref="AA202" ca="1">MMS_PastureBeef_Soil_N2ODirect_Equations.VEERG_4_2_1_3__3_NitrogenExcreted(AA62,AA170,AB186,AA142,AA26)</f>
        <v>#N/A</v>
      </c>
      <c r="AB202" s="15" t="e" cm="1">
        <f t="array" aca="1" ref="AB202" ca="1">MMS_PastureBeef_Soil_N2ODirect_Equations.VEERG_4_2_1_3__3_NitrogenExcreted(AB62,AB170,AC186,AB142,AB26)</f>
        <v>#N/A</v>
      </c>
      <c r="AC202" s="15" t="e" cm="1">
        <f t="array" aca="1" ref="AC202" ca="1">MMS_PastureBeef_Soil_N2ODirect_Equations.VEERG_4_2_1_3__3_NitrogenExcreted(AC62,AC170,AD186,AC142,AC26)</f>
        <v>#N/A</v>
      </c>
      <c r="AD202" s="15" t="e" cm="1">
        <f t="array" aca="1" ref="AD202" ca="1">MMS_PastureBeef_Soil_N2ODirect_Equations.VEERG_4_2_1_3__3_NitrogenExcreted(AD62,AD170,AE186,AD142,AD26)</f>
        <v>#N/A</v>
      </c>
      <c r="AE202" s="15" t="e" cm="1">
        <f t="array" aca="1" ref="AE202" ca="1">MMS_PastureBeef_Soil_N2ODirect_Equations.VEERG_4_2_1_3__3_NitrogenExcreted(AE62,AE170,AF186,AE142,AE26)</f>
        <v>#N/A</v>
      </c>
      <c r="AF202" s="16" t="str">
        <f t="shared" si="9"/>
        <v>kg N/head/day</v>
      </c>
      <c r="AG202" s="16"/>
      <c r="AH202" s="16"/>
    </row>
    <row r="203" spans="4:34" ht="20" customHeight="1" x14ac:dyDescent="0.25">
      <c r="U203" s="15" t="str">
        <f>TEXT(EDATE(X_Cell_Site_StartDate,7), "mmmm")</f>
        <v>July</v>
      </c>
      <c r="V203" s="15" t="e" cm="1">
        <f t="array" aca="1" ref="V203" ca="1">MMS_PastureBeef_Soil_N2ODirect_Equations.VEERG_4_2_1_3__3_NitrogenExcreted(V63,V171,W187,V143,V27)</f>
        <v>#N/A</v>
      </c>
      <c r="W203" s="15" t="e" cm="1">
        <f t="array" aca="1" ref="W203" ca="1">MMS_PastureBeef_Soil_N2ODirect_Equations.VEERG_4_2_1_3__3_NitrogenExcreted(W63,W171,X187,W143,W27)</f>
        <v>#N/A</v>
      </c>
      <c r="X203" s="15" t="e" cm="1">
        <f t="array" aca="1" ref="X203" ca="1">MMS_PastureBeef_Soil_N2ODirect_Equations.VEERG_4_2_1_3__3_NitrogenExcreted(X63,X171,Y187,X143,X27)</f>
        <v>#N/A</v>
      </c>
      <c r="Y203" s="15" t="e" cm="1">
        <f t="array" aca="1" ref="Y203" ca="1">MMS_PastureBeef_Soil_N2ODirect_Equations.VEERG_4_2_1_3__3_NitrogenExcreted(Y63,Y171,Z187,Y143,Y27)</f>
        <v>#N/A</v>
      </c>
      <c r="Z203" s="15" t="e" cm="1">
        <f t="array" aca="1" ref="Z203" ca="1">MMS_PastureBeef_Soil_N2ODirect_Equations.VEERG_4_2_1_3__3_NitrogenExcreted(Z63,Z171,AA187,Z143,Z27)</f>
        <v>#N/A</v>
      </c>
      <c r="AA203" s="15" t="e" cm="1">
        <f t="array" aca="1" ref="AA203" ca="1">MMS_PastureBeef_Soil_N2ODirect_Equations.VEERG_4_2_1_3__3_NitrogenExcreted(AA63,AA171,AB187,AA143,AA27)</f>
        <v>#N/A</v>
      </c>
      <c r="AB203" s="15" t="e" cm="1">
        <f t="array" aca="1" ref="AB203" ca="1">MMS_PastureBeef_Soil_N2ODirect_Equations.VEERG_4_2_1_3__3_NitrogenExcreted(AB63,AB171,AC187,AB143,AB27)</f>
        <v>#N/A</v>
      </c>
      <c r="AC203" s="15" t="e" cm="1">
        <f t="array" aca="1" ref="AC203" ca="1">MMS_PastureBeef_Soil_N2ODirect_Equations.VEERG_4_2_1_3__3_NitrogenExcreted(AC63,AC171,AD187,AC143,AC27)</f>
        <v>#N/A</v>
      </c>
      <c r="AD203" s="15" t="e" cm="1">
        <f t="array" aca="1" ref="AD203" ca="1">MMS_PastureBeef_Soil_N2ODirect_Equations.VEERG_4_2_1_3__3_NitrogenExcreted(AD63,AD171,AE187,AD143,AD27)</f>
        <v>#N/A</v>
      </c>
      <c r="AE203" s="15" t="e" cm="1">
        <f t="array" aca="1" ref="AE203" ca="1">MMS_PastureBeef_Soil_N2ODirect_Equations.VEERG_4_2_1_3__3_NitrogenExcreted(AE63,AE171,AF187,AE143,AE27)</f>
        <v>#N/A</v>
      </c>
      <c r="AF203" s="16" t="str">
        <f t="shared" si="9"/>
        <v>kg N/head/day</v>
      </c>
      <c r="AG203" s="16"/>
      <c r="AH203" s="16"/>
    </row>
    <row r="204" spans="4:34" ht="20" customHeight="1" x14ac:dyDescent="0.25">
      <c r="D204" s="112" t="s">
        <v>471</v>
      </c>
      <c r="U204" s="15" t="str">
        <f>TEXT(EDATE(X_Cell_Site_StartDate,8), "mmmm")</f>
        <v>August</v>
      </c>
      <c r="V204" s="15" t="e" cm="1">
        <f t="array" aca="1" ref="V204" ca="1">MMS_PastureBeef_Soil_N2ODirect_Equations.VEERG_4_2_1_3__3_NitrogenExcreted(V64,V172,W188,V144,V28)</f>
        <v>#N/A</v>
      </c>
      <c r="W204" s="15" t="e" cm="1">
        <f t="array" aca="1" ref="W204" ca="1">MMS_PastureBeef_Soil_N2ODirect_Equations.VEERG_4_2_1_3__3_NitrogenExcreted(W64,W172,X188,W144,W28)</f>
        <v>#N/A</v>
      </c>
      <c r="X204" s="15" t="e" cm="1">
        <f t="array" aca="1" ref="X204" ca="1">MMS_PastureBeef_Soil_N2ODirect_Equations.VEERG_4_2_1_3__3_NitrogenExcreted(X64,X172,Y188,X144,X28)</f>
        <v>#N/A</v>
      </c>
      <c r="Y204" s="15" t="e" cm="1">
        <f t="array" aca="1" ref="Y204" ca="1">MMS_PastureBeef_Soil_N2ODirect_Equations.VEERG_4_2_1_3__3_NitrogenExcreted(Y64,Y172,Z188,Y144,Y28)</f>
        <v>#N/A</v>
      </c>
      <c r="Z204" s="15" t="e" cm="1">
        <f t="array" aca="1" ref="Z204" ca="1">MMS_PastureBeef_Soil_N2ODirect_Equations.VEERG_4_2_1_3__3_NitrogenExcreted(Z64,Z172,AA188,Z144,Z28)</f>
        <v>#N/A</v>
      </c>
      <c r="AA204" s="15" t="e" cm="1">
        <f t="array" aca="1" ref="AA204" ca="1">MMS_PastureBeef_Soil_N2ODirect_Equations.VEERG_4_2_1_3__3_NitrogenExcreted(AA64,AA172,AB188,AA144,AA28)</f>
        <v>#N/A</v>
      </c>
      <c r="AB204" s="15" t="e" cm="1">
        <f t="array" aca="1" ref="AB204" ca="1">MMS_PastureBeef_Soil_N2ODirect_Equations.VEERG_4_2_1_3__3_NitrogenExcreted(AB64,AB172,AC188,AB144,AB28)</f>
        <v>#N/A</v>
      </c>
      <c r="AC204" s="15" t="e" cm="1">
        <f t="array" aca="1" ref="AC204" ca="1">MMS_PastureBeef_Soil_N2ODirect_Equations.VEERG_4_2_1_3__3_NitrogenExcreted(AC64,AC172,AD188,AC144,AC28)</f>
        <v>#N/A</v>
      </c>
      <c r="AD204" s="15" t="e" cm="1">
        <f t="array" aca="1" ref="AD204" ca="1">MMS_PastureBeef_Soil_N2ODirect_Equations.VEERG_4_2_1_3__3_NitrogenExcreted(AD64,AD172,AE188,AD144,AD28)</f>
        <v>#N/A</v>
      </c>
      <c r="AE204" s="15" t="e" cm="1">
        <f t="array" aca="1" ref="AE204" ca="1">MMS_PastureBeef_Soil_N2ODirect_Equations.VEERG_4_2_1_3__3_NitrogenExcreted(AE64,AE172,AF188,AE144,AE28)</f>
        <v>#N/A</v>
      </c>
      <c r="AF204" s="16" t="str">
        <f t="shared" si="9"/>
        <v>kg N/head/day</v>
      </c>
      <c r="AG204" s="16"/>
      <c r="AH204" s="16"/>
    </row>
    <row r="205" spans="4:34" ht="20" customHeight="1" x14ac:dyDescent="0.25">
      <c r="D205" s="113" t="s">
        <v>472</v>
      </c>
      <c r="U205" s="15" t="str">
        <f>TEXT(EDATE(X_Cell_Site_StartDate,9), "mmmm")</f>
        <v>September</v>
      </c>
      <c r="V205" s="15" t="e" cm="1">
        <f t="array" aca="1" ref="V205" ca="1">MMS_PastureBeef_Soil_N2ODirect_Equations.VEERG_4_2_1_3__3_NitrogenExcreted(V65,V173,W189,V145,V29)</f>
        <v>#N/A</v>
      </c>
      <c r="W205" s="15" t="e" cm="1">
        <f t="array" aca="1" ref="W205" ca="1">MMS_PastureBeef_Soil_N2ODirect_Equations.VEERG_4_2_1_3__3_NitrogenExcreted(W65,W173,X189,W145,W29)</f>
        <v>#N/A</v>
      </c>
      <c r="X205" s="15" t="e" cm="1">
        <f t="array" aca="1" ref="X205" ca="1">MMS_PastureBeef_Soil_N2ODirect_Equations.VEERG_4_2_1_3__3_NitrogenExcreted(X65,X173,Y189,X145,X29)</f>
        <v>#N/A</v>
      </c>
      <c r="Y205" s="15" t="e" cm="1">
        <f t="array" aca="1" ref="Y205" ca="1">MMS_PastureBeef_Soil_N2ODirect_Equations.VEERG_4_2_1_3__3_NitrogenExcreted(Y65,Y173,Z189,Y145,Y29)</f>
        <v>#N/A</v>
      </c>
      <c r="Z205" s="15" t="e" cm="1">
        <f t="array" aca="1" ref="Z205" ca="1">MMS_PastureBeef_Soil_N2ODirect_Equations.VEERG_4_2_1_3__3_NitrogenExcreted(Z65,Z173,AA189,Z145,Z29)</f>
        <v>#N/A</v>
      </c>
      <c r="AA205" s="15" t="e" cm="1">
        <f t="array" aca="1" ref="AA205" ca="1">MMS_PastureBeef_Soil_N2ODirect_Equations.VEERG_4_2_1_3__3_NitrogenExcreted(AA65,AA173,AB189,AA145,AA29)</f>
        <v>#N/A</v>
      </c>
      <c r="AB205" s="15" t="e" cm="1">
        <f t="array" aca="1" ref="AB205" ca="1">MMS_PastureBeef_Soil_N2ODirect_Equations.VEERG_4_2_1_3__3_NitrogenExcreted(AB65,AB173,AC189,AB145,AB29)</f>
        <v>#N/A</v>
      </c>
      <c r="AC205" s="15" t="e" cm="1">
        <f t="array" aca="1" ref="AC205" ca="1">MMS_PastureBeef_Soil_N2ODirect_Equations.VEERG_4_2_1_3__3_NitrogenExcreted(AC65,AC173,AD189,AC145,AC29)</f>
        <v>#N/A</v>
      </c>
      <c r="AD205" s="15" t="e" cm="1">
        <f t="array" aca="1" ref="AD205" ca="1">MMS_PastureBeef_Soil_N2ODirect_Equations.VEERG_4_2_1_3__3_NitrogenExcreted(AD65,AD173,AE189,AD145,AD29)</f>
        <v>#N/A</v>
      </c>
      <c r="AE205" s="15" t="e" cm="1">
        <f t="array" aca="1" ref="AE205" ca="1">MMS_PastureBeef_Soil_N2ODirect_Equations.VEERG_4_2_1_3__3_NitrogenExcreted(AE65,AE173,AF189,AE145,AE29)</f>
        <v>#N/A</v>
      </c>
      <c r="AF205" s="16" t="str">
        <f t="shared" si="9"/>
        <v>kg N/head/day</v>
      </c>
      <c r="AG205" s="16"/>
      <c r="AH205" s="16"/>
    </row>
    <row r="206" spans="4:34" ht="20" customHeight="1" x14ac:dyDescent="0.25">
      <c r="D206" s="114" t="s">
        <v>76</v>
      </c>
      <c r="E206" s="114" t="s">
        <v>326</v>
      </c>
      <c r="F206" s="114" t="s">
        <v>184</v>
      </c>
      <c r="G206" s="114" t="s">
        <v>327</v>
      </c>
      <c r="H206" s="114" t="s">
        <v>328</v>
      </c>
      <c r="I206" s="114" t="s">
        <v>329</v>
      </c>
      <c r="J206" s="114" t="s">
        <v>330</v>
      </c>
      <c r="K206" s="114" t="s">
        <v>331</v>
      </c>
      <c r="L206" s="114" t="s">
        <v>332</v>
      </c>
      <c r="M206" s="114" t="s">
        <v>333</v>
      </c>
      <c r="N206" s="114" t="s">
        <v>334</v>
      </c>
      <c r="U206" s="15" t="str">
        <f>TEXT(EDATE(X_Cell_Site_StartDate,10), "mmmm")</f>
        <v>October</v>
      </c>
      <c r="V206" s="15" t="e" cm="1">
        <f t="array" aca="1" ref="V206" ca="1">MMS_PastureBeef_Soil_N2ODirect_Equations.VEERG_4_2_1_3__3_NitrogenExcreted(V66,V174,W190,V146,V30)</f>
        <v>#N/A</v>
      </c>
      <c r="W206" s="15" t="e" cm="1">
        <f t="array" aca="1" ref="W206" ca="1">MMS_PastureBeef_Soil_N2ODirect_Equations.VEERG_4_2_1_3__3_NitrogenExcreted(W66,W174,X190,W146,W30)</f>
        <v>#N/A</v>
      </c>
      <c r="X206" s="15" t="e" cm="1">
        <f t="array" aca="1" ref="X206" ca="1">MMS_PastureBeef_Soil_N2ODirect_Equations.VEERG_4_2_1_3__3_NitrogenExcreted(X66,X174,Y190,X146,X30)</f>
        <v>#N/A</v>
      </c>
      <c r="Y206" s="15" t="e" cm="1">
        <f t="array" aca="1" ref="Y206" ca="1">MMS_PastureBeef_Soil_N2ODirect_Equations.VEERG_4_2_1_3__3_NitrogenExcreted(Y66,Y174,Z190,Y146,Y30)</f>
        <v>#N/A</v>
      </c>
      <c r="Z206" s="15" t="e" cm="1">
        <f t="array" aca="1" ref="Z206" ca="1">MMS_PastureBeef_Soil_N2ODirect_Equations.VEERG_4_2_1_3__3_NitrogenExcreted(Z66,Z174,AA190,Z146,Z30)</f>
        <v>#N/A</v>
      </c>
      <c r="AA206" s="15" t="e" cm="1">
        <f t="array" aca="1" ref="AA206" ca="1">MMS_PastureBeef_Soil_N2ODirect_Equations.VEERG_4_2_1_3__3_NitrogenExcreted(AA66,AA174,AB190,AA146,AA30)</f>
        <v>#N/A</v>
      </c>
      <c r="AB206" s="15" t="e" cm="1">
        <f t="array" aca="1" ref="AB206" ca="1">MMS_PastureBeef_Soil_N2ODirect_Equations.VEERG_4_2_1_3__3_NitrogenExcreted(AB66,AB174,AC190,AB146,AB30)</f>
        <v>#N/A</v>
      </c>
      <c r="AC206" s="15" t="e" cm="1">
        <f t="array" aca="1" ref="AC206" ca="1">MMS_PastureBeef_Soil_N2ODirect_Equations.VEERG_4_2_1_3__3_NitrogenExcreted(AC66,AC174,AD190,AC146,AC30)</f>
        <v>#N/A</v>
      </c>
      <c r="AD206" s="15" t="e" cm="1">
        <f t="array" aca="1" ref="AD206" ca="1">MMS_PastureBeef_Soil_N2ODirect_Equations.VEERG_4_2_1_3__3_NitrogenExcreted(AD66,AD174,AE190,AD146,AD30)</f>
        <v>#N/A</v>
      </c>
      <c r="AE206" s="15" t="e" cm="1">
        <f t="array" aca="1" ref="AE206" ca="1">MMS_PastureBeef_Soil_N2ODirect_Equations.VEERG_4_2_1_3__3_NitrogenExcreted(AE66,AE174,AF190,AE146,AE30)</f>
        <v>#N/A</v>
      </c>
      <c r="AF206" s="16" t="str">
        <f t="shared" si="9"/>
        <v>kg N/head/day</v>
      </c>
      <c r="AG206" s="16"/>
      <c r="AH206" s="16"/>
    </row>
    <row r="207" spans="4:34" ht="20" customHeight="1" x14ac:dyDescent="0.25">
      <c r="D207" s="15" t="s">
        <v>335</v>
      </c>
      <c r="E207" s="15" t="e" cm="1">
        <f t="array" aca="1" ref="E207" ca="1">MMS_PastureBeef_Soil_N2ODirect_Equations.VEERG_4_2_1_3__2_TotalNitrogenExcretedToPastureRangeAndPaddock(E191,E169,E199)</f>
        <v>#N/A</v>
      </c>
      <c r="F207" s="15" t="e" cm="1">
        <f t="array" aca="1" ref="F207" ca="1">MMS_PastureBeef_Soil_N2ODirect_Equations.VEERG_4_2_1_3__2_TotalNitrogenExcretedToPastureRangeAndPaddock(F191,F169,F199)</f>
        <v>#N/A</v>
      </c>
      <c r="G207" s="15" t="e" cm="1">
        <f t="array" aca="1" ref="G207" ca="1">MMS_PastureBeef_Soil_N2ODirect_Equations.VEERG_4_2_1_3__2_TotalNitrogenExcretedToPastureRangeAndPaddock(G191,G169,G199)</f>
        <v>#N/A</v>
      </c>
      <c r="H207" s="15" t="e" cm="1">
        <f t="array" aca="1" ref="H207" ca="1">MMS_PastureBeef_Soil_N2ODirect_Equations.VEERG_4_2_1_3__2_TotalNitrogenExcretedToPastureRangeAndPaddock(H191,H169,H199)</f>
        <v>#N/A</v>
      </c>
      <c r="I207" s="15" t="e" cm="1">
        <f t="array" aca="1" ref="I207" ca="1">MMS_PastureBeef_Soil_N2ODirect_Equations.VEERG_4_2_1_3__2_TotalNitrogenExcretedToPastureRangeAndPaddock(I191,I169,I199)</f>
        <v>#N/A</v>
      </c>
      <c r="J207" s="15" t="e" cm="1">
        <f t="array" aca="1" ref="J207" ca="1">MMS_PastureBeef_Soil_N2ODirect_Equations.VEERG_4_2_1_3__2_TotalNitrogenExcretedToPastureRangeAndPaddock(J191,J169,J199)</f>
        <v>#N/A</v>
      </c>
      <c r="K207" s="15" t="e" cm="1">
        <f t="array" aca="1" ref="K207" ca="1">MMS_PastureBeef_Soil_N2ODirect_Equations.VEERG_4_2_1_3__2_TotalNitrogenExcretedToPastureRangeAndPaddock(K191,K169,K199)</f>
        <v>#N/A</v>
      </c>
      <c r="L207" s="15" t="e" cm="1">
        <f t="array" aca="1" ref="L207" ca="1">MMS_PastureBeef_Soil_N2ODirect_Equations.VEERG_4_2_1_3__2_TotalNitrogenExcretedToPastureRangeAndPaddock(L191,L169,L199)</f>
        <v>#N/A</v>
      </c>
      <c r="M207" s="15" t="e" cm="1">
        <f t="array" aca="1" ref="M207" ca="1">MMS_PastureBeef_Soil_N2ODirect_Equations.VEERG_4_2_1_3__2_TotalNitrogenExcretedToPastureRangeAndPaddock(M191,M169,M199)</f>
        <v>#N/A</v>
      </c>
      <c r="N207" s="15" t="e" cm="1">
        <f t="array" aca="1" ref="N207" ca="1">MMS_PastureBeef_Soil_N2ODirect_Equations.VEERG_4_2_1_3__2_TotalNitrogenExcretedToPastureRangeAndPaddock(N191,N169,N199)</f>
        <v>#N/A</v>
      </c>
      <c r="O207" s="16" t="str">
        <f>$E$182</f>
        <v>kg N</v>
      </c>
      <c r="U207" s="15" t="str">
        <f>TEXT(EDATE(X_Cell_Site_StartDate,11), "mmmm")</f>
        <v>November</v>
      </c>
      <c r="V207" s="15" t="e" cm="1">
        <f t="array" aca="1" ref="V207" ca="1">MMS_PastureBeef_Soil_N2ODirect_Equations.VEERG_4_2_1_3__3_NitrogenExcreted(V67,V175,W191,V147,V31)</f>
        <v>#N/A</v>
      </c>
      <c r="W207" s="15" t="e" cm="1">
        <f t="array" aca="1" ref="W207" ca="1">MMS_PastureBeef_Soil_N2ODirect_Equations.VEERG_4_2_1_3__3_NitrogenExcreted(W67,W175,X191,W147,W31)</f>
        <v>#N/A</v>
      </c>
      <c r="X207" s="15" t="e" cm="1">
        <f t="array" aca="1" ref="X207" ca="1">MMS_PastureBeef_Soil_N2ODirect_Equations.VEERG_4_2_1_3__3_NitrogenExcreted(X67,X175,Y191,X147,X31)</f>
        <v>#N/A</v>
      </c>
      <c r="Y207" s="15" t="e" cm="1">
        <f t="array" aca="1" ref="Y207" ca="1">MMS_PastureBeef_Soil_N2ODirect_Equations.VEERG_4_2_1_3__3_NitrogenExcreted(Y67,Y175,Z191,Y147,Y31)</f>
        <v>#N/A</v>
      </c>
      <c r="Z207" s="15" t="e" cm="1">
        <f t="array" aca="1" ref="Z207" ca="1">MMS_PastureBeef_Soil_N2ODirect_Equations.VEERG_4_2_1_3__3_NitrogenExcreted(Z67,Z175,AA191,Z147,Z31)</f>
        <v>#N/A</v>
      </c>
      <c r="AA207" s="15" t="e" cm="1">
        <f t="array" aca="1" ref="AA207" ca="1">MMS_PastureBeef_Soil_N2ODirect_Equations.VEERG_4_2_1_3__3_NitrogenExcreted(AA67,AA175,AB191,AA147,AA31)</f>
        <v>#N/A</v>
      </c>
      <c r="AB207" s="15" t="e" cm="1">
        <f t="array" aca="1" ref="AB207" ca="1">MMS_PastureBeef_Soil_N2ODirect_Equations.VEERG_4_2_1_3__3_NitrogenExcreted(AB67,AB175,AC191,AB147,AB31)</f>
        <v>#N/A</v>
      </c>
      <c r="AC207" s="15" t="e" cm="1">
        <f t="array" aca="1" ref="AC207" ca="1">MMS_PastureBeef_Soil_N2ODirect_Equations.VEERG_4_2_1_3__3_NitrogenExcreted(AC67,AC175,AD191,AC147,AC31)</f>
        <v>#N/A</v>
      </c>
      <c r="AD207" s="15" t="e" cm="1">
        <f t="array" aca="1" ref="AD207" ca="1">MMS_PastureBeef_Soil_N2ODirect_Equations.VEERG_4_2_1_3__3_NitrogenExcreted(AD67,AD175,AE191,AD147,AD31)</f>
        <v>#N/A</v>
      </c>
      <c r="AE207" s="15" t="e" cm="1">
        <f t="array" aca="1" ref="AE207" ca="1">MMS_PastureBeef_Soil_N2ODirect_Equations.VEERG_4_2_1_3__3_NitrogenExcreted(AE67,AE175,AF191,AE147,AE31)</f>
        <v>#N/A</v>
      </c>
      <c r="AF207" s="16" t="str">
        <f t="shared" si="9"/>
        <v>kg N/head/day</v>
      </c>
      <c r="AG207" s="16"/>
      <c r="AH207" s="16"/>
    </row>
    <row r="208" spans="4:34" ht="20" customHeight="1" x14ac:dyDescent="0.25">
      <c r="D208" s="15" t="s">
        <v>336</v>
      </c>
      <c r="E208" s="15" t="e" cm="1">
        <f t="array" aca="1" ref="E208" ca="1">MMS_PastureBeef_Soil_N2ODirect_Equations.VEERG_4_2_1_3__2_TotalNitrogenExcretedToPastureRangeAndPaddock(E192,E170,E200)</f>
        <v>#N/A</v>
      </c>
      <c r="F208" s="15" t="e" cm="1">
        <f t="array" aca="1" ref="F208" ca="1">MMS_PastureBeef_Soil_N2ODirect_Equations.VEERG_4_2_1_3__2_TotalNitrogenExcretedToPastureRangeAndPaddock(F192,F170,F200)</f>
        <v>#N/A</v>
      </c>
      <c r="G208" s="15" t="e" cm="1">
        <f t="array" aca="1" ref="G208" ca="1">MMS_PastureBeef_Soil_N2ODirect_Equations.VEERG_4_2_1_3__2_TotalNitrogenExcretedToPastureRangeAndPaddock(G192,G170,G200)</f>
        <v>#N/A</v>
      </c>
      <c r="H208" s="15" t="e" cm="1">
        <f t="array" aca="1" ref="H208" ca="1">MMS_PastureBeef_Soil_N2ODirect_Equations.VEERG_4_2_1_3__2_TotalNitrogenExcretedToPastureRangeAndPaddock(H192,H170,H200)</f>
        <v>#N/A</v>
      </c>
      <c r="I208" s="15" t="e" cm="1">
        <f t="array" aca="1" ref="I208" ca="1">MMS_PastureBeef_Soil_N2ODirect_Equations.VEERG_4_2_1_3__2_TotalNitrogenExcretedToPastureRangeAndPaddock(I192,I170,I200)</f>
        <v>#N/A</v>
      </c>
      <c r="J208" s="15" t="e" cm="1">
        <f t="array" aca="1" ref="J208" ca="1">MMS_PastureBeef_Soil_N2ODirect_Equations.VEERG_4_2_1_3__2_TotalNitrogenExcretedToPastureRangeAndPaddock(J192,J170,J200)</f>
        <v>#N/A</v>
      </c>
      <c r="K208" s="15" t="e" cm="1">
        <f t="array" aca="1" ref="K208" ca="1">MMS_PastureBeef_Soil_N2ODirect_Equations.VEERG_4_2_1_3__2_TotalNitrogenExcretedToPastureRangeAndPaddock(K192,K170,K200)</f>
        <v>#N/A</v>
      </c>
      <c r="L208" s="15" t="e" cm="1">
        <f t="array" aca="1" ref="L208" ca="1">MMS_PastureBeef_Soil_N2ODirect_Equations.VEERG_4_2_1_3__2_TotalNitrogenExcretedToPastureRangeAndPaddock(L192,L170,L200)</f>
        <v>#N/A</v>
      </c>
      <c r="M208" s="15" t="e" cm="1">
        <f t="array" aca="1" ref="M208" ca="1">MMS_PastureBeef_Soil_N2ODirect_Equations.VEERG_4_2_1_3__2_TotalNitrogenExcretedToPastureRangeAndPaddock(M192,M170,M200)</f>
        <v>#N/A</v>
      </c>
      <c r="N208" s="15" t="e" cm="1">
        <f t="array" aca="1" ref="N208" ca="1">MMS_PastureBeef_Soil_N2ODirect_Equations.VEERG_4_2_1_3__2_TotalNitrogenExcretedToPastureRangeAndPaddock(N192,N170,N200)</f>
        <v>#N/A</v>
      </c>
      <c r="O208" s="16" t="str">
        <f>$E$182</f>
        <v>kg N</v>
      </c>
    </row>
    <row r="209" spans="3:35" ht="20" customHeight="1" x14ac:dyDescent="0.25">
      <c r="D209" s="15" t="s">
        <v>337</v>
      </c>
      <c r="E209" s="15" t="e" cm="1">
        <f t="array" aca="1" ref="E209" ca="1">MMS_PastureBeef_Soil_N2ODirect_Equations.VEERG_4_2_1_3__2_TotalNitrogenExcretedToPastureRangeAndPaddock(E193,E171,E201)</f>
        <v>#N/A</v>
      </c>
      <c r="F209" s="15" t="e" cm="1">
        <f t="array" aca="1" ref="F209" ca="1">MMS_PastureBeef_Soil_N2ODirect_Equations.VEERG_4_2_1_3__2_TotalNitrogenExcretedToPastureRangeAndPaddock(F193,F171,F201)</f>
        <v>#N/A</v>
      </c>
      <c r="G209" s="15" t="e" cm="1">
        <f t="array" aca="1" ref="G209" ca="1">MMS_PastureBeef_Soil_N2ODirect_Equations.VEERG_4_2_1_3__2_TotalNitrogenExcretedToPastureRangeAndPaddock(G193,G171,G201)</f>
        <v>#N/A</v>
      </c>
      <c r="H209" s="15" t="e" cm="1">
        <f t="array" aca="1" ref="H209" ca="1">MMS_PastureBeef_Soil_N2ODirect_Equations.VEERG_4_2_1_3__2_TotalNitrogenExcretedToPastureRangeAndPaddock(H193,H171,H201)</f>
        <v>#N/A</v>
      </c>
      <c r="I209" s="15" t="e" cm="1">
        <f t="array" aca="1" ref="I209" ca="1">MMS_PastureBeef_Soil_N2ODirect_Equations.VEERG_4_2_1_3__2_TotalNitrogenExcretedToPastureRangeAndPaddock(I193,I171,I201)</f>
        <v>#N/A</v>
      </c>
      <c r="J209" s="15" t="e" cm="1">
        <f t="array" aca="1" ref="J209" ca="1">MMS_PastureBeef_Soil_N2ODirect_Equations.VEERG_4_2_1_3__2_TotalNitrogenExcretedToPastureRangeAndPaddock(J193,J171,J201)</f>
        <v>#N/A</v>
      </c>
      <c r="K209" s="15" t="e" cm="1">
        <f t="array" aca="1" ref="K209" ca="1">MMS_PastureBeef_Soil_N2ODirect_Equations.VEERG_4_2_1_3__2_TotalNitrogenExcretedToPastureRangeAndPaddock(K193,K171,K201)</f>
        <v>#N/A</v>
      </c>
      <c r="L209" s="15" t="e" cm="1">
        <f t="array" aca="1" ref="L209" ca="1">MMS_PastureBeef_Soil_N2ODirect_Equations.VEERG_4_2_1_3__2_TotalNitrogenExcretedToPastureRangeAndPaddock(L193,L171,L201)</f>
        <v>#N/A</v>
      </c>
      <c r="M209" s="15" t="e" cm="1">
        <f t="array" aca="1" ref="M209" ca="1">MMS_PastureBeef_Soil_N2ODirect_Equations.VEERG_4_2_1_3__2_TotalNitrogenExcretedToPastureRangeAndPaddock(M193,M171,M201)</f>
        <v>#N/A</v>
      </c>
      <c r="N209" s="15" t="e" cm="1">
        <f t="array" aca="1" ref="N209" ca="1">MMS_PastureBeef_Soil_N2ODirect_Equations.VEERG_4_2_1_3__2_TotalNitrogenExcretedToPastureRangeAndPaddock(N193,N171,N201)</f>
        <v>#N/A</v>
      </c>
      <c r="O209" s="16" t="str">
        <f>$E$182</f>
        <v>kg N</v>
      </c>
    </row>
    <row r="210" spans="3:35" ht="20" customHeight="1" x14ac:dyDescent="0.25">
      <c r="D210" s="15" t="s">
        <v>338</v>
      </c>
      <c r="E210" s="15" t="e" cm="1">
        <f t="array" aca="1" ref="E210" ca="1">MMS_PastureBeef_Soil_N2ODirect_Equations.VEERG_4_2_1_3__2_TotalNitrogenExcretedToPastureRangeAndPaddock(E194,E172,E202)</f>
        <v>#N/A</v>
      </c>
      <c r="F210" s="15" t="e" cm="1">
        <f t="array" aca="1" ref="F210" ca="1">MMS_PastureBeef_Soil_N2ODirect_Equations.VEERG_4_2_1_3__2_TotalNitrogenExcretedToPastureRangeAndPaddock(F194,F172,F202)</f>
        <v>#N/A</v>
      </c>
      <c r="G210" s="15" t="e" cm="1">
        <f t="array" aca="1" ref="G210" ca="1">MMS_PastureBeef_Soil_N2ODirect_Equations.VEERG_4_2_1_3__2_TotalNitrogenExcretedToPastureRangeAndPaddock(G194,G172,G202)</f>
        <v>#N/A</v>
      </c>
      <c r="H210" s="15" t="e" cm="1">
        <f t="array" aca="1" ref="H210" ca="1">MMS_PastureBeef_Soil_N2ODirect_Equations.VEERG_4_2_1_3__2_TotalNitrogenExcretedToPastureRangeAndPaddock(H194,H172,H202)</f>
        <v>#N/A</v>
      </c>
      <c r="I210" s="15" t="e" cm="1">
        <f t="array" aca="1" ref="I210" ca="1">MMS_PastureBeef_Soil_N2ODirect_Equations.VEERG_4_2_1_3__2_TotalNitrogenExcretedToPastureRangeAndPaddock(I194,I172,I202)</f>
        <v>#N/A</v>
      </c>
      <c r="J210" s="15" t="e" cm="1">
        <f t="array" aca="1" ref="J210" ca="1">MMS_PastureBeef_Soil_N2ODirect_Equations.VEERG_4_2_1_3__2_TotalNitrogenExcretedToPastureRangeAndPaddock(J194,J172,J202)</f>
        <v>#N/A</v>
      </c>
      <c r="K210" s="15" t="e" cm="1">
        <f t="array" aca="1" ref="K210" ca="1">MMS_PastureBeef_Soil_N2ODirect_Equations.VEERG_4_2_1_3__2_TotalNitrogenExcretedToPastureRangeAndPaddock(K194,K172,K202)</f>
        <v>#N/A</v>
      </c>
      <c r="L210" s="15" t="e" cm="1">
        <f t="array" aca="1" ref="L210" ca="1">MMS_PastureBeef_Soil_N2ODirect_Equations.VEERG_4_2_1_3__2_TotalNitrogenExcretedToPastureRangeAndPaddock(L194,L172,L202)</f>
        <v>#N/A</v>
      </c>
      <c r="M210" s="15" t="e" cm="1">
        <f t="array" aca="1" ref="M210" ca="1">MMS_PastureBeef_Soil_N2ODirect_Equations.VEERG_4_2_1_3__2_TotalNitrogenExcretedToPastureRangeAndPaddock(M194,M172,M202)</f>
        <v>#N/A</v>
      </c>
      <c r="N210" s="15" t="e" cm="1">
        <f t="array" aca="1" ref="N210" ca="1">MMS_PastureBeef_Soil_N2ODirect_Equations.VEERG_4_2_1_3__2_TotalNitrogenExcretedToPastureRangeAndPaddock(N194,N172,N202)</f>
        <v>#N/A</v>
      </c>
      <c r="O210" s="16" t="str">
        <f>$E$182</f>
        <v>kg N</v>
      </c>
      <c r="T210" s="87"/>
      <c r="U210" s="87"/>
      <c r="V210" s="87"/>
      <c r="W210" s="87"/>
      <c r="X210" s="87"/>
      <c r="Y210" s="87"/>
      <c r="Z210" s="87"/>
      <c r="AA210" s="87"/>
      <c r="AB210" s="87"/>
      <c r="AC210" s="87"/>
      <c r="AD210" s="87"/>
      <c r="AE210" s="87"/>
      <c r="AF210" s="87"/>
      <c r="AG210" s="87"/>
      <c r="AH210" s="87"/>
      <c r="AI210" s="87"/>
    </row>
    <row r="211" spans="3:35" ht="20" customHeight="1" x14ac:dyDescent="0.25">
      <c r="U211" s="2" t="str" cm="1">
        <f t="array" ref="U211">MMS_PastureBeef_Soil_N2ODirect_Equations.VEERG_4_2_1_3__2_TotalNitrogenExcretedToPastureRangeAndPaddock_Title()</f>
        <v>Total nitrogen excreted to pasture, range and paddock</v>
      </c>
    </row>
    <row r="212" spans="3:35" ht="20" customHeight="1" x14ac:dyDescent="0.25">
      <c r="D212" s="93" t="s">
        <v>473</v>
      </c>
      <c r="E212" s="87" t="e">
        <f ca="1">SUM(E207:N210)</f>
        <v>#N/A</v>
      </c>
      <c r="F212" s="94" t="str">
        <f>E182</f>
        <v>kg N</v>
      </c>
    </row>
    <row r="213" spans="3:35" ht="20" customHeight="1" x14ac:dyDescent="0.25">
      <c r="U213" s="112" t="s">
        <v>423</v>
      </c>
    </row>
    <row r="214" spans="3:35" ht="20" customHeight="1" x14ac:dyDescent="0.25">
      <c r="U214" s="113" t="s">
        <v>425</v>
      </c>
    </row>
    <row r="215" spans="3:35" ht="20" customHeight="1" x14ac:dyDescent="0.25">
      <c r="C215" s="87"/>
      <c r="D215" s="87"/>
      <c r="E215" s="87"/>
      <c r="F215" s="87"/>
      <c r="G215" s="87"/>
      <c r="H215" s="87"/>
      <c r="I215" s="87"/>
      <c r="J215" s="87"/>
      <c r="K215" s="87"/>
      <c r="L215" s="87"/>
      <c r="M215" s="87"/>
      <c r="N215" s="87"/>
      <c r="O215" s="87"/>
      <c r="P215" s="87"/>
      <c r="Q215" s="87"/>
      <c r="R215" s="87"/>
      <c r="U215" s="114" t="s">
        <v>75</v>
      </c>
      <c r="V215" s="82" t="s">
        <v>326</v>
      </c>
      <c r="W215" s="82" t="s">
        <v>184</v>
      </c>
      <c r="X215" s="82" t="s">
        <v>327</v>
      </c>
      <c r="Y215" s="82" t="s">
        <v>328</v>
      </c>
      <c r="Z215" s="82" t="s">
        <v>329</v>
      </c>
      <c r="AA215" s="82" t="s">
        <v>330</v>
      </c>
      <c r="AB215" s="82" t="s">
        <v>331</v>
      </c>
      <c r="AC215" s="82" t="s">
        <v>332</v>
      </c>
      <c r="AD215" s="82" t="s">
        <v>333</v>
      </c>
      <c r="AE215" s="82" t="s">
        <v>334</v>
      </c>
    </row>
    <row r="216" spans="3:35" ht="20" customHeight="1" x14ac:dyDescent="0.25">
      <c r="D216" s="2" t="str" cm="1">
        <f t="array" ref="D216">MMS_PastureBeef_Soil_N2ODirect_Equations.VEERG_4_2_1_3__1_DirectNitrousOxideEmissionsOnPasture_Title()</f>
        <v>Total annual direct nitrous oxide emissions from agricultural soils from deposition of urine and dung</v>
      </c>
      <c r="U216" s="15" t="str">
        <f>TEXT(X_Cell_Site_StartDate,"mmmm")</f>
        <v>January</v>
      </c>
      <c r="V216" s="15" cm="1">
        <f t="array" aca="1" ref="V216:AE227" ca="1">OFFSET(X_Table_PastureBeef_Head_Method2, 1,1, 12,10)</f>
        <v>0</v>
      </c>
      <c r="W216" s="15">
        <f ca="1"/>
        <v>0</v>
      </c>
      <c r="X216" s="15">
        <f ca="1"/>
        <v>0</v>
      </c>
      <c r="Y216" s="15">
        <f ca="1"/>
        <v>0</v>
      </c>
      <c r="Z216" s="15">
        <f ca="1"/>
        <v>0</v>
      </c>
      <c r="AA216" s="15">
        <f ca="1"/>
        <v>0</v>
      </c>
      <c r="AB216" s="15">
        <f ca="1"/>
        <v>0</v>
      </c>
      <c r="AC216" s="15">
        <f ca="1"/>
        <v>0</v>
      </c>
      <c r="AD216" s="15">
        <f ca="1"/>
        <v>0</v>
      </c>
      <c r="AE216" s="15">
        <f ca="1"/>
        <v>0</v>
      </c>
      <c r="AF216" s="16" t="s">
        <v>426</v>
      </c>
      <c r="AG216" s="16"/>
      <c r="AH216" s="16"/>
    </row>
    <row r="217" spans="3:35" ht="20" customHeight="1" x14ac:dyDescent="0.25">
      <c r="D217" s="17" t="str" cm="1">
        <f t="array" ref="D217">MMS_PastureBeef_Soil_N2ODirect_Equations.VEERG_4_2_1_3__1_DirectNitrousOxideEmissionsOnPasture_Source()</f>
        <v>VEERG 2026: 4.2.1.3, Equation (1)</v>
      </c>
      <c r="U217" s="15" t="str">
        <f>TEXT(EDATE(X_Cell_Site_StartDate,1), "mmmm")</f>
        <v>January</v>
      </c>
      <c r="V217" s="15">
        <f ca="1"/>
        <v>0</v>
      </c>
      <c r="W217" s="15">
        <f ca="1"/>
        <v>0</v>
      </c>
      <c r="X217" s="15">
        <f ca="1"/>
        <v>0</v>
      </c>
      <c r="Y217" s="15">
        <f ca="1"/>
        <v>0</v>
      </c>
      <c r="Z217" s="15">
        <f ca="1"/>
        <v>0</v>
      </c>
      <c r="AA217" s="15">
        <f ca="1"/>
        <v>0</v>
      </c>
      <c r="AB217" s="15">
        <f ca="1"/>
        <v>0</v>
      </c>
      <c r="AC217" s="15">
        <f ca="1"/>
        <v>0</v>
      </c>
      <c r="AD217" s="15">
        <f ca="1"/>
        <v>0</v>
      </c>
      <c r="AE217" s="15">
        <f ca="1"/>
        <v>0</v>
      </c>
      <c r="AF217" s="16" t="s">
        <v>426</v>
      </c>
      <c r="AG217" s="16"/>
      <c r="AH217" s="16"/>
    </row>
    <row r="218" spans="3:35" ht="20" customHeight="1" x14ac:dyDescent="0.25">
      <c r="D218" s="103" t="s">
        <v>372</v>
      </c>
      <c r="E218" s="103" t="str">
        <f ca="1">Common_InputFunctions.Utility_DisplayFunctionName(VEERG_4_2_1_3__1_DirectNitrousOxideEmissionsOnPasture_Result_Method1)</f>
        <v>=@MMS_PastureBeef_Soil_N2ODirect_Equations.VEERG_4_2_1_3__1_DirectNitrousOxideEmissionsOnPasture</v>
      </c>
      <c r="U218" s="15" t="str">
        <f>TEXT(EDATE(X_Cell_Site_StartDate,2), "mmmm")</f>
        <v>February</v>
      </c>
      <c r="V218" s="15">
        <f ca="1"/>
        <v>0</v>
      </c>
      <c r="W218" s="15">
        <f ca="1"/>
        <v>0</v>
      </c>
      <c r="X218" s="15">
        <f ca="1"/>
        <v>0</v>
      </c>
      <c r="Y218" s="15">
        <f ca="1"/>
        <v>0</v>
      </c>
      <c r="Z218" s="15">
        <f ca="1"/>
        <v>0</v>
      </c>
      <c r="AA218" s="15">
        <f ca="1"/>
        <v>0</v>
      </c>
      <c r="AB218" s="15">
        <f ca="1"/>
        <v>0</v>
      </c>
      <c r="AC218" s="15">
        <f ca="1"/>
        <v>0</v>
      </c>
      <c r="AD218" s="15">
        <f ca="1"/>
        <v>0</v>
      </c>
      <c r="AE218" s="15">
        <f ca="1"/>
        <v>0</v>
      </c>
      <c r="AF218" s="16" t="s">
        <v>426</v>
      </c>
      <c r="AG218" s="16"/>
      <c r="AH218" s="16"/>
    </row>
    <row r="219" spans="3:35" ht="20" customHeight="1" x14ac:dyDescent="0.25">
      <c r="U219" s="15" t="str">
        <f>TEXT(EDATE(X_Cell_Site_StartDate,3), "mmmm")</f>
        <v>March</v>
      </c>
      <c r="V219" s="15">
        <f ca="1"/>
        <v>0</v>
      </c>
      <c r="W219" s="15">
        <f ca="1"/>
        <v>0</v>
      </c>
      <c r="X219" s="15">
        <f ca="1"/>
        <v>0</v>
      </c>
      <c r="Y219" s="15">
        <f ca="1"/>
        <v>0</v>
      </c>
      <c r="Z219" s="15">
        <f ca="1"/>
        <v>0</v>
      </c>
      <c r="AA219" s="15">
        <f ca="1"/>
        <v>0</v>
      </c>
      <c r="AB219" s="15">
        <f ca="1"/>
        <v>0</v>
      </c>
      <c r="AC219" s="15">
        <f ca="1"/>
        <v>0</v>
      </c>
      <c r="AD219" s="15">
        <f ca="1"/>
        <v>0</v>
      </c>
      <c r="AE219" s="15">
        <f ca="1"/>
        <v>0</v>
      </c>
      <c r="AF219" s="16" t="s">
        <v>426</v>
      </c>
      <c r="AG219" s="16"/>
      <c r="AH219" s="16"/>
    </row>
    <row r="220" spans="3:35" ht="20" customHeight="1" x14ac:dyDescent="0.25">
      <c r="U220" s="15" t="str">
        <f>TEXT(EDATE(X_Cell_Site_StartDate,4), "mmmm")</f>
        <v>April</v>
      </c>
      <c r="V220" s="15">
        <f ca="1"/>
        <v>0</v>
      </c>
      <c r="W220" s="15">
        <f ca="1"/>
        <v>0</v>
      </c>
      <c r="X220" s="15">
        <f ca="1"/>
        <v>0</v>
      </c>
      <c r="Y220" s="15">
        <f ca="1"/>
        <v>0</v>
      </c>
      <c r="Z220" s="15">
        <f ca="1"/>
        <v>0</v>
      </c>
      <c r="AA220" s="15">
        <f ca="1"/>
        <v>0</v>
      </c>
      <c r="AB220" s="15">
        <f ca="1"/>
        <v>0</v>
      </c>
      <c r="AC220" s="15">
        <f ca="1"/>
        <v>0</v>
      </c>
      <c r="AD220" s="15">
        <f ca="1"/>
        <v>0</v>
      </c>
      <c r="AE220" s="15">
        <f ca="1"/>
        <v>0</v>
      </c>
      <c r="AF220" s="16" t="s">
        <v>426</v>
      </c>
      <c r="AG220" s="16"/>
      <c r="AH220" s="16"/>
    </row>
    <row r="221" spans="3:35" ht="20" customHeight="1" x14ac:dyDescent="0.25">
      <c r="D221" s="77" t="s">
        <v>374</v>
      </c>
      <c r="E221" s="1" t="str" cm="1">
        <f t="array" ref="E221">MMS_PastureBeef_Soil_N2ODirect_Equations.VEERG_4_2_1_3__1_DirectNitrousOxideEmissionsOnPasture_Variable()</f>
        <v>E_N2Odir</v>
      </c>
      <c r="U221" s="15" t="str">
        <f>TEXT(EDATE(X_Cell_Site_StartDate,5), "mmmm")</f>
        <v>May</v>
      </c>
      <c r="V221" s="15">
        <f ca="1"/>
        <v>0</v>
      </c>
      <c r="W221" s="15">
        <f ca="1"/>
        <v>0</v>
      </c>
      <c r="X221" s="15">
        <f ca="1"/>
        <v>0</v>
      </c>
      <c r="Y221" s="15">
        <f ca="1"/>
        <v>0</v>
      </c>
      <c r="Z221" s="15">
        <f ca="1"/>
        <v>0</v>
      </c>
      <c r="AA221" s="15">
        <f ca="1"/>
        <v>0</v>
      </c>
      <c r="AB221" s="15">
        <f ca="1"/>
        <v>0</v>
      </c>
      <c r="AC221" s="15">
        <f ca="1"/>
        <v>0</v>
      </c>
      <c r="AD221" s="15">
        <f ca="1"/>
        <v>0</v>
      </c>
      <c r="AE221" s="15">
        <f ca="1"/>
        <v>0</v>
      </c>
      <c r="AF221" s="16" t="s">
        <v>426</v>
      </c>
      <c r="AG221" s="16"/>
      <c r="AH221" s="16"/>
    </row>
    <row r="222" spans="3:35" ht="20" customHeight="1" x14ac:dyDescent="0.25">
      <c r="D222" s="77" t="s">
        <v>121</v>
      </c>
      <c r="E222" s="9" t="str" cm="1">
        <f t="array" ref="E222">MMS_PastureBeef_Soil_N2ODirect_Equations.VEERG_4_2_1_3__1_DirectNitrousOxideEmissionsOnPasture_Unit()</f>
        <v>t N2O</v>
      </c>
      <c r="U222" s="15" t="str">
        <f>TEXT(EDATE(X_Cell_Site_StartDate,6), "mmmm")</f>
        <v>June</v>
      </c>
      <c r="V222" s="15">
        <f ca="1"/>
        <v>0</v>
      </c>
      <c r="W222" s="15">
        <f ca="1"/>
        <v>0</v>
      </c>
      <c r="X222" s="15">
        <f ca="1"/>
        <v>0</v>
      </c>
      <c r="Y222" s="15">
        <f ca="1"/>
        <v>0</v>
      </c>
      <c r="Z222" s="15">
        <f ca="1"/>
        <v>0</v>
      </c>
      <c r="AA222" s="15">
        <f ca="1"/>
        <v>0</v>
      </c>
      <c r="AB222" s="15">
        <f ca="1"/>
        <v>0</v>
      </c>
      <c r="AC222" s="15">
        <f ca="1"/>
        <v>0</v>
      </c>
      <c r="AD222" s="15">
        <f ca="1"/>
        <v>0</v>
      </c>
      <c r="AE222" s="15">
        <f ca="1"/>
        <v>0</v>
      </c>
      <c r="AF222" s="16" t="s">
        <v>426</v>
      </c>
      <c r="AG222" s="16"/>
      <c r="AH222" s="16"/>
    </row>
    <row r="223" spans="3:35" ht="20" customHeight="1" x14ac:dyDescent="0.25">
      <c r="U223" s="15" t="str">
        <f>TEXT(EDATE(X_Cell_Site_StartDate,7), "mmmm")</f>
        <v>July</v>
      </c>
      <c r="V223" s="15">
        <f ca="1"/>
        <v>0</v>
      </c>
      <c r="W223" s="15">
        <f ca="1"/>
        <v>0</v>
      </c>
      <c r="X223" s="15">
        <f ca="1"/>
        <v>0</v>
      </c>
      <c r="Y223" s="15">
        <f ca="1"/>
        <v>0</v>
      </c>
      <c r="Z223" s="15">
        <f ca="1"/>
        <v>0</v>
      </c>
      <c r="AA223" s="15">
        <f ca="1"/>
        <v>0</v>
      </c>
      <c r="AB223" s="15">
        <f ca="1"/>
        <v>0</v>
      </c>
      <c r="AC223" s="15">
        <f ca="1"/>
        <v>0</v>
      </c>
      <c r="AD223" s="15">
        <f ca="1"/>
        <v>0</v>
      </c>
      <c r="AE223" s="15">
        <f ca="1"/>
        <v>0</v>
      </c>
      <c r="AF223" s="16" t="s">
        <v>426</v>
      </c>
      <c r="AG223" s="16"/>
      <c r="AH223" s="16"/>
    </row>
    <row r="224" spans="3:35" ht="20" customHeight="1" x14ac:dyDescent="0.25">
      <c r="D224" s="119" t="str" cm="1">
        <f t="array" ref="D224:G227">MMS_PastureBeef_Soil_N2ODirect_Equations.VEERG_4_2_1_3__1_DirectNitrousOxideEmissionsOnPasture_Arguments()</f>
        <v>AE</v>
      </c>
      <c r="E224" s="120" t="str">
        <v>total mass of nitrogen excreted on PRP for beef cattle</v>
      </c>
      <c r="F224" s="121" t="str">
        <v>kg N</v>
      </c>
      <c r="G224" s="122" t="str">
        <v>Calculated from 4.2.1.3 (2)</v>
      </c>
      <c r="H224" s="119" t="str">
        <f>"See " &amp; D204</f>
        <v>See M1_Table_AE</v>
      </c>
      <c r="U224" s="15" t="str">
        <f>TEXT(EDATE(X_Cell_Site_StartDate,8), "mmmm")</f>
        <v>August</v>
      </c>
      <c r="V224" s="15">
        <f ca="1"/>
        <v>0</v>
      </c>
      <c r="W224" s="15">
        <f ca="1"/>
        <v>0</v>
      </c>
      <c r="X224" s="15">
        <f ca="1"/>
        <v>0</v>
      </c>
      <c r="Y224" s="15">
        <f ca="1"/>
        <v>0</v>
      </c>
      <c r="Z224" s="15">
        <f ca="1"/>
        <v>0</v>
      </c>
      <c r="AA224" s="15">
        <f ca="1"/>
        <v>0</v>
      </c>
      <c r="AB224" s="15">
        <f ca="1"/>
        <v>0</v>
      </c>
      <c r="AC224" s="15">
        <f ca="1"/>
        <v>0</v>
      </c>
      <c r="AD224" s="15">
        <f ca="1"/>
        <v>0</v>
      </c>
      <c r="AE224" s="15">
        <f ca="1"/>
        <v>0</v>
      </c>
      <c r="AF224" s="16" t="s">
        <v>426</v>
      </c>
      <c r="AG224" s="16"/>
      <c r="AH224" s="16"/>
    </row>
    <row r="225" spans="4:34" ht="20" customHeight="1" x14ac:dyDescent="0.25">
      <c r="D225" s="119" t="str">
        <v>EF_PRP</v>
      </c>
      <c r="E225" s="120" t="str">
        <v>emission factor for nitrous oxide from urine and dung deposited to soil</v>
      </c>
      <c r="F225" s="121" t="str">
        <v>kg N2O-N/kg N deposited</v>
      </c>
      <c r="G225" s="122" t="str">
        <v>Constant</v>
      </c>
      <c r="H225" s="116" t="e">
        <f>_xlfn.XLOOKUP(H227,Table_SourceData_EFPastureRangeAndPaddock[Climate zone],Table_SourceData_EFPastureRangeAndPaddock[EFPRP])</f>
        <v>#DIV/0!</v>
      </c>
      <c r="U225" s="15" t="str">
        <f>TEXT(EDATE(X_Cell_Site_StartDate,9), "mmmm")</f>
        <v>September</v>
      </c>
      <c r="V225" s="15">
        <f ca="1"/>
        <v>0</v>
      </c>
      <c r="W225" s="15">
        <f ca="1"/>
        <v>0</v>
      </c>
      <c r="X225" s="15">
        <f ca="1"/>
        <v>0</v>
      </c>
      <c r="Y225" s="15">
        <f ca="1"/>
        <v>0</v>
      </c>
      <c r="Z225" s="15">
        <f ca="1"/>
        <v>0</v>
      </c>
      <c r="AA225" s="15">
        <f ca="1"/>
        <v>0</v>
      </c>
      <c r="AB225" s="15">
        <f ca="1"/>
        <v>0</v>
      </c>
      <c r="AC225" s="15">
        <f ca="1"/>
        <v>0</v>
      </c>
      <c r="AD225" s="15">
        <f ca="1"/>
        <v>0</v>
      </c>
      <c r="AE225" s="15">
        <f ca="1"/>
        <v>0</v>
      </c>
      <c r="AF225" s="16" t="s">
        <v>426</v>
      </c>
      <c r="AG225" s="16"/>
      <c r="AH225" s="16"/>
    </row>
    <row r="226" spans="4:34" ht="20" customHeight="1" x14ac:dyDescent="0.25">
      <c r="D226" s="119" t="str">
        <v>C_N2O</v>
      </c>
      <c r="E226" s="120" t="str">
        <v>factor to convert elemental mass of nitrous oxide to molecular mass</v>
      </c>
      <c r="F226" s="121" t="str">
        <v/>
      </c>
      <c r="G226" s="122" t="str">
        <v>Constant</v>
      </c>
      <c r="H226" s="116">
        <f>Common_InputFunctions.Utility_LookupValueInTableNumber("N2O",Table_GasToMolecularConversionFactor[Gas],Table_GasToMolecularConversionFactor[Conversion factor combined])</f>
        <v>1.5714285714285714</v>
      </c>
      <c r="U226" s="15" t="str">
        <f>TEXT(EDATE(X_Cell_Site_StartDate,10), "mmmm")</f>
        <v>October</v>
      </c>
      <c r="V226" s="15">
        <f ca="1"/>
        <v>0</v>
      </c>
      <c r="W226" s="15">
        <f ca="1"/>
        <v>0</v>
      </c>
      <c r="X226" s="15">
        <f ca="1"/>
        <v>0</v>
      </c>
      <c r="Y226" s="15">
        <f ca="1"/>
        <v>0</v>
      </c>
      <c r="Z226" s="15">
        <f ca="1"/>
        <v>0</v>
      </c>
      <c r="AA226" s="15">
        <f ca="1"/>
        <v>0</v>
      </c>
      <c r="AB226" s="15">
        <f ca="1"/>
        <v>0</v>
      </c>
      <c r="AC226" s="15">
        <f ca="1"/>
        <v>0</v>
      </c>
      <c r="AD226" s="15">
        <f ca="1"/>
        <v>0</v>
      </c>
      <c r="AE226" s="15">
        <f ca="1"/>
        <v>0</v>
      </c>
      <c r="AF226" s="16" t="s">
        <v>426</v>
      </c>
      <c r="AG226" s="16"/>
      <c r="AH226" s="16"/>
    </row>
    <row r="227" spans="4:34" ht="20" customHeight="1" x14ac:dyDescent="0.25">
      <c r="D227" s="119" t="str">
        <v>z</v>
      </c>
      <c r="E227" s="120" t="str">
        <v>wet or dry climate zone</v>
      </c>
      <c r="F227" s="121" t="str">
        <v/>
      </c>
      <c r="G227" s="122" t="str">
        <v>Input</v>
      </c>
      <c r="H227" s="119" t="e">
        <f>X_Cell_Site_WetOrDryClimateZone</f>
        <v>#DIV/0!</v>
      </c>
      <c r="U227" s="15" t="str">
        <f>TEXT(EDATE(X_Cell_Site_StartDate,11), "mmmm")</f>
        <v>November</v>
      </c>
      <c r="V227" s="15">
        <f ca="1"/>
        <v>0</v>
      </c>
      <c r="W227" s="15">
        <f ca="1"/>
        <v>0</v>
      </c>
      <c r="X227" s="15">
        <f ca="1"/>
        <v>0</v>
      </c>
      <c r="Y227" s="15">
        <f ca="1"/>
        <v>0</v>
      </c>
      <c r="Z227" s="15">
        <f ca="1"/>
        <v>0</v>
      </c>
      <c r="AA227" s="15">
        <f ca="1"/>
        <v>0</v>
      </c>
      <c r="AB227" s="15">
        <f ca="1"/>
        <v>0</v>
      </c>
      <c r="AC227" s="15">
        <f ca="1"/>
        <v>0</v>
      </c>
      <c r="AD227" s="15">
        <f ca="1"/>
        <v>0</v>
      </c>
      <c r="AE227" s="15">
        <f ca="1"/>
        <v>0</v>
      </c>
      <c r="AF227" s="16" t="s">
        <v>426</v>
      </c>
      <c r="AG227" s="16"/>
      <c r="AH227" s="16"/>
    </row>
    <row r="228" spans="4:34" ht="20" customHeight="1" x14ac:dyDescent="0.25"/>
    <row r="229" spans="4:34" ht="20" customHeight="1" x14ac:dyDescent="0.25">
      <c r="D229" s="90" t="s">
        <v>474</v>
      </c>
      <c r="E229" s="91" t="e">
        <f ca="1">MMS_PastureBeef_Soil_N2ODirect_Equations.VEERG_4_2_1_3__1_DirectNitrousOxideEmissionsOnPasture(VEERG_4_2_1_3__2_TotalNitrogenExcretedToPastureRangeAndPaddock_Result_Method1,$H$225,$H$226)</f>
        <v>#N/A</v>
      </c>
      <c r="F229" s="95" t="str">
        <f>$E$222</f>
        <v>t N2O</v>
      </c>
      <c r="U229" s="112" t="s">
        <v>431</v>
      </c>
    </row>
    <row r="230" spans="4:34" ht="20" customHeight="1" x14ac:dyDescent="0.25">
      <c r="U230" s="113" t="s">
        <v>433</v>
      </c>
    </row>
    <row r="231" spans="4:34" ht="20" customHeight="1" x14ac:dyDescent="0.25">
      <c r="D231" s="116" t="str" cm="1">
        <f t="array" ref="D231:E232">Common_Equations.Common_ConvertN2OToCO2e_Arguments()</f>
        <v>EN2O</v>
      </c>
      <c r="E231" s="117" t="str">
        <v>Nitrous oxide emissions (t N2O)</v>
      </c>
      <c r="F231" s="118"/>
      <c r="G231" s="15" t="e">
        <f ca="1">VEERG_4_2_1_3__1_DirectNitrousOxideEmissionsOnPasture_Result_Method1</f>
        <v>#N/A</v>
      </c>
      <c r="U231" s="114" t="s">
        <v>75</v>
      </c>
      <c r="V231" s="82" t="s">
        <v>326</v>
      </c>
      <c r="W231" s="82" t="s">
        <v>184</v>
      </c>
      <c r="X231" s="82" t="s">
        <v>327</v>
      </c>
      <c r="Y231" s="82" t="s">
        <v>328</v>
      </c>
      <c r="Z231" s="82" t="s">
        <v>329</v>
      </c>
      <c r="AA231" s="82" t="s">
        <v>330</v>
      </c>
      <c r="AB231" s="82" t="s">
        <v>331</v>
      </c>
      <c r="AC231" s="82" t="s">
        <v>332</v>
      </c>
      <c r="AD231" s="82" t="s">
        <v>333</v>
      </c>
      <c r="AE231" s="82" t="s">
        <v>334</v>
      </c>
    </row>
    <row r="232" spans="4:34" ht="20" customHeight="1" x14ac:dyDescent="0.25">
      <c r="D232" s="116" t="str">
        <v>GWPN2O</v>
      </c>
      <c r="E232" s="117" t="str">
        <v>Global warming potential for nitrous oxide (t CO2-e / t N2O)</v>
      </c>
      <c r="F232" s="118"/>
      <c r="G232" s="15">
        <f>Common_InputFunctions.Utility_LookupValueInTableNumber("N2O",Table_GWPData[Gas],Table_GWPData[CO2-e factor])</f>
        <v>265</v>
      </c>
      <c r="U232" s="15" t="str">
        <f>TEXT(X_Cell_Site_StartDate,"mmmm")</f>
        <v>January</v>
      </c>
      <c r="V232" s="15" cm="1">
        <f t="array" aca="1" ref="V232:AE243" ca="1">OFFSET(X_Table_PastureBeef_Duration_Method2, 1,1, 12,10)</f>
        <v>31</v>
      </c>
      <c r="W232" s="15">
        <f ca="1"/>
        <v>31</v>
      </c>
      <c r="X232" s="15">
        <f ca="1"/>
        <v>31</v>
      </c>
      <c r="Y232" s="15">
        <f ca="1"/>
        <v>31</v>
      </c>
      <c r="Z232" s="15">
        <f ca="1"/>
        <v>31</v>
      </c>
      <c r="AA232" s="15">
        <f ca="1"/>
        <v>31</v>
      </c>
      <c r="AB232" s="15">
        <f ca="1"/>
        <v>31</v>
      </c>
      <c r="AC232" s="15">
        <f ca="1"/>
        <v>31</v>
      </c>
      <c r="AD232" s="15">
        <f ca="1"/>
        <v>31</v>
      </c>
      <c r="AE232" s="15">
        <f ca="1"/>
        <v>31</v>
      </c>
      <c r="AF232" s="16" t="s">
        <v>429</v>
      </c>
      <c r="AG232" s="16"/>
      <c r="AH232" s="16"/>
    </row>
    <row r="233" spans="4:34" ht="20" customHeight="1" x14ac:dyDescent="0.25">
      <c r="U233" s="15" t="str">
        <f>TEXT(EDATE(X_Cell_Site_StartDate,1), "mmmm")</f>
        <v>January</v>
      </c>
      <c r="V233" s="15">
        <f ca="1"/>
        <v>31</v>
      </c>
      <c r="W233" s="15">
        <f ca="1"/>
        <v>31</v>
      </c>
      <c r="X233" s="15">
        <f ca="1"/>
        <v>31</v>
      </c>
      <c r="Y233" s="15">
        <f ca="1"/>
        <v>31</v>
      </c>
      <c r="Z233" s="15">
        <f ca="1"/>
        <v>31</v>
      </c>
      <c r="AA233" s="15">
        <f ca="1"/>
        <v>31</v>
      </c>
      <c r="AB233" s="15">
        <f ca="1"/>
        <v>31</v>
      </c>
      <c r="AC233" s="15">
        <f ca="1"/>
        <v>31</v>
      </c>
      <c r="AD233" s="15">
        <f ca="1"/>
        <v>31</v>
      </c>
      <c r="AE233" s="15">
        <f ca="1"/>
        <v>31</v>
      </c>
      <c r="AF233" s="16" t="s">
        <v>429</v>
      </c>
      <c r="AG233" s="16"/>
      <c r="AH233" s="16"/>
    </row>
    <row r="234" spans="4:34" ht="20" customHeight="1" x14ac:dyDescent="0.25">
      <c r="D234" s="87" t="s">
        <v>436</v>
      </c>
      <c r="E234" s="87" t="e" cm="1">
        <f t="array" aca="1" ref="E234" ca="1">Common_Equations.Common_ConvertN2OToCO2e(G231,G232)</f>
        <v>#N/A</v>
      </c>
      <c r="F234" s="94" t="str" cm="1">
        <f t="array" ref="F234">Common_Equations.Common_ConvertN2OToCO2e_Unit()</f>
        <v>t CO2e</v>
      </c>
      <c r="U234" s="15" t="str">
        <f>TEXT(EDATE(X_Cell_Site_StartDate,2), "mmmm")</f>
        <v>February</v>
      </c>
      <c r="V234" s="15">
        <f ca="1"/>
        <v>28</v>
      </c>
      <c r="W234" s="15">
        <f ca="1"/>
        <v>28</v>
      </c>
      <c r="X234" s="15">
        <f ca="1"/>
        <v>28</v>
      </c>
      <c r="Y234" s="15">
        <f ca="1"/>
        <v>28</v>
      </c>
      <c r="Z234" s="15">
        <f ca="1"/>
        <v>28</v>
      </c>
      <c r="AA234" s="15">
        <f ca="1"/>
        <v>28</v>
      </c>
      <c r="AB234" s="15">
        <f ca="1"/>
        <v>28</v>
      </c>
      <c r="AC234" s="15">
        <f ca="1"/>
        <v>28</v>
      </c>
      <c r="AD234" s="15">
        <f ca="1"/>
        <v>28</v>
      </c>
      <c r="AE234" s="15">
        <f ca="1"/>
        <v>28</v>
      </c>
      <c r="AF234" s="16" t="s">
        <v>429</v>
      </c>
      <c r="AG234" s="16"/>
      <c r="AH234" s="16"/>
    </row>
    <row r="235" spans="4:34" ht="20" customHeight="1" x14ac:dyDescent="0.25">
      <c r="U235" s="15" t="str">
        <f>TEXT(EDATE(X_Cell_Site_StartDate,3), "mmmm")</f>
        <v>March</v>
      </c>
      <c r="V235" s="15">
        <f ca="1"/>
        <v>31</v>
      </c>
      <c r="W235" s="15">
        <f ca="1"/>
        <v>31</v>
      </c>
      <c r="X235" s="15">
        <f ca="1"/>
        <v>31</v>
      </c>
      <c r="Y235" s="15">
        <f ca="1"/>
        <v>31</v>
      </c>
      <c r="Z235" s="15">
        <f ca="1"/>
        <v>31</v>
      </c>
      <c r="AA235" s="15">
        <f ca="1"/>
        <v>31</v>
      </c>
      <c r="AB235" s="15">
        <f ca="1"/>
        <v>31</v>
      </c>
      <c r="AC235" s="15">
        <f ca="1"/>
        <v>31</v>
      </c>
      <c r="AD235" s="15">
        <f ca="1"/>
        <v>31</v>
      </c>
      <c r="AE235" s="15">
        <f ca="1"/>
        <v>31</v>
      </c>
      <c r="AF235" s="16" t="s">
        <v>429</v>
      </c>
      <c r="AG235" s="16"/>
      <c r="AH235" s="16"/>
    </row>
    <row r="236" spans="4:34" ht="20" customHeight="1" x14ac:dyDescent="0.25">
      <c r="U236" s="15" t="str">
        <f>TEXT(EDATE(X_Cell_Site_StartDate,4), "mmmm")</f>
        <v>April</v>
      </c>
      <c r="V236" s="15">
        <f ca="1"/>
        <v>30</v>
      </c>
      <c r="W236" s="15">
        <f ca="1"/>
        <v>30</v>
      </c>
      <c r="X236" s="15">
        <f ca="1"/>
        <v>30</v>
      </c>
      <c r="Y236" s="15">
        <f ca="1"/>
        <v>30</v>
      </c>
      <c r="Z236" s="15">
        <f ca="1"/>
        <v>30</v>
      </c>
      <c r="AA236" s="15">
        <f ca="1"/>
        <v>30</v>
      </c>
      <c r="AB236" s="15">
        <f ca="1"/>
        <v>30</v>
      </c>
      <c r="AC236" s="15">
        <f ca="1"/>
        <v>30</v>
      </c>
      <c r="AD236" s="15">
        <f ca="1"/>
        <v>30</v>
      </c>
      <c r="AE236" s="15">
        <f ca="1"/>
        <v>30</v>
      </c>
      <c r="AF236" s="16" t="s">
        <v>429</v>
      </c>
      <c r="AG236" s="16"/>
      <c r="AH236" s="16"/>
    </row>
    <row r="237" spans="4:34" ht="20" customHeight="1" x14ac:dyDescent="0.25">
      <c r="U237" s="15" t="str">
        <f>TEXT(EDATE(X_Cell_Site_StartDate,5), "mmmm")</f>
        <v>May</v>
      </c>
      <c r="V237" s="15">
        <f ca="1"/>
        <v>31</v>
      </c>
      <c r="W237" s="15">
        <f ca="1"/>
        <v>31</v>
      </c>
      <c r="X237" s="15">
        <f ca="1"/>
        <v>31</v>
      </c>
      <c r="Y237" s="15">
        <f ca="1"/>
        <v>31</v>
      </c>
      <c r="Z237" s="15">
        <f ca="1"/>
        <v>31</v>
      </c>
      <c r="AA237" s="15">
        <f ca="1"/>
        <v>31</v>
      </c>
      <c r="AB237" s="15">
        <f ca="1"/>
        <v>31</v>
      </c>
      <c r="AC237" s="15">
        <f ca="1"/>
        <v>31</v>
      </c>
      <c r="AD237" s="15">
        <f ca="1"/>
        <v>31</v>
      </c>
      <c r="AE237" s="15">
        <f ca="1"/>
        <v>31</v>
      </c>
      <c r="AF237" s="16" t="s">
        <v>429</v>
      </c>
      <c r="AG237" s="16"/>
      <c r="AH237" s="16"/>
    </row>
    <row r="238" spans="4:34" ht="20" customHeight="1" x14ac:dyDescent="0.25">
      <c r="U238" s="15" t="str">
        <f>TEXT(EDATE(X_Cell_Site_StartDate,6), "mmmm")</f>
        <v>June</v>
      </c>
      <c r="V238" s="15">
        <f ca="1"/>
        <v>30</v>
      </c>
      <c r="W238" s="15">
        <f ca="1"/>
        <v>30</v>
      </c>
      <c r="X238" s="15">
        <f ca="1"/>
        <v>30</v>
      </c>
      <c r="Y238" s="15">
        <f ca="1"/>
        <v>30</v>
      </c>
      <c r="Z238" s="15">
        <f ca="1"/>
        <v>30</v>
      </c>
      <c r="AA238" s="15">
        <f ca="1"/>
        <v>30</v>
      </c>
      <c r="AB238" s="15">
        <f ca="1"/>
        <v>30</v>
      </c>
      <c r="AC238" s="15">
        <f ca="1"/>
        <v>30</v>
      </c>
      <c r="AD238" s="15">
        <f ca="1"/>
        <v>30</v>
      </c>
      <c r="AE238" s="15">
        <f ca="1"/>
        <v>30</v>
      </c>
      <c r="AF238" s="16" t="s">
        <v>429</v>
      </c>
      <c r="AG238" s="16"/>
      <c r="AH238" s="16"/>
    </row>
    <row r="239" spans="4:34" ht="20" customHeight="1" x14ac:dyDescent="0.25">
      <c r="U239" s="15" t="str">
        <f>TEXT(EDATE(X_Cell_Site_StartDate,7), "mmmm")</f>
        <v>July</v>
      </c>
      <c r="V239" s="15">
        <f ca="1"/>
        <v>31</v>
      </c>
      <c r="W239" s="15">
        <f ca="1"/>
        <v>31</v>
      </c>
      <c r="X239" s="15">
        <f ca="1"/>
        <v>31</v>
      </c>
      <c r="Y239" s="15">
        <f ca="1"/>
        <v>31</v>
      </c>
      <c r="Z239" s="15">
        <f ca="1"/>
        <v>31</v>
      </c>
      <c r="AA239" s="15">
        <f ca="1"/>
        <v>31</v>
      </c>
      <c r="AB239" s="15">
        <f ca="1"/>
        <v>31</v>
      </c>
      <c r="AC239" s="15">
        <f ca="1"/>
        <v>31</v>
      </c>
      <c r="AD239" s="15">
        <f ca="1"/>
        <v>31</v>
      </c>
      <c r="AE239" s="15">
        <f ca="1"/>
        <v>31</v>
      </c>
      <c r="AF239" s="16" t="s">
        <v>429</v>
      </c>
      <c r="AG239" s="16"/>
      <c r="AH239" s="16"/>
    </row>
    <row r="240" spans="4:34" ht="20" customHeight="1" x14ac:dyDescent="0.25">
      <c r="U240" s="15" t="str">
        <f>TEXT(EDATE(X_Cell_Site_StartDate,8), "mmmm")</f>
        <v>August</v>
      </c>
      <c r="V240" s="15">
        <f ca="1"/>
        <v>31</v>
      </c>
      <c r="W240" s="15">
        <f ca="1"/>
        <v>31</v>
      </c>
      <c r="X240" s="15">
        <f ca="1"/>
        <v>31</v>
      </c>
      <c r="Y240" s="15">
        <f ca="1"/>
        <v>31</v>
      </c>
      <c r="Z240" s="15">
        <f ca="1"/>
        <v>31</v>
      </c>
      <c r="AA240" s="15">
        <f ca="1"/>
        <v>31</v>
      </c>
      <c r="AB240" s="15">
        <f ca="1"/>
        <v>31</v>
      </c>
      <c r="AC240" s="15">
        <f ca="1"/>
        <v>31</v>
      </c>
      <c r="AD240" s="15">
        <f ca="1"/>
        <v>31</v>
      </c>
      <c r="AE240" s="15">
        <f ca="1"/>
        <v>31</v>
      </c>
      <c r="AF240" s="16" t="s">
        <v>429</v>
      </c>
      <c r="AG240" s="16"/>
      <c r="AH240" s="16"/>
    </row>
    <row r="241" spans="21:34" ht="20" customHeight="1" x14ac:dyDescent="0.25">
      <c r="U241" s="15" t="str">
        <f>TEXT(EDATE(X_Cell_Site_StartDate,9), "mmmm")</f>
        <v>September</v>
      </c>
      <c r="V241" s="15">
        <f ca="1"/>
        <v>30</v>
      </c>
      <c r="W241" s="15">
        <f ca="1"/>
        <v>30</v>
      </c>
      <c r="X241" s="15">
        <f ca="1"/>
        <v>30</v>
      </c>
      <c r="Y241" s="15">
        <f ca="1"/>
        <v>30</v>
      </c>
      <c r="Z241" s="15">
        <f ca="1"/>
        <v>30</v>
      </c>
      <c r="AA241" s="15">
        <f ca="1"/>
        <v>30</v>
      </c>
      <c r="AB241" s="15">
        <f ca="1"/>
        <v>30</v>
      </c>
      <c r="AC241" s="15">
        <f ca="1"/>
        <v>30</v>
      </c>
      <c r="AD241" s="15">
        <f ca="1"/>
        <v>30</v>
      </c>
      <c r="AE241" s="15">
        <f ca="1"/>
        <v>30</v>
      </c>
      <c r="AF241" s="16" t="s">
        <v>429</v>
      </c>
      <c r="AG241" s="16"/>
      <c r="AH241" s="16"/>
    </row>
    <row r="242" spans="21:34" ht="20" customHeight="1" x14ac:dyDescent="0.25">
      <c r="U242" s="15" t="str">
        <f>TEXT(EDATE(X_Cell_Site_StartDate,10), "mmmm")</f>
        <v>October</v>
      </c>
      <c r="V242" s="15">
        <f ca="1"/>
        <v>31</v>
      </c>
      <c r="W242" s="15">
        <f ca="1"/>
        <v>31</v>
      </c>
      <c r="X242" s="15">
        <f ca="1"/>
        <v>31</v>
      </c>
      <c r="Y242" s="15">
        <f ca="1"/>
        <v>31</v>
      </c>
      <c r="Z242" s="15">
        <f ca="1"/>
        <v>31</v>
      </c>
      <c r="AA242" s="15">
        <f ca="1"/>
        <v>31</v>
      </c>
      <c r="AB242" s="15">
        <f ca="1"/>
        <v>31</v>
      </c>
      <c r="AC242" s="15">
        <f ca="1"/>
        <v>31</v>
      </c>
      <c r="AD242" s="15">
        <f ca="1"/>
        <v>31</v>
      </c>
      <c r="AE242" s="15">
        <f ca="1"/>
        <v>31</v>
      </c>
      <c r="AF242" s="16" t="s">
        <v>429</v>
      </c>
      <c r="AG242" s="16"/>
      <c r="AH242" s="16"/>
    </row>
    <row r="243" spans="21:34" ht="20" customHeight="1" x14ac:dyDescent="0.25">
      <c r="U243" s="15" t="str">
        <f>TEXT(EDATE(X_Cell_Site_StartDate,11), "mmmm")</f>
        <v>November</v>
      </c>
      <c r="V243" s="15">
        <f ca="1"/>
        <v>30</v>
      </c>
      <c r="W243" s="15">
        <f ca="1"/>
        <v>30</v>
      </c>
      <c r="X243" s="15">
        <f ca="1"/>
        <v>30</v>
      </c>
      <c r="Y243" s="15">
        <f ca="1"/>
        <v>30</v>
      </c>
      <c r="Z243" s="15">
        <f ca="1"/>
        <v>30</v>
      </c>
      <c r="AA243" s="15">
        <f ca="1"/>
        <v>30</v>
      </c>
      <c r="AB243" s="15">
        <f ca="1"/>
        <v>30</v>
      </c>
      <c r="AC243" s="15">
        <f ca="1"/>
        <v>30</v>
      </c>
      <c r="AD243" s="15">
        <f ca="1"/>
        <v>30</v>
      </c>
      <c r="AE243" s="15">
        <f ca="1"/>
        <v>30</v>
      </c>
      <c r="AF243" s="16" t="s">
        <v>429</v>
      </c>
      <c r="AG243" s="16"/>
      <c r="AH243" s="16"/>
    </row>
    <row r="244" spans="21:34" ht="20" customHeight="1" x14ac:dyDescent="0.25"/>
    <row r="245" spans="21:34" ht="20" customHeight="1" x14ac:dyDescent="0.25">
      <c r="U245" s="112" t="s">
        <v>475</v>
      </c>
    </row>
    <row r="246" spans="21:34" ht="20" customHeight="1" x14ac:dyDescent="0.25">
      <c r="U246" s="113" t="s">
        <v>476</v>
      </c>
    </row>
    <row r="247" spans="21:34" ht="20" customHeight="1" x14ac:dyDescent="0.25">
      <c r="U247" s="114" t="s">
        <v>75</v>
      </c>
      <c r="V247" s="114" t="s">
        <v>326</v>
      </c>
      <c r="W247" s="114" t="s">
        <v>184</v>
      </c>
      <c r="X247" s="114" t="s">
        <v>327</v>
      </c>
      <c r="Y247" s="114" t="s">
        <v>328</v>
      </c>
      <c r="Z247" s="114" t="s">
        <v>329</v>
      </c>
      <c r="AA247" s="114" t="s">
        <v>330</v>
      </c>
      <c r="AB247" s="114" t="s">
        <v>331</v>
      </c>
      <c r="AC247" s="114" t="s">
        <v>332</v>
      </c>
      <c r="AD247" s="114" t="s">
        <v>333</v>
      </c>
      <c r="AE247" s="114" t="s">
        <v>334</v>
      </c>
    </row>
    <row r="248" spans="21:34" ht="20" customHeight="1" x14ac:dyDescent="0.25">
      <c r="U248" s="15" t="str">
        <f>TEXT(X_Cell_Site_StartDate,"mmmm")</f>
        <v>January</v>
      </c>
      <c r="V248" s="15" t="e" cm="1">
        <f t="array" aca="1" ref="V248" ca="1">MMS_PastureBeef_Soil_N2ODirect_Equations.VEERG_4_2_1_3__2_TotalNitrogenExcretedToPastureRangeAndPaddock(V216,V196,V232)</f>
        <v>#N/A</v>
      </c>
      <c r="W248" s="15" t="e" cm="1">
        <f t="array" aca="1" ref="W248" ca="1">MMS_PastureBeef_Soil_N2ODirect_Equations.VEERG_4_2_1_3__2_TotalNitrogenExcretedToPastureRangeAndPaddock(W216,W196,W232)</f>
        <v>#N/A</v>
      </c>
      <c r="X248" s="15" t="e" cm="1">
        <f t="array" aca="1" ref="X248" ca="1">MMS_PastureBeef_Soil_N2ODirect_Equations.VEERG_4_2_1_3__2_TotalNitrogenExcretedToPastureRangeAndPaddock(X216,X196,X232)</f>
        <v>#N/A</v>
      </c>
      <c r="Y248" s="15" t="e" cm="1">
        <f t="array" aca="1" ref="Y248" ca="1">MMS_PastureBeef_Soil_N2ODirect_Equations.VEERG_4_2_1_3__2_TotalNitrogenExcretedToPastureRangeAndPaddock(Y216,Y196,Y232)</f>
        <v>#N/A</v>
      </c>
      <c r="Z248" s="15" t="e" cm="1">
        <f t="array" aca="1" ref="Z248" ca="1">MMS_PastureBeef_Soil_N2ODirect_Equations.VEERG_4_2_1_3__2_TotalNitrogenExcretedToPastureRangeAndPaddock(Z216,Z196,Z232)</f>
        <v>#N/A</v>
      </c>
      <c r="AA248" s="15" t="e" cm="1">
        <f t="array" aca="1" ref="AA248" ca="1">MMS_PastureBeef_Soil_N2ODirect_Equations.VEERG_4_2_1_3__2_TotalNitrogenExcretedToPastureRangeAndPaddock(AA216,AA196,AA232)</f>
        <v>#N/A</v>
      </c>
      <c r="AB248" s="15" t="e" cm="1">
        <f t="array" aca="1" ref="AB248" ca="1">MMS_PastureBeef_Soil_N2ODirect_Equations.VEERG_4_2_1_3__2_TotalNitrogenExcretedToPastureRangeAndPaddock(AB216,AB196,AB232)</f>
        <v>#N/A</v>
      </c>
      <c r="AC248" s="15" t="e" cm="1">
        <f t="array" aca="1" ref="AC248" ca="1">MMS_PastureBeef_Soil_N2ODirect_Equations.VEERG_4_2_1_3__2_TotalNitrogenExcretedToPastureRangeAndPaddock(AC216,AC196,AC232)</f>
        <v>#N/A</v>
      </c>
      <c r="AD248" s="15" t="e" cm="1">
        <f t="array" aca="1" ref="AD248" ca="1">MMS_PastureBeef_Soil_N2ODirect_Equations.VEERG_4_2_1_3__2_TotalNitrogenExcretedToPastureRangeAndPaddock(AD216,AD196,AD232)</f>
        <v>#N/A</v>
      </c>
      <c r="AE248" s="15" t="e" cm="1">
        <f t="array" aca="1" ref="AE248" ca="1">MMS_PastureBeef_Soil_N2ODirect_Equations.VEERG_4_2_1_3__2_TotalNitrogenExcretedToPastureRangeAndPaddock(AE216,AE196,AE232)</f>
        <v>#N/A</v>
      </c>
      <c r="AF248" s="16" t="str">
        <f t="shared" ref="AF248:AF259" si="10">$E$182</f>
        <v>kg N</v>
      </c>
      <c r="AG248" s="16"/>
      <c r="AH248" s="16"/>
    </row>
    <row r="249" spans="21:34" ht="20" customHeight="1" x14ac:dyDescent="0.25">
      <c r="U249" s="15" t="str">
        <f>TEXT(EDATE(X_Cell_Site_StartDate,1), "mmmm")</f>
        <v>January</v>
      </c>
      <c r="V249" s="15" t="e" cm="1">
        <f t="array" aca="1" ref="V249" ca="1">MMS_PastureBeef_Soil_N2ODirect_Equations.VEERG_4_2_1_3__2_TotalNitrogenExcretedToPastureRangeAndPaddock(V217,V197,V233)</f>
        <v>#N/A</v>
      </c>
      <c r="W249" s="15" t="e" cm="1">
        <f t="array" aca="1" ref="W249" ca="1">MMS_PastureBeef_Soil_N2ODirect_Equations.VEERG_4_2_1_3__2_TotalNitrogenExcretedToPastureRangeAndPaddock(W217,W197,W233)</f>
        <v>#N/A</v>
      </c>
      <c r="X249" s="15" t="e" cm="1">
        <f t="array" aca="1" ref="X249" ca="1">MMS_PastureBeef_Soil_N2ODirect_Equations.VEERG_4_2_1_3__2_TotalNitrogenExcretedToPastureRangeAndPaddock(X217,X197,X233)</f>
        <v>#N/A</v>
      </c>
      <c r="Y249" s="15" t="e" cm="1">
        <f t="array" aca="1" ref="Y249" ca="1">MMS_PastureBeef_Soil_N2ODirect_Equations.VEERG_4_2_1_3__2_TotalNitrogenExcretedToPastureRangeAndPaddock(Y217,Y197,Y233)</f>
        <v>#N/A</v>
      </c>
      <c r="Z249" s="15" t="e" cm="1">
        <f t="array" aca="1" ref="Z249" ca="1">MMS_PastureBeef_Soil_N2ODirect_Equations.VEERG_4_2_1_3__2_TotalNitrogenExcretedToPastureRangeAndPaddock(Z217,Z197,Z233)</f>
        <v>#N/A</v>
      </c>
      <c r="AA249" s="15" t="e" cm="1">
        <f t="array" aca="1" ref="AA249" ca="1">MMS_PastureBeef_Soil_N2ODirect_Equations.VEERG_4_2_1_3__2_TotalNitrogenExcretedToPastureRangeAndPaddock(AA217,AA197,AA233)</f>
        <v>#N/A</v>
      </c>
      <c r="AB249" s="15" t="e" cm="1">
        <f t="array" aca="1" ref="AB249" ca="1">MMS_PastureBeef_Soil_N2ODirect_Equations.VEERG_4_2_1_3__2_TotalNitrogenExcretedToPastureRangeAndPaddock(AB217,AB197,AB233)</f>
        <v>#N/A</v>
      </c>
      <c r="AC249" s="15" t="e" cm="1">
        <f t="array" aca="1" ref="AC249" ca="1">MMS_PastureBeef_Soil_N2ODirect_Equations.VEERG_4_2_1_3__2_TotalNitrogenExcretedToPastureRangeAndPaddock(AC217,AC197,AC233)</f>
        <v>#N/A</v>
      </c>
      <c r="AD249" s="15" t="e" cm="1">
        <f t="array" aca="1" ref="AD249" ca="1">MMS_PastureBeef_Soil_N2ODirect_Equations.VEERG_4_2_1_3__2_TotalNitrogenExcretedToPastureRangeAndPaddock(AD217,AD197,AD233)</f>
        <v>#N/A</v>
      </c>
      <c r="AE249" s="15" t="e" cm="1">
        <f t="array" aca="1" ref="AE249" ca="1">MMS_PastureBeef_Soil_N2ODirect_Equations.VEERG_4_2_1_3__2_TotalNitrogenExcretedToPastureRangeAndPaddock(AE217,AE197,AE233)</f>
        <v>#N/A</v>
      </c>
      <c r="AF249" s="16" t="str">
        <f t="shared" si="10"/>
        <v>kg N</v>
      </c>
      <c r="AG249" s="16"/>
      <c r="AH249" s="16"/>
    </row>
    <row r="250" spans="21:34" ht="20" customHeight="1" x14ac:dyDescent="0.25">
      <c r="U250" s="15" t="str">
        <f>TEXT(EDATE(X_Cell_Site_StartDate,2), "mmmm")</f>
        <v>February</v>
      </c>
      <c r="V250" s="15" t="e" cm="1">
        <f t="array" aca="1" ref="V250" ca="1">MMS_PastureBeef_Soil_N2ODirect_Equations.VEERG_4_2_1_3__2_TotalNitrogenExcretedToPastureRangeAndPaddock(V218,V198,V234)</f>
        <v>#N/A</v>
      </c>
      <c r="W250" s="15" t="e" cm="1">
        <f t="array" aca="1" ref="W250" ca="1">MMS_PastureBeef_Soil_N2ODirect_Equations.VEERG_4_2_1_3__2_TotalNitrogenExcretedToPastureRangeAndPaddock(W218,W198,W234)</f>
        <v>#N/A</v>
      </c>
      <c r="X250" s="15" t="e" cm="1">
        <f t="array" aca="1" ref="X250" ca="1">MMS_PastureBeef_Soil_N2ODirect_Equations.VEERG_4_2_1_3__2_TotalNitrogenExcretedToPastureRangeAndPaddock(X218,X198,X234)</f>
        <v>#N/A</v>
      </c>
      <c r="Y250" s="15" t="e" cm="1">
        <f t="array" aca="1" ref="Y250" ca="1">MMS_PastureBeef_Soil_N2ODirect_Equations.VEERG_4_2_1_3__2_TotalNitrogenExcretedToPastureRangeAndPaddock(Y218,Y198,Y234)</f>
        <v>#N/A</v>
      </c>
      <c r="Z250" s="15" t="e" cm="1">
        <f t="array" aca="1" ref="Z250" ca="1">MMS_PastureBeef_Soil_N2ODirect_Equations.VEERG_4_2_1_3__2_TotalNitrogenExcretedToPastureRangeAndPaddock(Z218,Z198,Z234)</f>
        <v>#N/A</v>
      </c>
      <c r="AA250" s="15" t="e" cm="1">
        <f t="array" aca="1" ref="AA250" ca="1">MMS_PastureBeef_Soil_N2ODirect_Equations.VEERG_4_2_1_3__2_TotalNitrogenExcretedToPastureRangeAndPaddock(AA218,AA198,AA234)</f>
        <v>#N/A</v>
      </c>
      <c r="AB250" s="15" t="e" cm="1">
        <f t="array" aca="1" ref="AB250" ca="1">MMS_PastureBeef_Soil_N2ODirect_Equations.VEERG_4_2_1_3__2_TotalNitrogenExcretedToPastureRangeAndPaddock(AB218,AB198,AB234)</f>
        <v>#N/A</v>
      </c>
      <c r="AC250" s="15" t="e" cm="1">
        <f t="array" aca="1" ref="AC250" ca="1">MMS_PastureBeef_Soil_N2ODirect_Equations.VEERG_4_2_1_3__2_TotalNitrogenExcretedToPastureRangeAndPaddock(AC218,AC198,AC234)</f>
        <v>#N/A</v>
      </c>
      <c r="AD250" s="15" t="e" cm="1">
        <f t="array" aca="1" ref="AD250" ca="1">MMS_PastureBeef_Soil_N2ODirect_Equations.VEERG_4_2_1_3__2_TotalNitrogenExcretedToPastureRangeAndPaddock(AD218,AD198,AD234)</f>
        <v>#N/A</v>
      </c>
      <c r="AE250" s="15" t="e" cm="1">
        <f t="array" aca="1" ref="AE250" ca="1">MMS_PastureBeef_Soil_N2ODirect_Equations.VEERG_4_2_1_3__2_TotalNitrogenExcretedToPastureRangeAndPaddock(AE218,AE198,AE234)</f>
        <v>#N/A</v>
      </c>
      <c r="AF250" s="16" t="str">
        <f t="shared" si="10"/>
        <v>kg N</v>
      </c>
      <c r="AG250" s="16"/>
      <c r="AH250" s="16"/>
    </row>
    <row r="251" spans="21:34" ht="20" customHeight="1" x14ac:dyDescent="0.25">
      <c r="U251" s="15" t="str">
        <f>TEXT(EDATE(X_Cell_Site_StartDate,3), "mmmm")</f>
        <v>March</v>
      </c>
      <c r="V251" s="15" t="e" cm="1">
        <f t="array" aca="1" ref="V251" ca="1">MMS_PastureBeef_Soil_N2ODirect_Equations.VEERG_4_2_1_3__2_TotalNitrogenExcretedToPastureRangeAndPaddock(V219,V199,V235)</f>
        <v>#N/A</v>
      </c>
      <c r="W251" s="15" t="e" cm="1">
        <f t="array" aca="1" ref="W251" ca="1">MMS_PastureBeef_Soil_N2ODirect_Equations.VEERG_4_2_1_3__2_TotalNitrogenExcretedToPastureRangeAndPaddock(W219,W199,W235)</f>
        <v>#N/A</v>
      </c>
      <c r="X251" s="15" t="e" cm="1">
        <f t="array" aca="1" ref="X251" ca="1">MMS_PastureBeef_Soil_N2ODirect_Equations.VEERG_4_2_1_3__2_TotalNitrogenExcretedToPastureRangeAndPaddock(X219,X199,X235)</f>
        <v>#N/A</v>
      </c>
      <c r="Y251" s="15" t="e" cm="1">
        <f t="array" aca="1" ref="Y251" ca="1">MMS_PastureBeef_Soil_N2ODirect_Equations.VEERG_4_2_1_3__2_TotalNitrogenExcretedToPastureRangeAndPaddock(Y219,Y199,Y235)</f>
        <v>#N/A</v>
      </c>
      <c r="Z251" s="15" t="e" cm="1">
        <f t="array" aca="1" ref="Z251" ca="1">MMS_PastureBeef_Soil_N2ODirect_Equations.VEERG_4_2_1_3__2_TotalNitrogenExcretedToPastureRangeAndPaddock(Z219,Z199,Z235)</f>
        <v>#N/A</v>
      </c>
      <c r="AA251" s="15" t="e" cm="1">
        <f t="array" aca="1" ref="AA251" ca="1">MMS_PastureBeef_Soil_N2ODirect_Equations.VEERG_4_2_1_3__2_TotalNitrogenExcretedToPastureRangeAndPaddock(AA219,AA199,AA235)</f>
        <v>#N/A</v>
      </c>
      <c r="AB251" s="15" t="e" cm="1">
        <f t="array" aca="1" ref="AB251" ca="1">MMS_PastureBeef_Soil_N2ODirect_Equations.VEERG_4_2_1_3__2_TotalNitrogenExcretedToPastureRangeAndPaddock(AB219,AB199,AB235)</f>
        <v>#N/A</v>
      </c>
      <c r="AC251" s="15" t="e" cm="1">
        <f t="array" aca="1" ref="AC251" ca="1">MMS_PastureBeef_Soil_N2ODirect_Equations.VEERG_4_2_1_3__2_TotalNitrogenExcretedToPastureRangeAndPaddock(AC219,AC199,AC235)</f>
        <v>#N/A</v>
      </c>
      <c r="AD251" s="15" t="e" cm="1">
        <f t="array" aca="1" ref="AD251" ca="1">MMS_PastureBeef_Soil_N2ODirect_Equations.VEERG_4_2_1_3__2_TotalNitrogenExcretedToPastureRangeAndPaddock(AD219,AD199,AD235)</f>
        <v>#N/A</v>
      </c>
      <c r="AE251" s="15" t="e" cm="1">
        <f t="array" aca="1" ref="AE251" ca="1">MMS_PastureBeef_Soil_N2ODirect_Equations.VEERG_4_2_1_3__2_TotalNitrogenExcretedToPastureRangeAndPaddock(AE219,AE199,AE235)</f>
        <v>#N/A</v>
      </c>
      <c r="AF251" s="16" t="str">
        <f t="shared" si="10"/>
        <v>kg N</v>
      </c>
      <c r="AG251" s="16"/>
      <c r="AH251" s="16"/>
    </row>
    <row r="252" spans="21:34" ht="20" customHeight="1" x14ac:dyDescent="0.25">
      <c r="U252" s="15" t="str">
        <f>TEXT(EDATE(X_Cell_Site_StartDate,4), "mmmm")</f>
        <v>April</v>
      </c>
      <c r="V252" s="15" t="e" cm="1">
        <f t="array" aca="1" ref="V252" ca="1">MMS_PastureBeef_Soil_N2ODirect_Equations.VEERG_4_2_1_3__2_TotalNitrogenExcretedToPastureRangeAndPaddock(V220,V200,V236)</f>
        <v>#N/A</v>
      </c>
      <c r="W252" s="15" t="e" cm="1">
        <f t="array" aca="1" ref="W252" ca="1">MMS_PastureBeef_Soil_N2ODirect_Equations.VEERG_4_2_1_3__2_TotalNitrogenExcretedToPastureRangeAndPaddock(W220,W200,W236)</f>
        <v>#N/A</v>
      </c>
      <c r="X252" s="15" t="e" cm="1">
        <f t="array" aca="1" ref="X252" ca="1">MMS_PastureBeef_Soil_N2ODirect_Equations.VEERG_4_2_1_3__2_TotalNitrogenExcretedToPastureRangeAndPaddock(X220,X200,X236)</f>
        <v>#N/A</v>
      </c>
      <c r="Y252" s="15" t="e" cm="1">
        <f t="array" aca="1" ref="Y252" ca="1">MMS_PastureBeef_Soil_N2ODirect_Equations.VEERG_4_2_1_3__2_TotalNitrogenExcretedToPastureRangeAndPaddock(Y220,Y200,Y236)</f>
        <v>#N/A</v>
      </c>
      <c r="Z252" s="15" t="e" cm="1">
        <f t="array" aca="1" ref="Z252" ca="1">MMS_PastureBeef_Soil_N2ODirect_Equations.VEERG_4_2_1_3__2_TotalNitrogenExcretedToPastureRangeAndPaddock(Z220,Z200,Z236)</f>
        <v>#N/A</v>
      </c>
      <c r="AA252" s="15" t="e" cm="1">
        <f t="array" aca="1" ref="AA252" ca="1">MMS_PastureBeef_Soil_N2ODirect_Equations.VEERG_4_2_1_3__2_TotalNitrogenExcretedToPastureRangeAndPaddock(AA220,AA200,AA236)</f>
        <v>#N/A</v>
      </c>
      <c r="AB252" s="15" t="e" cm="1">
        <f t="array" aca="1" ref="AB252" ca="1">MMS_PastureBeef_Soil_N2ODirect_Equations.VEERG_4_2_1_3__2_TotalNitrogenExcretedToPastureRangeAndPaddock(AB220,AB200,AB236)</f>
        <v>#N/A</v>
      </c>
      <c r="AC252" s="15" t="e" cm="1">
        <f t="array" aca="1" ref="AC252" ca="1">MMS_PastureBeef_Soil_N2ODirect_Equations.VEERG_4_2_1_3__2_TotalNitrogenExcretedToPastureRangeAndPaddock(AC220,AC200,AC236)</f>
        <v>#N/A</v>
      </c>
      <c r="AD252" s="15" t="e" cm="1">
        <f t="array" aca="1" ref="AD252" ca="1">MMS_PastureBeef_Soil_N2ODirect_Equations.VEERG_4_2_1_3__2_TotalNitrogenExcretedToPastureRangeAndPaddock(AD220,AD200,AD236)</f>
        <v>#N/A</v>
      </c>
      <c r="AE252" s="15" t="e" cm="1">
        <f t="array" aca="1" ref="AE252" ca="1">MMS_PastureBeef_Soil_N2ODirect_Equations.VEERG_4_2_1_3__2_TotalNitrogenExcretedToPastureRangeAndPaddock(AE220,AE200,AE236)</f>
        <v>#N/A</v>
      </c>
      <c r="AF252" s="16" t="str">
        <f t="shared" si="10"/>
        <v>kg N</v>
      </c>
      <c r="AG252" s="16"/>
      <c r="AH252" s="16"/>
    </row>
    <row r="253" spans="21:34" ht="20" customHeight="1" x14ac:dyDescent="0.25">
      <c r="U253" s="15" t="str">
        <f>TEXT(EDATE(X_Cell_Site_StartDate,5), "mmmm")</f>
        <v>May</v>
      </c>
      <c r="V253" s="15" t="e" cm="1">
        <f t="array" aca="1" ref="V253" ca="1">MMS_PastureBeef_Soil_N2ODirect_Equations.VEERG_4_2_1_3__2_TotalNitrogenExcretedToPastureRangeAndPaddock(V221,V201,V237)</f>
        <v>#N/A</v>
      </c>
      <c r="W253" s="15" t="e" cm="1">
        <f t="array" aca="1" ref="W253" ca="1">MMS_PastureBeef_Soil_N2ODirect_Equations.VEERG_4_2_1_3__2_TotalNitrogenExcretedToPastureRangeAndPaddock(W221,W201,W237)</f>
        <v>#N/A</v>
      </c>
      <c r="X253" s="15" t="e" cm="1">
        <f t="array" aca="1" ref="X253" ca="1">MMS_PastureBeef_Soil_N2ODirect_Equations.VEERG_4_2_1_3__2_TotalNitrogenExcretedToPastureRangeAndPaddock(X221,X201,X237)</f>
        <v>#N/A</v>
      </c>
      <c r="Y253" s="15" t="e" cm="1">
        <f t="array" aca="1" ref="Y253" ca="1">MMS_PastureBeef_Soil_N2ODirect_Equations.VEERG_4_2_1_3__2_TotalNitrogenExcretedToPastureRangeAndPaddock(Y221,Y201,Y237)</f>
        <v>#N/A</v>
      </c>
      <c r="Z253" s="15" t="e" cm="1">
        <f t="array" aca="1" ref="Z253" ca="1">MMS_PastureBeef_Soil_N2ODirect_Equations.VEERG_4_2_1_3__2_TotalNitrogenExcretedToPastureRangeAndPaddock(Z221,Z201,Z237)</f>
        <v>#N/A</v>
      </c>
      <c r="AA253" s="15" t="e" cm="1">
        <f t="array" aca="1" ref="AA253" ca="1">MMS_PastureBeef_Soil_N2ODirect_Equations.VEERG_4_2_1_3__2_TotalNitrogenExcretedToPastureRangeAndPaddock(AA221,AA201,AA237)</f>
        <v>#N/A</v>
      </c>
      <c r="AB253" s="15" t="e" cm="1">
        <f t="array" aca="1" ref="AB253" ca="1">MMS_PastureBeef_Soil_N2ODirect_Equations.VEERG_4_2_1_3__2_TotalNitrogenExcretedToPastureRangeAndPaddock(AB221,AB201,AB237)</f>
        <v>#N/A</v>
      </c>
      <c r="AC253" s="15" t="e" cm="1">
        <f t="array" aca="1" ref="AC253" ca="1">MMS_PastureBeef_Soil_N2ODirect_Equations.VEERG_4_2_1_3__2_TotalNitrogenExcretedToPastureRangeAndPaddock(AC221,AC201,AC237)</f>
        <v>#N/A</v>
      </c>
      <c r="AD253" s="15" t="e" cm="1">
        <f t="array" aca="1" ref="AD253" ca="1">MMS_PastureBeef_Soil_N2ODirect_Equations.VEERG_4_2_1_3__2_TotalNitrogenExcretedToPastureRangeAndPaddock(AD221,AD201,AD237)</f>
        <v>#N/A</v>
      </c>
      <c r="AE253" s="15" t="e" cm="1">
        <f t="array" aca="1" ref="AE253" ca="1">MMS_PastureBeef_Soil_N2ODirect_Equations.VEERG_4_2_1_3__2_TotalNitrogenExcretedToPastureRangeAndPaddock(AE221,AE201,AE237)</f>
        <v>#N/A</v>
      </c>
      <c r="AF253" s="16" t="str">
        <f t="shared" si="10"/>
        <v>kg N</v>
      </c>
      <c r="AG253" s="16"/>
      <c r="AH253" s="16"/>
    </row>
    <row r="254" spans="21:34" ht="20" customHeight="1" x14ac:dyDescent="0.25">
      <c r="U254" s="15" t="str">
        <f>TEXT(EDATE(X_Cell_Site_StartDate,6), "mmmm")</f>
        <v>June</v>
      </c>
      <c r="V254" s="15" t="e" cm="1">
        <f t="array" aca="1" ref="V254" ca="1">MMS_PastureBeef_Soil_N2ODirect_Equations.VEERG_4_2_1_3__2_TotalNitrogenExcretedToPastureRangeAndPaddock(V222,V202,V238)</f>
        <v>#N/A</v>
      </c>
      <c r="W254" s="15" t="e" cm="1">
        <f t="array" aca="1" ref="W254" ca="1">MMS_PastureBeef_Soil_N2ODirect_Equations.VEERG_4_2_1_3__2_TotalNitrogenExcretedToPastureRangeAndPaddock(W222,W202,W238)</f>
        <v>#N/A</v>
      </c>
      <c r="X254" s="15" t="e" cm="1">
        <f t="array" aca="1" ref="X254" ca="1">MMS_PastureBeef_Soil_N2ODirect_Equations.VEERG_4_2_1_3__2_TotalNitrogenExcretedToPastureRangeAndPaddock(X222,X202,X238)</f>
        <v>#N/A</v>
      </c>
      <c r="Y254" s="15" t="e" cm="1">
        <f t="array" aca="1" ref="Y254" ca="1">MMS_PastureBeef_Soil_N2ODirect_Equations.VEERG_4_2_1_3__2_TotalNitrogenExcretedToPastureRangeAndPaddock(Y222,Y202,Y238)</f>
        <v>#N/A</v>
      </c>
      <c r="Z254" s="15" t="e" cm="1">
        <f t="array" aca="1" ref="Z254" ca="1">MMS_PastureBeef_Soil_N2ODirect_Equations.VEERG_4_2_1_3__2_TotalNitrogenExcretedToPastureRangeAndPaddock(Z222,Z202,Z238)</f>
        <v>#N/A</v>
      </c>
      <c r="AA254" s="15" t="e" cm="1">
        <f t="array" aca="1" ref="AA254" ca="1">MMS_PastureBeef_Soil_N2ODirect_Equations.VEERG_4_2_1_3__2_TotalNitrogenExcretedToPastureRangeAndPaddock(AA222,AA202,AA238)</f>
        <v>#N/A</v>
      </c>
      <c r="AB254" s="15" t="e" cm="1">
        <f t="array" aca="1" ref="AB254" ca="1">MMS_PastureBeef_Soil_N2ODirect_Equations.VEERG_4_2_1_3__2_TotalNitrogenExcretedToPastureRangeAndPaddock(AB222,AB202,AB238)</f>
        <v>#N/A</v>
      </c>
      <c r="AC254" s="15" t="e" cm="1">
        <f t="array" aca="1" ref="AC254" ca="1">MMS_PastureBeef_Soil_N2ODirect_Equations.VEERG_4_2_1_3__2_TotalNitrogenExcretedToPastureRangeAndPaddock(AC222,AC202,AC238)</f>
        <v>#N/A</v>
      </c>
      <c r="AD254" s="15" t="e" cm="1">
        <f t="array" aca="1" ref="AD254" ca="1">MMS_PastureBeef_Soil_N2ODirect_Equations.VEERG_4_2_1_3__2_TotalNitrogenExcretedToPastureRangeAndPaddock(AD222,AD202,AD238)</f>
        <v>#N/A</v>
      </c>
      <c r="AE254" s="15" t="e" cm="1">
        <f t="array" aca="1" ref="AE254" ca="1">MMS_PastureBeef_Soil_N2ODirect_Equations.VEERG_4_2_1_3__2_TotalNitrogenExcretedToPastureRangeAndPaddock(AE222,AE202,AE238)</f>
        <v>#N/A</v>
      </c>
      <c r="AF254" s="16" t="str">
        <f t="shared" si="10"/>
        <v>kg N</v>
      </c>
      <c r="AG254" s="16"/>
      <c r="AH254" s="16"/>
    </row>
    <row r="255" spans="21:34" ht="20" customHeight="1" x14ac:dyDescent="0.25">
      <c r="U255" s="15" t="str">
        <f>TEXT(EDATE(X_Cell_Site_StartDate,7), "mmmm")</f>
        <v>July</v>
      </c>
      <c r="V255" s="15" t="e" cm="1">
        <f t="array" aca="1" ref="V255" ca="1">MMS_PastureBeef_Soil_N2ODirect_Equations.VEERG_4_2_1_3__2_TotalNitrogenExcretedToPastureRangeAndPaddock(V223,V203,V239)</f>
        <v>#N/A</v>
      </c>
      <c r="W255" s="15" t="e" cm="1">
        <f t="array" aca="1" ref="W255" ca="1">MMS_PastureBeef_Soil_N2ODirect_Equations.VEERG_4_2_1_3__2_TotalNitrogenExcretedToPastureRangeAndPaddock(W223,W203,W239)</f>
        <v>#N/A</v>
      </c>
      <c r="X255" s="15" t="e" cm="1">
        <f t="array" aca="1" ref="X255" ca="1">MMS_PastureBeef_Soil_N2ODirect_Equations.VEERG_4_2_1_3__2_TotalNitrogenExcretedToPastureRangeAndPaddock(X223,X203,X239)</f>
        <v>#N/A</v>
      </c>
      <c r="Y255" s="15" t="e" cm="1">
        <f t="array" aca="1" ref="Y255" ca="1">MMS_PastureBeef_Soil_N2ODirect_Equations.VEERG_4_2_1_3__2_TotalNitrogenExcretedToPastureRangeAndPaddock(Y223,Y203,Y239)</f>
        <v>#N/A</v>
      </c>
      <c r="Z255" s="15" t="e" cm="1">
        <f t="array" aca="1" ref="Z255" ca="1">MMS_PastureBeef_Soil_N2ODirect_Equations.VEERG_4_2_1_3__2_TotalNitrogenExcretedToPastureRangeAndPaddock(Z223,Z203,Z239)</f>
        <v>#N/A</v>
      </c>
      <c r="AA255" s="15" t="e" cm="1">
        <f t="array" aca="1" ref="AA255" ca="1">MMS_PastureBeef_Soil_N2ODirect_Equations.VEERG_4_2_1_3__2_TotalNitrogenExcretedToPastureRangeAndPaddock(AA223,AA203,AA239)</f>
        <v>#N/A</v>
      </c>
      <c r="AB255" s="15" t="e" cm="1">
        <f t="array" aca="1" ref="AB255" ca="1">MMS_PastureBeef_Soil_N2ODirect_Equations.VEERG_4_2_1_3__2_TotalNitrogenExcretedToPastureRangeAndPaddock(AB223,AB203,AB239)</f>
        <v>#N/A</v>
      </c>
      <c r="AC255" s="15" t="e" cm="1">
        <f t="array" aca="1" ref="AC255" ca="1">MMS_PastureBeef_Soil_N2ODirect_Equations.VEERG_4_2_1_3__2_TotalNitrogenExcretedToPastureRangeAndPaddock(AC223,AC203,AC239)</f>
        <v>#N/A</v>
      </c>
      <c r="AD255" s="15" t="e" cm="1">
        <f t="array" aca="1" ref="AD255" ca="1">MMS_PastureBeef_Soil_N2ODirect_Equations.VEERG_4_2_1_3__2_TotalNitrogenExcretedToPastureRangeAndPaddock(AD223,AD203,AD239)</f>
        <v>#N/A</v>
      </c>
      <c r="AE255" s="15" t="e" cm="1">
        <f t="array" aca="1" ref="AE255" ca="1">MMS_PastureBeef_Soil_N2ODirect_Equations.VEERG_4_2_1_3__2_TotalNitrogenExcretedToPastureRangeAndPaddock(AE223,AE203,AE239)</f>
        <v>#N/A</v>
      </c>
      <c r="AF255" s="16" t="str">
        <f t="shared" si="10"/>
        <v>kg N</v>
      </c>
      <c r="AG255" s="16"/>
      <c r="AH255" s="16"/>
    </row>
    <row r="256" spans="21:34" ht="20" customHeight="1" x14ac:dyDescent="0.25">
      <c r="U256" s="15" t="str">
        <f>TEXT(EDATE(X_Cell_Site_StartDate,8), "mmmm")</f>
        <v>August</v>
      </c>
      <c r="V256" s="15" t="e" cm="1">
        <f t="array" aca="1" ref="V256" ca="1">MMS_PastureBeef_Soil_N2ODirect_Equations.VEERG_4_2_1_3__2_TotalNitrogenExcretedToPastureRangeAndPaddock(V224,V204,V240)</f>
        <v>#N/A</v>
      </c>
      <c r="W256" s="15" t="e" cm="1">
        <f t="array" aca="1" ref="W256" ca="1">MMS_PastureBeef_Soil_N2ODirect_Equations.VEERG_4_2_1_3__2_TotalNitrogenExcretedToPastureRangeAndPaddock(W224,W204,W240)</f>
        <v>#N/A</v>
      </c>
      <c r="X256" s="15" t="e" cm="1">
        <f t="array" aca="1" ref="X256" ca="1">MMS_PastureBeef_Soil_N2ODirect_Equations.VEERG_4_2_1_3__2_TotalNitrogenExcretedToPastureRangeAndPaddock(X224,X204,X240)</f>
        <v>#N/A</v>
      </c>
      <c r="Y256" s="15" t="e" cm="1">
        <f t="array" aca="1" ref="Y256" ca="1">MMS_PastureBeef_Soil_N2ODirect_Equations.VEERG_4_2_1_3__2_TotalNitrogenExcretedToPastureRangeAndPaddock(Y224,Y204,Y240)</f>
        <v>#N/A</v>
      </c>
      <c r="Z256" s="15" t="e" cm="1">
        <f t="array" aca="1" ref="Z256" ca="1">MMS_PastureBeef_Soil_N2ODirect_Equations.VEERG_4_2_1_3__2_TotalNitrogenExcretedToPastureRangeAndPaddock(Z224,Z204,Z240)</f>
        <v>#N/A</v>
      </c>
      <c r="AA256" s="15" t="e" cm="1">
        <f t="array" aca="1" ref="AA256" ca="1">MMS_PastureBeef_Soil_N2ODirect_Equations.VEERG_4_2_1_3__2_TotalNitrogenExcretedToPastureRangeAndPaddock(AA224,AA204,AA240)</f>
        <v>#N/A</v>
      </c>
      <c r="AB256" s="15" t="e" cm="1">
        <f t="array" aca="1" ref="AB256" ca="1">MMS_PastureBeef_Soil_N2ODirect_Equations.VEERG_4_2_1_3__2_TotalNitrogenExcretedToPastureRangeAndPaddock(AB224,AB204,AB240)</f>
        <v>#N/A</v>
      </c>
      <c r="AC256" s="15" t="e" cm="1">
        <f t="array" aca="1" ref="AC256" ca="1">MMS_PastureBeef_Soil_N2ODirect_Equations.VEERG_4_2_1_3__2_TotalNitrogenExcretedToPastureRangeAndPaddock(AC224,AC204,AC240)</f>
        <v>#N/A</v>
      </c>
      <c r="AD256" s="15" t="e" cm="1">
        <f t="array" aca="1" ref="AD256" ca="1">MMS_PastureBeef_Soil_N2ODirect_Equations.VEERG_4_2_1_3__2_TotalNitrogenExcretedToPastureRangeAndPaddock(AD224,AD204,AD240)</f>
        <v>#N/A</v>
      </c>
      <c r="AE256" s="15" t="e" cm="1">
        <f t="array" aca="1" ref="AE256" ca="1">MMS_PastureBeef_Soil_N2ODirect_Equations.VEERG_4_2_1_3__2_TotalNitrogenExcretedToPastureRangeAndPaddock(AE224,AE204,AE240)</f>
        <v>#N/A</v>
      </c>
      <c r="AF256" s="16" t="str">
        <f t="shared" si="10"/>
        <v>kg N</v>
      </c>
      <c r="AG256" s="16"/>
      <c r="AH256" s="16"/>
    </row>
    <row r="257" spans="20:35" ht="20" customHeight="1" x14ac:dyDescent="0.25">
      <c r="U257" s="15" t="str">
        <f>TEXT(EDATE(X_Cell_Site_StartDate,9), "mmmm")</f>
        <v>September</v>
      </c>
      <c r="V257" s="15" t="e" cm="1">
        <f t="array" aca="1" ref="V257" ca="1">MMS_PastureBeef_Soil_N2ODirect_Equations.VEERG_4_2_1_3__2_TotalNitrogenExcretedToPastureRangeAndPaddock(V225,V205,V241)</f>
        <v>#N/A</v>
      </c>
      <c r="W257" s="15" t="e" cm="1">
        <f t="array" aca="1" ref="W257" ca="1">MMS_PastureBeef_Soil_N2ODirect_Equations.VEERG_4_2_1_3__2_TotalNitrogenExcretedToPastureRangeAndPaddock(W225,W205,W241)</f>
        <v>#N/A</v>
      </c>
      <c r="X257" s="15" t="e" cm="1">
        <f t="array" aca="1" ref="X257" ca="1">MMS_PastureBeef_Soil_N2ODirect_Equations.VEERG_4_2_1_3__2_TotalNitrogenExcretedToPastureRangeAndPaddock(X225,X205,X241)</f>
        <v>#N/A</v>
      </c>
      <c r="Y257" s="15" t="e" cm="1">
        <f t="array" aca="1" ref="Y257" ca="1">MMS_PastureBeef_Soil_N2ODirect_Equations.VEERG_4_2_1_3__2_TotalNitrogenExcretedToPastureRangeAndPaddock(Y225,Y205,Y241)</f>
        <v>#N/A</v>
      </c>
      <c r="Z257" s="15" t="e" cm="1">
        <f t="array" aca="1" ref="Z257" ca="1">MMS_PastureBeef_Soil_N2ODirect_Equations.VEERG_4_2_1_3__2_TotalNitrogenExcretedToPastureRangeAndPaddock(Z225,Z205,Z241)</f>
        <v>#N/A</v>
      </c>
      <c r="AA257" s="15" t="e" cm="1">
        <f t="array" aca="1" ref="AA257" ca="1">MMS_PastureBeef_Soil_N2ODirect_Equations.VEERG_4_2_1_3__2_TotalNitrogenExcretedToPastureRangeAndPaddock(AA225,AA205,AA241)</f>
        <v>#N/A</v>
      </c>
      <c r="AB257" s="15" t="e" cm="1">
        <f t="array" aca="1" ref="AB257" ca="1">MMS_PastureBeef_Soil_N2ODirect_Equations.VEERG_4_2_1_3__2_TotalNitrogenExcretedToPastureRangeAndPaddock(AB225,AB205,AB241)</f>
        <v>#N/A</v>
      </c>
      <c r="AC257" s="15" t="e" cm="1">
        <f t="array" aca="1" ref="AC257" ca="1">MMS_PastureBeef_Soil_N2ODirect_Equations.VEERG_4_2_1_3__2_TotalNitrogenExcretedToPastureRangeAndPaddock(AC225,AC205,AC241)</f>
        <v>#N/A</v>
      </c>
      <c r="AD257" s="15" t="e" cm="1">
        <f t="array" aca="1" ref="AD257" ca="1">MMS_PastureBeef_Soil_N2ODirect_Equations.VEERG_4_2_1_3__2_TotalNitrogenExcretedToPastureRangeAndPaddock(AD225,AD205,AD241)</f>
        <v>#N/A</v>
      </c>
      <c r="AE257" s="15" t="e" cm="1">
        <f t="array" aca="1" ref="AE257" ca="1">MMS_PastureBeef_Soil_N2ODirect_Equations.VEERG_4_2_1_3__2_TotalNitrogenExcretedToPastureRangeAndPaddock(AE225,AE205,AE241)</f>
        <v>#N/A</v>
      </c>
      <c r="AF257" s="16" t="str">
        <f t="shared" si="10"/>
        <v>kg N</v>
      </c>
      <c r="AG257" s="16"/>
      <c r="AH257" s="16"/>
    </row>
    <row r="258" spans="20:35" ht="20" customHeight="1" x14ac:dyDescent="0.25">
      <c r="U258" s="15" t="str">
        <f>TEXT(EDATE(X_Cell_Site_StartDate,10), "mmmm")</f>
        <v>October</v>
      </c>
      <c r="V258" s="15" t="e" cm="1">
        <f t="array" aca="1" ref="V258" ca="1">MMS_PastureBeef_Soil_N2ODirect_Equations.VEERG_4_2_1_3__2_TotalNitrogenExcretedToPastureRangeAndPaddock(V226,V206,V242)</f>
        <v>#N/A</v>
      </c>
      <c r="W258" s="15" t="e" cm="1">
        <f t="array" aca="1" ref="W258" ca="1">MMS_PastureBeef_Soil_N2ODirect_Equations.VEERG_4_2_1_3__2_TotalNitrogenExcretedToPastureRangeAndPaddock(W226,W206,W242)</f>
        <v>#N/A</v>
      </c>
      <c r="X258" s="15" t="e" cm="1">
        <f t="array" aca="1" ref="X258" ca="1">MMS_PastureBeef_Soil_N2ODirect_Equations.VEERG_4_2_1_3__2_TotalNitrogenExcretedToPastureRangeAndPaddock(X226,X206,X242)</f>
        <v>#N/A</v>
      </c>
      <c r="Y258" s="15" t="e" cm="1">
        <f t="array" aca="1" ref="Y258" ca="1">MMS_PastureBeef_Soil_N2ODirect_Equations.VEERG_4_2_1_3__2_TotalNitrogenExcretedToPastureRangeAndPaddock(Y226,Y206,Y242)</f>
        <v>#N/A</v>
      </c>
      <c r="Z258" s="15" t="e" cm="1">
        <f t="array" aca="1" ref="Z258" ca="1">MMS_PastureBeef_Soil_N2ODirect_Equations.VEERG_4_2_1_3__2_TotalNitrogenExcretedToPastureRangeAndPaddock(Z226,Z206,Z242)</f>
        <v>#N/A</v>
      </c>
      <c r="AA258" s="15" t="e" cm="1">
        <f t="array" aca="1" ref="AA258" ca="1">MMS_PastureBeef_Soil_N2ODirect_Equations.VEERG_4_2_1_3__2_TotalNitrogenExcretedToPastureRangeAndPaddock(AA226,AA206,AA242)</f>
        <v>#N/A</v>
      </c>
      <c r="AB258" s="15" t="e" cm="1">
        <f t="array" aca="1" ref="AB258" ca="1">MMS_PastureBeef_Soil_N2ODirect_Equations.VEERG_4_2_1_3__2_TotalNitrogenExcretedToPastureRangeAndPaddock(AB226,AB206,AB242)</f>
        <v>#N/A</v>
      </c>
      <c r="AC258" s="15" t="e" cm="1">
        <f t="array" aca="1" ref="AC258" ca="1">MMS_PastureBeef_Soil_N2ODirect_Equations.VEERG_4_2_1_3__2_TotalNitrogenExcretedToPastureRangeAndPaddock(AC226,AC206,AC242)</f>
        <v>#N/A</v>
      </c>
      <c r="AD258" s="15" t="e" cm="1">
        <f t="array" aca="1" ref="AD258" ca="1">MMS_PastureBeef_Soil_N2ODirect_Equations.VEERG_4_2_1_3__2_TotalNitrogenExcretedToPastureRangeAndPaddock(AD226,AD206,AD242)</f>
        <v>#N/A</v>
      </c>
      <c r="AE258" s="15" t="e" cm="1">
        <f t="array" aca="1" ref="AE258" ca="1">MMS_PastureBeef_Soil_N2ODirect_Equations.VEERG_4_2_1_3__2_TotalNitrogenExcretedToPastureRangeAndPaddock(AE226,AE206,AE242)</f>
        <v>#N/A</v>
      </c>
      <c r="AF258" s="16" t="str">
        <f t="shared" si="10"/>
        <v>kg N</v>
      </c>
      <c r="AG258" s="16"/>
      <c r="AH258" s="16"/>
    </row>
    <row r="259" spans="20:35" ht="20" customHeight="1" x14ac:dyDescent="0.25">
      <c r="U259" s="15" t="str">
        <f>TEXT(EDATE(X_Cell_Site_StartDate,11), "mmmm")</f>
        <v>November</v>
      </c>
      <c r="V259" s="15" t="e" cm="1">
        <f t="array" aca="1" ref="V259" ca="1">MMS_PastureBeef_Soil_N2ODirect_Equations.VEERG_4_2_1_3__2_TotalNitrogenExcretedToPastureRangeAndPaddock(V227,V207,V243)</f>
        <v>#N/A</v>
      </c>
      <c r="W259" s="15" t="e" cm="1">
        <f t="array" aca="1" ref="W259" ca="1">MMS_PastureBeef_Soil_N2ODirect_Equations.VEERG_4_2_1_3__2_TotalNitrogenExcretedToPastureRangeAndPaddock(W227,W207,W243)</f>
        <v>#N/A</v>
      </c>
      <c r="X259" s="15" t="e" cm="1">
        <f t="array" aca="1" ref="X259" ca="1">MMS_PastureBeef_Soil_N2ODirect_Equations.VEERG_4_2_1_3__2_TotalNitrogenExcretedToPastureRangeAndPaddock(X227,X207,X243)</f>
        <v>#N/A</v>
      </c>
      <c r="Y259" s="15" t="e" cm="1">
        <f t="array" aca="1" ref="Y259" ca="1">MMS_PastureBeef_Soil_N2ODirect_Equations.VEERG_4_2_1_3__2_TotalNitrogenExcretedToPastureRangeAndPaddock(Y227,Y207,Y243)</f>
        <v>#N/A</v>
      </c>
      <c r="Z259" s="15" t="e" cm="1">
        <f t="array" aca="1" ref="Z259" ca="1">MMS_PastureBeef_Soil_N2ODirect_Equations.VEERG_4_2_1_3__2_TotalNitrogenExcretedToPastureRangeAndPaddock(Z227,Z207,Z243)</f>
        <v>#N/A</v>
      </c>
      <c r="AA259" s="15" t="e" cm="1">
        <f t="array" aca="1" ref="AA259" ca="1">MMS_PastureBeef_Soil_N2ODirect_Equations.VEERG_4_2_1_3__2_TotalNitrogenExcretedToPastureRangeAndPaddock(AA227,AA207,AA243)</f>
        <v>#N/A</v>
      </c>
      <c r="AB259" s="15" t="e" cm="1">
        <f t="array" aca="1" ref="AB259" ca="1">MMS_PastureBeef_Soil_N2ODirect_Equations.VEERG_4_2_1_3__2_TotalNitrogenExcretedToPastureRangeAndPaddock(AB227,AB207,AB243)</f>
        <v>#N/A</v>
      </c>
      <c r="AC259" s="15" t="e" cm="1">
        <f t="array" aca="1" ref="AC259" ca="1">MMS_PastureBeef_Soil_N2ODirect_Equations.VEERG_4_2_1_3__2_TotalNitrogenExcretedToPastureRangeAndPaddock(AC227,AC207,AC243)</f>
        <v>#N/A</v>
      </c>
      <c r="AD259" s="15" t="e" cm="1">
        <f t="array" aca="1" ref="AD259" ca="1">MMS_PastureBeef_Soil_N2ODirect_Equations.VEERG_4_2_1_3__2_TotalNitrogenExcretedToPastureRangeAndPaddock(AD227,AD207,AD243)</f>
        <v>#N/A</v>
      </c>
      <c r="AE259" s="15" t="e" cm="1">
        <f t="array" aca="1" ref="AE259" ca="1">MMS_PastureBeef_Soil_N2ODirect_Equations.VEERG_4_2_1_3__2_TotalNitrogenExcretedToPastureRangeAndPaddock(AE227,AE207,AE243)</f>
        <v>#N/A</v>
      </c>
      <c r="AF259" s="16" t="str">
        <f t="shared" si="10"/>
        <v>kg N</v>
      </c>
      <c r="AG259" s="16"/>
      <c r="AH259" s="16"/>
    </row>
    <row r="260" spans="20:35" ht="20" customHeight="1" x14ac:dyDescent="0.25"/>
    <row r="261" spans="20:35" ht="20" customHeight="1" x14ac:dyDescent="0.25">
      <c r="U261" s="93" t="s">
        <v>473</v>
      </c>
      <c r="V261" s="87" t="e">
        <f ca="1">SUM(V248:AE259)</f>
        <v>#N/A</v>
      </c>
      <c r="W261" s="9" t="str">
        <f>$E$182</f>
        <v>kg N</v>
      </c>
    </row>
    <row r="262" spans="20:35" ht="20" customHeight="1" x14ac:dyDescent="0.25"/>
    <row r="263" spans="20:35" ht="20" customHeight="1" x14ac:dyDescent="0.25"/>
    <row r="264" spans="20:35" ht="20" customHeight="1" x14ac:dyDescent="0.25">
      <c r="T264" s="87"/>
      <c r="U264" s="87"/>
      <c r="V264" s="87"/>
      <c r="W264" s="87"/>
      <c r="X264" s="87"/>
      <c r="Y264" s="87"/>
      <c r="Z264" s="87"/>
      <c r="AA264" s="87"/>
      <c r="AB264" s="87"/>
      <c r="AC264" s="87"/>
      <c r="AD264" s="87"/>
      <c r="AE264" s="87"/>
      <c r="AF264" s="87"/>
      <c r="AG264" s="87"/>
      <c r="AH264" s="87"/>
      <c r="AI264" s="87"/>
    </row>
    <row r="265" spans="20:35" ht="20" customHeight="1" x14ac:dyDescent="0.25">
      <c r="U265" s="2" t="str" cm="1">
        <f t="array" ref="U265">MMS_PastureBeef_Soil_N2ODirect_Equations.VEERG_4_2_1_3__1_DirectNitrousOxideEmissionsOnPasture_Title()</f>
        <v>Total annual direct nitrous oxide emissions from agricultural soils from deposition of urine and dung</v>
      </c>
    </row>
    <row r="266" spans="20:35" ht="20" customHeight="1" x14ac:dyDescent="0.25"/>
    <row r="267" spans="20:35" ht="20" customHeight="1" x14ac:dyDescent="0.25">
      <c r="U267" s="90" t="s">
        <v>474</v>
      </c>
      <c r="V267" s="91" t="e">
        <f ca="1">MMS_PastureBeef_Soil_N2ODirect_Equations.VEERG_4_2_1_3__1_DirectNitrousOxideEmissionsOnPasture(VEERG_4_2_1_3__2_TotalNitrogenExcretedToPastureRangeAndPaddock_Result_Method2,$H$225,$H$226)</f>
        <v>#N/A</v>
      </c>
      <c r="W267" s="95" t="str">
        <f>$E$222</f>
        <v>t N2O</v>
      </c>
    </row>
    <row r="268" spans="20:35" ht="20" customHeight="1" x14ac:dyDescent="0.25"/>
    <row r="269" spans="20:35" ht="20" customHeight="1" x14ac:dyDescent="0.25">
      <c r="U269" s="116" t="str" cm="1">
        <f t="array" ref="U269:V270">Common_Equations.Common_ConvertN2OToCO2e_Arguments()</f>
        <v>EN2O</v>
      </c>
      <c r="V269" s="117" t="str">
        <v>Nitrous oxide emissions (t N2O)</v>
      </c>
      <c r="W269" s="118"/>
      <c r="X269" s="15" t="e">
        <f ca="1">VEERG_4_2_1_3__1_DirectNitrousOxideEmissionsOnPasture_Result_Method2</f>
        <v>#N/A</v>
      </c>
    </row>
    <row r="270" spans="20:35" ht="20" customHeight="1" x14ac:dyDescent="0.25">
      <c r="U270" s="116" t="str">
        <v>GWPN2O</v>
      </c>
      <c r="V270" s="117" t="str">
        <v>Global warming potential for nitrous oxide (t CO2-e / t N2O)</v>
      </c>
      <c r="W270" s="118"/>
      <c r="X270" s="15">
        <f>Common_InputFunctions.Utility_LookupValueInTableNumber("N2O",Table_GWPData[Gas],Table_GWPData[CO2-e factor])</f>
        <v>265</v>
      </c>
    </row>
    <row r="271" spans="20:35" ht="20" customHeight="1" x14ac:dyDescent="0.25"/>
    <row r="272" spans="20:35" ht="20" customHeight="1" x14ac:dyDescent="0.25">
      <c r="U272" s="87" t="s">
        <v>436</v>
      </c>
      <c r="V272" s="87" t="e" cm="1">
        <f t="array" aca="1" ref="V272" ca="1">Common_Equations.Common_ConvertN2OToCO2e(X269,X270)</f>
        <v>#N/A</v>
      </c>
      <c r="W272" s="94" t="str" cm="1">
        <f t="array" ref="W272">Common_Equations.Common_ConvertN2OToCO2e_Unit()</f>
        <v>t CO2e</v>
      </c>
    </row>
    <row r="273" ht="20" customHeight="1" x14ac:dyDescent="0.25"/>
    <row r="274" ht="20" customHeight="1" x14ac:dyDescent="0.25"/>
    <row r="275" ht="20" customHeight="1" x14ac:dyDescent="0.25"/>
    <row r="276" ht="20" customHeight="1" x14ac:dyDescent="0.25"/>
    <row r="277" ht="20" customHeight="1" x14ac:dyDescent="0.25"/>
    <row r="278" ht="20" customHeight="1" x14ac:dyDescent="0.25"/>
    <row r="279" ht="20" customHeight="1" x14ac:dyDescent="0.25"/>
    <row r="280" ht="20" customHeight="1" x14ac:dyDescent="0.25"/>
    <row r="281" ht="20" customHeight="1" x14ac:dyDescent="0.25"/>
    <row r="282" ht="20" customHeight="1" x14ac:dyDescent="0.25"/>
    <row r="283" ht="20" customHeight="1" x14ac:dyDescent="0.25"/>
    <row r="284" ht="20" customHeight="1" x14ac:dyDescent="0.25"/>
    <row r="285" ht="20" customHeight="1" x14ac:dyDescent="0.25"/>
    <row r="286" ht="20" customHeight="1" x14ac:dyDescent="0.25"/>
    <row r="287" ht="20" customHeight="1" x14ac:dyDescent="0.25"/>
    <row r="288" ht="20" customHeight="1" x14ac:dyDescent="0.25"/>
    <row r="289" ht="20" customHeight="1" x14ac:dyDescent="0.25"/>
    <row r="290" ht="20" customHeight="1" x14ac:dyDescent="0.25"/>
    <row r="291" ht="20" customHeight="1" x14ac:dyDescent="0.25"/>
  </sheetData>
  <dataValidations count="1">
    <dataValidation operator="equal" allowBlank="1" showInputMessage="1" showErrorMessage="1" sqref="E271 F79 D80:E80 E101:Q101 E74:F74 F106:Q106 E226 E274 V114:AI114 E241 E238 E262 V244 E265" xr:uid="{950603CE-99EA-4D98-AE51-6F4282DCA205}"/>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BCA35-7209-4C53-ADD9-61AB9196168D}">
  <sheetPr>
    <tabColor rgb="FF008000"/>
  </sheetPr>
  <dimension ref="A1:V1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21" customFormat="1" ht="30" customHeight="1" x14ac:dyDescent="0.35">
      <c r="A1" s="10" t="e" vm="1">
        <v>#VALUE!</v>
      </c>
      <c r="C1" s="21" t="s">
        <v>477</v>
      </c>
    </row>
    <row r="2" spans="1:22" s="3" customFormat="1" ht="20" customHeight="1" x14ac:dyDescent="0.25">
      <c r="A2"/>
    </row>
    <row r="3" spans="1:22" ht="20" customHeight="1" x14ac:dyDescent="0.25">
      <c r="A3" s="5" t="str">
        <f>HYPERLINK("#'Home'!A1", "Home")</f>
        <v>Home</v>
      </c>
      <c r="C3" s="23"/>
      <c r="D3" s="23" t="s">
        <v>136</v>
      </c>
      <c r="E3" s="23"/>
      <c r="F3" s="23"/>
      <c r="G3" s="23"/>
      <c r="H3" s="23"/>
      <c r="I3" s="23"/>
      <c r="J3" s="23"/>
      <c r="K3" s="23"/>
      <c r="M3" s="23"/>
      <c r="N3" s="23" t="s">
        <v>137</v>
      </c>
      <c r="O3" s="23"/>
      <c r="P3" s="23"/>
      <c r="Q3" s="23"/>
      <c r="R3" s="23"/>
      <c r="S3" s="23"/>
      <c r="T3" s="23"/>
      <c r="U3" s="23"/>
      <c r="V3" s="23"/>
    </row>
    <row r="4" spans="1:22" ht="20" customHeight="1" x14ac:dyDescent="0.25">
      <c r="A4" s="5" t="str">
        <f>HYPERLINK("#'Results - Activity period'!A1", "Results - Activity period")</f>
        <v>Results - Activity period</v>
      </c>
    </row>
    <row r="5" spans="1:22" ht="20" customHeight="1" x14ac:dyDescent="0.25">
      <c r="A5" s="5" t="str">
        <f>HYPERLINK("#'Results - Product EI'!A1", "Results - Product Emissions Intensity")</f>
        <v>Results - Product Emissions Intensity</v>
      </c>
      <c r="D5" s="2" t="str" cm="1">
        <f t="array" ref="D5">MMS_PastureBeef_Soil_AtmosphericDeposition_Equations.VEERG_4_2_1_5__2_MassOfNitrogenVolatilisedOnPasture_Title()</f>
        <v>Mass of nitrogen volatilised</v>
      </c>
    </row>
    <row r="6" spans="1:22" ht="20" customHeight="1" x14ac:dyDescent="0.25">
      <c r="D6" s="17" t="str" cm="1">
        <f t="array" ref="D6">MMS_PastureBeef_Soil_AtmosphericDeposition_Equations.VEERG_4_2_1_5__2_MassOfNitrogenVolatilisedOnPasture_Source()</f>
        <v>VEERG 2026: 4.2.1.5, Equation (2)</v>
      </c>
    </row>
    <row r="7" spans="1:22" ht="20" customHeight="1" x14ac:dyDescent="0.25">
      <c r="D7" s="103" t="s">
        <v>372</v>
      </c>
      <c r="E7" s="103" t="str" cm="1">
        <f t="array" aca="1" ref="E7" ca="1">Common_InputFunctions.Utility_DisplayFunctionName(E16)</f>
        <v>=MMS_PastureBeef_Soil_AtmosphericDeposition_Equations.VEERG_4_2_1_5__2_MassOfNitrogenVolatilisedOnPasture</v>
      </c>
    </row>
    <row r="8" spans="1:22" ht="20" customHeight="1" x14ac:dyDescent="0.25">
      <c r="A8" s="7" t="s">
        <v>0</v>
      </c>
    </row>
    <row r="9" spans="1:22" ht="20" customHeight="1" x14ac:dyDescent="0.25">
      <c r="A9" s="5" t="str">
        <f>HYPERLINK("#'Input - Enterprise'!A1", "Enterprise")</f>
        <v>Enterprise</v>
      </c>
    </row>
    <row r="10" spans="1:22" ht="20" customHeight="1" x14ac:dyDescent="0.25">
      <c r="A10" s="5" t="str">
        <f>HYPERLINK("#'Input - Site'!A1", "Site")</f>
        <v>Site</v>
      </c>
      <c r="D10" s="77" t="s">
        <v>374</v>
      </c>
      <c r="E10" s="1" t="str" cm="1">
        <f t="array" ref="E10">MMS_PastureBeef_Soil_AtmosphericDeposition_Equations.VEERG_4_2_1_5__2_MassOfNitrogenVolatilisedOnPasture_Variable()</f>
        <v>M_vol</v>
      </c>
    </row>
    <row r="11" spans="1:22" ht="20" customHeight="1" x14ac:dyDescent="0.25">
      <c r="A11" s="5" t="str">
        <f>HYPERLINK("#'Input - Pasture Beef'!A1", "Pasture Beef")</f>
        <v>Pasture Beef</v>
      </c>
      <c r="D11" s="77" t="s">
        <v>121</v>
      </c>
      <c r="E11" s="9" t="str" cm="1">
        <f t="array" ref="E11">MMS_PastureBeef_Soil_AtmosphericDeposition_Equations.VEERG_4_2_1_5__2_MassOfNitrogenVolatilisedOnPasture_Unit()</f>
        <v>kg N</v>
      </c>
    </row>
    <row r="12" spans="1:22" ht="20" customHeight="1" x14ac:dyDescent="0.25">
      <c r="A12" s="5" t="str">
        <f>HYPERLINK("#'Input - Livestock sales'!A1", "Livestock sales")</f>
        <v>Livestock sales</v>
      </c>
    </row>
    <row r="13" spans="1:22" ht="20" customHeight="1" x14ac:dyDescent="0.25">
      <c r="A13" s="5" t="str">
        <f>HYPERLINK("#'Input - Beef cattle purchases'!A1", "Beef cattle purchases")</f>
        <v>Beef cattle purchases</v>
      </c>
      <c r="D13" s="105" t="str" cm="1">
        <f t="array" ref="D13:E14">_xlfn.CHOOSECOLS(MMS_PastureBeef_Soil_AtmosphericDeposition_Equations.VEERG_4_2_1_5__2_MassOfNitrogenVolatilisedOnPasture_Arguments(),1,2)</f>
        <v>AE</v>
      </c>
      <c r="E13" s="106" t="str">
        <v>total mass of nitrogen excreted on PRP for beef cattle</v>
      </c>
      <c r="F13" s="107"/>
      <c r="G13" s="108"/>
      <c r="H13" s="105" t="str" cm="1">
        <f t="array" ref="H13:I14">_xlfn.CHOOSECOLS(MMS_PastureBeef_Soil_AtmosphericDeposition_Equations.VEERG_4_2_1_5__2_MassOfNitrogenVolatilisedOnPasture_Arguments(),3,4)</f>
        <v>kg N</v>
      </c>
      <c r="I13" s="110" t="str">
        <v>Calculated from 4.2.1.3 (2)</v>
      </c>
      <c r="J13" s="105" t="e">
        <f ca="1">VEERG_4_2_1_3__2_TotalNitrogenExcretedToPastureRangeAndPaddock_Result_Method1</f>
        <v>#N/A</v>
      </c>
      <c r="N13" s="105" t="str" cm="1">
        <f t="array" ref="N13:O14">_xlfn.CHOOSECOLS(MMS_PastureBeef_Soil_AtmosphericDeposition_Equations.VEERG_4_2_1_5__2_MassOfNitrogenVolatilisedOnPasture_Arguments(),1,2)</f>
        <v>AE</v>
      </c>
      <c r="O13" s="106" t="str">
        <v>total mass of nitrogen excreted on PRP for beef cattle</v>
      </c>
      <c r="P13" s="107"/>
      <c r="Q13" s="108"/>
      <c r="R13" s="105" t="str" cm="1">
        <f t="array" ref="R13:S14">_xlfn.CHOOSECOLS(MMS_PastureBeef_Soil_AtmosphericDeposition_Equations.VEERG_4_2_1_5__2_MassOfNitrogenVolatilisedOnPasture_Arguments(),3,4)</f>
        <v>kg N</v>
      </c>
      <c r="S13" s="110" t="str">
        <v>Calculated from 4.2.1.3 (2)</v>
      </c>
      <c r="T13" s="116" t="e">
        <f ca="1">VEERG_4_2_1_3__2_TotalNitrogenExcretedToPastureRangeAndPaddock_Result_Method2</f>
        <v>#N/A</v>
      </c>
    </row>
    <row r="14" spans="1:22" ht="20" customHeight="1" x14ac:dyDescent="0.25">
      <c r="A14" s="5" t="str">
        <f>HYPERLINK("#'Input - Pasture'!A1", "Pasture")</f>
        <v>Pasture</v>
      </c>
      <c r="D14" s="105" t="str">
        <v>FracGASMsoil</v>
      </c>
      <c r="E14" s="106" t="str">
        <v>fraction of nitrogen volatilised from urine and faeces deposited on pasture ((kg NH3-N + NOx-N)/kg N)</v>
      </c>
      <c r="F14" s="107"/>
      <c r="G14" s="108"/>
      <c r="H14" s="105" t="str">
        <v>fraction</v>
      </c>
      <c r="I14" s="110" t="str">
        <v>Constant</v>
      </c>
      <c r="J14" s="105">
        <f>SourceData_PastureBeef_FracGASMSoil_Data</f>
        <v>0.21</v>
      </c>
      <c r="N14" s="105" t="str">
        <v>FracGASMsoil</v>
      </c>
      <c r="O14" s="106" t="str">
        <v>fraction of nitrogen volatilised from urine and faeces deposited on pasture ((kg NH3-N + NOx-N)/kg N)</v>
      </c>
      <c r="P14" s="107"/>
      <c r="Q14" s="108"/>
      <c r="R14" s="105" t="str">
        <v>fraction</v>
      </c>
      <c r="S14" s="110" t="str">
        <v>Constant</v>
      </c>
      <c r="T14" s="116"/>
    </row>
    <row r="15" spans="1:22" ht="20" customHeight="1" x14ac:dyDescent="0.25">
      <c r="A15" s="5" t="str">
        <f>HYPERLINK("#'Input - Fert Prod System'!A1", "Fert Prod System")</f>
        <v>Fert Prod System</v>
      </c>
    </row>
    <row r="16" spans="1:22" ht="20" customHeight="1" x14ac:dyDescent="0.25">
      <c r="A16" s="5" t="str">
        <f>HYPERLINK("#'Input - Fertiliser'!A1", "Fertiliser")</f>
        <v>Fertiliser</v>
      </c>
      <c r="D16" s="93" t="s">
        <v>478</v>
      </c>
      <c r="E16" s="87" t="e" cm="1">
        <f t="array" aca="1" ref="E16" ca="1">MMS_PastureBeef_Soil_AtmosphericDeposition_Equations.VEERG_4_2_1_5__2_MassOfNitrogenVolatilisedOnPasture(J13,J14)</f>
        <v>#N/A</v>
      </c>
      <c r="F16" s="94" t="str">
        <f>E11</f>
        <v>kg N</v>
      </c>
      <c r="L16" s="98"/>
      <c r="N16" s="93" t="s">
        <v>478</v>
      </c>
      <c r="O16" s="87" t="e" cm="1">
        <f t="array" aca="1" ref="O16" ca="1">MMS_PastureBeef_Soil_AtmosphericDeposition_Equations.VEERG_4_2_1_5__2_MassOfNitrogenVolatilisedOnPasture(T13,$J$14)</f>
        <v>#N/A</v>
      </c>
      <c r="P16" s="94">
        <f>O11</f>
        <v>0</v>
      </c>
    </row>
    <row r="17" spans="1:22" ht="20" customHeight="1" x14ac:dyDescent="0.25">
      <c r="A17" s="5" t="str">
        <f>HYPERLINK("#'Input - Fuel'!A1", "Fuel")</f>
        <v>Fuel</v>
      </c>
      <c r="L17" s="98"/>
    </row>
    <row r="18" spans="1:22" ht="20" customHeight="1" x14ac:dyDescent="0.25">
      <c r="A18" s="5" t="str">
        <f>HYPERLINK("#'Input - Electricity'!A1", "Electricity")</f>
        <v>Electricity</v>
      </c>
      <c r="L18" s="98"/>
    </row>
    <row r="19" spans="1:22" ht="20" customHeight="1" x14ac:dyDescent="0.25">
      <c r="A19" s="5" t="str">
        <f>HYPERLINK("#'Input - Common farm inputs'!A1", "Common farm inputs")</f>
        <v>Common farm inputs</v>
      </c>
      <c r="C19" s="87"/>
      <c r="D19" s="87"/>
      <c r="E19" s="87"/>
      <c r="F19" s="87"/>
      <c r="G19" s="87"/>
      <c r="H19" s="87"/>
      <c r="I19" s="87"/>
      <c r="J19" s="87"/>
      <c r="K19" s="87"/>
      <c r="L19" s="98"/>
      <c r="M19" s="87"/>
      <c r="N19" s="87"/>
      <c r="O19" s="87"/>
      <c r="P19" s="87"/>
      <c r="Q19" s="87"/>
      <c r="R19" s="87"/>
      <c r="S19" s="87"/>
      <c r="T19" s="87"/>
      <c r="U19" s="87"/>
      <c r="V19" s="87"/>
    </row>
    <row r="20" spans="1:22" ht="20" customHeight="1" x14ac:dyDescent="0.25">
      <c r="A20" s="5" t="str">
        <f>HYPERLINK("#'Input - Crop pasture farm input'!A1", "Crop pasture farm input")</f>
        <v>Crop pasture farm input</v>
      </c>
      <c r="D20" s="2" t="str" cm="1">
        <f t="array" ref="D20">MMS_PastureBeef_Soil_AtmosphericDeposition_Equations.VEERG_4_2_1_5__1_AtmosphericDepositionEmissionsFromUrineAndDungOnPasture_Title()</f>
        <v>Atmospheric deposition emissions from urine and dung deposited on pasture</v>
      </c>
    </row>
    <row r="21" spans="1:22" ht="20" customHeight="1" x14ac:dyDescent="0.25">
      <c r="A21" s="5" t="str">
        <f>HYPERLINK("#'Input - Livestock farm Inputs'!A1", "Livestock farm Inputs")</f>
        <v>Livestock farm Inputs</v>
      </c>
      <c r="D21" s="17" t="str" cm="1">
        <f t="array" ref="D21">MMS_PastureBeef_Soil_AtmosphericDeposition_Equations.VEERG_4_2_1_5__1_AtmosphericDepositionEmissionsFromUrineAndDungOnPasture_Source()</f>
        <v>VEERG 2026: 4.2.1.5, Equation (1)</v>
      </c>
    </row>
    <row r="22" spans="1:22" ht="20" customHeight="1" x14ac:dyDescent="0.25">
      <c r="A22" s="5" t="str">
        <f>HYPERLINK("#'Input - Freight'!A1", "Freight")</f>
        <v>Freight</v>
      </c>
      <c r="D22" s="103" t="s">
        <v>372</v>
      </c>
      <c r="E22" s="103" t="str">
        <f ca="1">Common_InputFunctions.Utility_DisplayFunctionName(VEERG_4_2_1_5__1_AtmosphericDepositionEmissionsFromUrineAndDungOnPasture_Result_Method1)</f>
        <v>=MMS_PastureBeef_Soil_AtmosphericDeposition_Equations.VEERG_4_2_1_5__1_AtmosphericDepositionEmissionsFromUrineAndDungOnPasture</v>
      </c>
    </row>
    <row r="23" spans="1:22" ht="20" customHeight="1" x14ac:dyDescent="0.25">
      <c r="A23" s="5" t="str">
        <f>HYPERLINK("#'Input - Solid waste'!A1", "Solid waste")</f>
        <v>Solid waste</v>
      </c>
    </row>
    <row r="24" spans="1:22" ht="20" customHeight="1" x14ac:dyDescent="0.25">
      <c r="A24" s="5" t="str">
        <f>HYPERLINK("#'Input - Manure sent off-site'!A1", "Manure sent off-site")</f>
        <v>Manure sent off-site</v>
      </c>
    </row>
    <row r="25" spans="1:22" ht="20" customHeight="1" x14ac:dyDescent="0.25">
      <c r="A25" s="5" t="str">
        <f>HYPERLINK("#'Input - Data quality'!A1", "Data quality")</f>
        <v>Data quality</v>
      </c>
      <c r="D25" s="77" t="s">
        <v>374</v>
      </c>
      <c r="E25" s="1" t="str" cm="1">
        <f t="array" ref="E25">MMS_PastureBeef_Soil_AtmosphericDeposition_Equations.VEERG_4_2_1_5__1_AtmosphericDepositionEmissionsFromUrineAndDungOnPasture_Variable()</f>
        <v>E_N2Oad</v>
      </c>
    </row>
    <row r="26" spans="1:22" ht="20" customHeight="1" x14ac:dyDescent="0.25">
      <c r="D26" s="77" t="s">
        <v>121</v>
      </c>
      <c r="E26" s="9" t="str" cm="1">
        <f t="array" ref="E26">MMS_PastureBeef_Soil_AtmosphericDeposition_Equations.VEERG_4_2_1_5__1_AtmosphericDepositionEmissionsFromUrineAndDungOnPasture_Unit()</f>
        <v>t N2O</v>
      </c>
    </row>
    <row r="27" spans="1:22" ht="20" customHeight="1" x14ac:dyDescent="0.25"/>
    <row r="28" spans="1:22" ht="20" customHeight="1" x14ac:dyDescent="0.25">
      <c r="A28" s="6" t="s">
        <v>2</v>
      </c>
      <c r="D28" s="105" t="str" cm="1">
        <f t="array" ref="D28:E33">_xlfn.CHOOSECOLS(MMS_PastureBeef_Soil_AtmosphericDeposition_Equations.VEERG_4_2_1_5__1_AtmosphericDepositionEmissionsFromUrineAndDungOnPasture_Arguments(),1,2)</f>
        <v>M_vol</v>
      </c>
      <c r="E28" s="106" t="str">
        <v>mass of nitrogen volatilised from urine and faeces deposited on pasture</v>
      </c>
      <c r="F28" s="108"/>
      <c r="G28" s="105" t="str" cm="1">
        <f t="array" ref="G28:H33">_xlfn.CHOOSECOLS(MMS_PastureBeef_Soil_AtmosphericDeposition_Equations.VEERG_4_2_1_5__1_AtmosphericDepositionEmissionsFromUrineAndDungOnPasture_Arguments(),3,4)</f>
        <v>kg N</v>
      </c>
      <c r="H28" s="110" t="str">
        <v>Calculated from 4.2.1.5 (2)</v>
      </c>
      <c r="I28" s="105" t="e">
        <f ca="1">E16</f>
        <v>#N/A</v>
      </c>
      <c r="N28" s="105" t="str" cm="1">
        <f t="array" ref="N28:O33">_xlfn.CHOOSECOLS(MMS_PastureBeef_Soil_AtmosphericDeposition_Equations.VEERG_4_2_1_5__1_AtmosphericDepositionEmissionsFromUrineAndDungOnPasture_Arguments(),1,2)</f>
        <v>M_vol</v>
      </c>
      <c r="O28" s="106" t="str">
        <v>mass of nitrogen volatilised from urine and faeces deposited on pasture</v>
      </c>
      <c r="P28" s="108"/>
      <c r="Q28" s="105" t="str" cm="1">
        <f t="array" ref="Q28:R33">_xlfn.CHOOSECOLS(MMS_PastureBeef_Soil_AtmosphericDeposition_Equations.VEERG_4_2_1_5__1_AtmosphericDepositionEmissionsFromUrineAndDungOnPasture_Arguments(),3,4)</f>
        <v>kg N</v>
      </c>
      <c r="R28" s="110" t="str">
        <v>Calculated from 4.2.1.5 (2)</v>
      </c>
      <c r="S28" s="116" t="e">
        <f ca="1">O16</f>
        <v>#N/A</v>
      </c>
    </row>
    <row r="29" spans="1:22" ht="20" customHeight="1" x14ac:dyDescent="0.25">
      <c r="A29" s="5" t="str">
        <f>HYPERLINK("#'3.2.1.1-2 Enteric Methane'!A1", "3.2.1.1-2 Enteric Methane")</f>
        <v>3.2.1.1-2 Enteric Methane</v>
      </c>
      <c r="D29" s="105" t="str">
        <v>EF_N2O</v>
      </c>
      <c r="E29" s="106" t="str">
        <v>nitrous oxide emission factor for atmospheric deposition</v>
      </c>
      <c r="F29" s="108"/>
      <c r="G29" s="105" t="str">
        <v>kg N2O-N/kg N</v>
      </c>
      <c r="H29" s="110" t="str">
        <v>Constant</v>
      </c>
      <c r="I29" s="105" t="e">
        <f>Common_InputFunctions.Utility_LookupN2OEFFromProdIrrigationRainfall($I$31,$I$32,$I$33,Table_SourceData_Common_EFN2O[Production system only],Table_SourceData_Common_EFN2O[Irrigation method],Table_SourceData_Common_EFN2O[Rainfall zone],Table_SourceData_Common_EFN2O[EFN2O])</f>
        <v>#N/A</v>
      </c>
      <c r="N29" s="105" t="str">
        <v>EF_N2O</v>
      </c>
      <c r="O29" s="106" t="str">
        <v>nitrous oxide emission factor for atmospheric deposition</v>
      </c>
      <c r="P29" s="108"/>
      <c r="Q29" s="105" t="str">
        <v>kg N2O-N/kg N</v>
      </c>
      <c r="R29" s="110" t="str">
        <v>Constant</v>
      </c>
      <c r="S29" s="116"/>
    </row>
    <row r="30" spans="1:22" ht="20" customHeight="1" x14ac:dyDescent="0.25">
      <c r="A30" s="5" t="str">
        <f>HYPERLINK("#'4.2.1.1-2 Methane'!A1", "4.2.1.1-2 Manure methane")</f>
        <v>4.2.1.1-2 Manure methane</v>
      </c>
      <c r="D30" s="105" t="str">
        <v>C_N2O</v>
      </c>
      <c r="E30" s="106" t="str">
        <v>factor to convert elemental mass of N2O to molecular mass</v>
      </c>
      <c r="F30" s="108"/>
      <c r="G30" s="105" t="str">
        <v/>
      </c>
      <c r="H30" s="110" t="str">
        <v>Constant</v>
      </c>
      <c r="I30" s="105">
        <f>Common_InputFunctions.Utility_LookupValueInTableNumber("N2O",Table_GasToMolecularConversionFactor[Gas],Table_GasToMolecularConversionFactor[Conversion factor combined])</f>
        <v>1.5714285714285714</v>
      </c>
      <c r="N30" s="105" t="str">
        <v>C_N2O</v>
      </c>
      <c r="O30" s="106" t="str">
        <v>factor to convert elemental mass of N2O to molecular mass</v>
      </c>
      <c r="P30" s="108"/>
      <c r="Q30" s="105" t="str">
        <v/>
      </c>
      <c r="R30" s="110" t="str">
        <v>Constant</v>
      </c>
      <c r="S30" s="116"/>
    </row>
    <row r="31" spans="1:22" ht="20" customHeight="1" x14ac:dyDescent="0.25">
      <c r="A31" s="5" t="str">
        <f>HYPERLINK("#'4.2.1.3-4 Soil direct N20'!A1", "4.2.1.3-4 Soil direct N2O")</f>
        <v>4.2.1.3-4 Soil direct N2O</v>
      </c>
      <c r="D31" s="105" t="str">
        <v>j</v>
      </c>
      <c r="E31" s="106" t="str">
        <v>production system</v>
      </c>
      <c r="F31" s="108"/>
      <c r="G31" s="105" t="str">
        <v/>
      </c>
      <c r="H31" s="109" t="str">
        <v>Input</v>
      </c>
      <c r="I31" s="105">
        <f>X_Cell_PastureBeef_GrazingProductionSystem</f>
        <v>0</v>
      </c>
      <c r="N31" s="105" t="str">
        <v>j</v>
      </c>
      <c r="O31" s="106" t="str">
        <v>production system</v>
      </c>
      <c r="P31" s="108"/>
      <c r="Q31" s="105" t="str">
        <v/>
      </c>
      <c r="R31" s="109" t="str">
        <v>Input</v>
      </c>
      <c r="S31" s="116"/>
    </row>
    <row r="32" spans="1:22" ht="20" customHeight="1" x14ac:dyDescent="0.25">
      <c r="A32" s="104" t="str">
        <f>HYPERLINK("#'4.2.1.5-6 Soil Atmos Dep'!A1", "4.2.1.5-6 Soil atm. deposition")</f>
        <v>4.2.1.5-6 Soil atm. deposition</v>
      </c>
      <c r="D32" s="105" t="str">
        <v>i</v>
      </c>
      <c r="E32" s="106" t="str">
        <v>irrigation method</v>
      </c>
      <c r="F32" s="108"/>
      <c r="G32" s="105" t="str">
        <v/>
      </c>
      <c r="H32" s="109" t="str">
        <v>Input</v>
      </c>
      <c r="I32" s="105">
        <f>X_Cell_PastureBeef_GrazingIrrigationMethod</f>
        <v>0</v>
      </c>
      <c r="N32" s="105" t="str">
        <v>i</v>
      </c>
      <c r="O32" s="106" t="str">
        <v>irrigation method</v>
      </c>
      <c r="P32" s="108"/>
      <c r="Q32" s="105" t="str">
        <v/>
      </c>
      <c r="R32" s="109" t="str">
        <v>Input</v>
      </c>
      <c r="S32" s="116"/>
    </row>
    <row r="33" spans="1:19" ht="20" customHeight="1" x14ac:dyDescent="0.25">
      <c r="A33" s="5" t="str">
        <f>HYPERLINK("#'4.2.1.7-8 Soil leach runoff'!A1", "4.2.1.7-8 Soil leach &amp; runoff")</f>
        <v>4.2.1.7-8 Soil leach &amp; runoff</v>
      </c>
      <c r="D33" s="105" t="str">
        <v>r</v>
      </c>
      <c r="E33" s="106" t="str">
        <v>rainfall zone</v>
      </c>
      <c r="F33" s="108"/>
      <c r="G33" s="105" t="str">
        <v/>
      </c>
      <c r="H33" s="109" t="str">
        <v>Input</v>
      </c>
      <c r="I33" s="105" t="str">
        <f>X_Cell_Site_RainfallZone</f>
        <v>Low rainfall</v>
      </c>
      <c r="N33" s="105" t="str">
        <v>r</v>
      </c>
      <c r="O33" s="106" t="str">
        <v>rainfall zone</v>
      </c>
      <c r="P33" s="108"/>
      <c r="Q33" s="105" t="str">
        <v/>
      </c>
      <c r="R33" s="109" t="str">
        <v>Input</v>
      </c>
      <c r="S33" s="116"/>
    </row>
    <row r="34" spans="1:19" ht="20" customHeight="1" x14ac:dyDescent="0.25">
      <c r="A34" s="5" t="str">
        <f>HYPERLINK("#'5.1.1.1-2 Inorganic fert N2O'!A1", "5.1.1.1-2 Inorganic fert N2O")</f>
        <v>5.1.1.1-2 Inorganic fert N2O</v>
      </c>
    </row>
    <row r="35" spans="1:19" ht="20" customHeight="1" x14ac:dyDescent="0.25">
      <c r="A35" s="5" t="str">
        <f>HYPERLINK("#'5.1.1.3-4 Inorganic fert CO2'!A1", "5.1.1.3-4 Inorganic fert CO2")</f>
        <v>5.1.1.3-4 Inorganic fert CO2</v>
      </c>
      <c r="D35" s="93" t="s">
        <v>479</v>
      </c>
      <c r="E35" s="87" t="e" cm="1">
        <f t="array" aca="1" ref="E35" ca="1">MMS_PastureBeef_Soil_AtmosphericDeposition_Equations.VEERG_4_2_1_5__1_AtmosphericDepositionEmissionsFromUrineAndDungOnPasture(I28,I29,I30)</f>
        <v>#N/A</v>
      </c>
      <c r="F35" s="94" t="str">
        <f>$E$26</f>
        <v>t N2O</v>
      </c>
      <c r="N35" s="93" t="s">
        <v>479</v>
      </c>
      <c r="O35" s="87" t="e" cm="1">
        <f t="array" aca="1" ref="O35" ca="1">MMS_PastureBeef_Soil_AtmosphericDeposition_Equations.VEERG_4_2_1_5__1_AtmosphericDepositionEmissionsFromUrineAndDungOnPasture(S28,I29,I30)</f>
        <v>#N/A</v>
      </c>
      <c r="P35" s="94" t="str">
        <f>$E$26</f>
        <v>t N2O</v>
      </c>
    </row>
    <row r="36" spans="1:19" ht="20" customHeight="1" x14ac:dyDescent="0.25">
      <c r="A36" s="5" t="str">
        <f>HYPERLINK("#'5.2.1.1-2 Organic Fert N2O'!A1", "5.2.1.1-2 Organic fert N2O")</f>
        <v>5.2.1.1-2 Organic fert N2O</v>
      </c>
    </row>
    <row r="37" spans="1:19" ht="20" customHeight="1" x14ac:dyDescent="0.25">
      <c r="A37" s="5" t="str">
        <f>HYPERLINK("#'5.3.1.1-2 Lime CO2'!A1", "5.3.1.1-2 Lime CO2")</f>
        <v>5.3.1.1-2 Lime CO2</v>
      </c>
      <c r="D37" s="116" t="str" cm="1">
        <f t="array" ref="D37:E38">Common_Equations.Common_ConvertN2OToCO2e_Arguments()</f>
        <v>EN2O</v>
      </c>
      <c r="E37" s="117" t="str">
        <v>Nitrous oxide emissions (t N2O)</v>
      </c>
      <c r="F37" s="118"/>
      <c r="G37" s="15" t="e">
        <f ca="1">VEERG_4_2_1_5__1_AtmosphericDepositionEmissionsFromUrineAndDungOnPasture_Result_Method1</f>
        <v>#N/A</v>
      </c>
      <c r="N37" s="116" t="str" cm="1">
        <f t="array" ref="N37:O38">Common_Equations.Common_ConvertN2OToCO2e_Arguments()</f>
        <v>EN2O</v>
      </c>
      <c r="O37" s="117" t="str">
        <v>Nitrous oxide emissions (t N2O)</v>
      </c>
      <c r="P37" s="118"/>
      <c r="Q37" s="15" t="e">
        <f ca="1">VEERG_4_2_1_5__1_AtmosphericDepositionEmissionsFromUrineAndDungOnPasture_Result_Method2</f>
        <v>#N/A</v>
      </c>
    </row>
    <row r="38" spans="1:19" ht="20" customHeight="1" x14ac:dyDescent="0.25">
      <c r="A38" s="5" t="str">
        <f>HYPERLINK("#'5.4.1.1-4 Atmos deposition'!A1", "5.4.1.1-4 Atmos. deposition")</f>
        <v>5.4.1.1-4 Atmos. deposition</v>
      </c>
      <c r="D38" s="116" t="str">
        <v>GWPN2O</v>
      </c>
      <c r="E38" s="117" t="str">
        <v>Global warming potential for nitrous oxide (t CO2-e / t N2O)</v>
      </c>
      <c r="F38" s="118"/>
      <c r="G38" s="15">
        <f>Common_InputFunctions.Utility_LookupValueInTableNumber("N2O",Table_GWPData[Gas],Table_GWPData[CO2-e factor])</f>
        <v>265</v>
      </c>
      <c r="N38" s="116" t="str">
        <v>GWPN2O</v>
      </c>
      <c r="O38" s="117" t="str">
        <v>Global warming potential for nitrous oxide (t CO2-e / t N2O)</v>
      </c>
      <c r="P38" s="118"/>
      <c r="Q38" s="15">
        <f>Common_InputFunctions.Utility_LookupValueInTableNumber("N2O",Table_GWPData[Gas],Table_GWPData[CO2-e factor])</f>
        <v>265</v>
      </c>
    </row>
    <row r="39" spans="1:19" ht="20" customHeight="1" x14ac:dyDescent="0.25">
      <c r="A39" s="5" t="str">
        <f>HYPERLINK("#'5.5.1.1-2 Leaching and runoff'!A1", "5.5.1.1-2 Leaching &amp; runoff")</f>
        <v>5.5.1.1-2 Leaching &amp; runoff</v>
      </c>
    </row>
    <row r="40" spans="1:19" ht="20" customHeight="1" x14ac:dyDescent="0.25">
      <c r="A40" s="5" t="str">
        <f>HYPERLINK("#'6.2.1.1-2 Pasture residue N2O'!A1", "6.2.1.1-2 Pasture residue N2O")</f>
        <v>6.2.1.1-2 Pasture residue N2O</v>
      </c>
      <c r="D40" s="87" t="s">
        <v>436</v>
      </c>
      <c r="E40" s="87" t="e" cm="1">
        <f t="array" aca="1" ref="E40" ca="1">Common_Equations.Common_ConvertN2OToCO2e(G37,G38)</f>
        <v>#N/A</v>
      </c>
      <c r="F40" s="94" t="str" cm="1">
        <f t="array" ref="F40">Common_Equations.Common_ConvertN2OToCO2e_Unit()</f>
        <v>t CO2e</v>
      </c>
      <c r="N40" s="87" t="s">
        <v>436</v>
      </c>
      <c r="O40" s="87" t="e" cm="1">
        <f t="array" aca="1" ref="O40" ca="1">Common_Equations.Common_ConvertN2OToCO2e(Q37,Q38)</f>
        <v>#N/A</v>
      </c>
      <c r="P40" s="94" t="str" cm="1">
        <f t="array" ref="P40">Common_Equations.Common_ConvertN2OToCO2e_Unit()</f>
        <v>t CO2e</v>
      </c>
    </row>
    <row r="41" spans="1:19" ht="20" customHeight="1" x14ac:dyDescent="0.25">
      <c r="A41" s="5" t="str">
        <f>HYPERLINK("#'6.3.1.1-2 Leach runoff pasture'!A1", "6.3.1.1-2 Leach &amp; runoff (pasture)")</f>
        <v>6.3.1.1-2 Leach &amp; runoff (pasture)</v>
      </c>
    </row>
    <row r="42" spans="1:19" ht="20" customHeight="1" x14ac:dyDescent="0.25">
      <c r="A42" s="5" t="str">
        <f>HYPERLINK("#'8.1.1.1-2 Transport fuel'!A1", "8.1.1.1-2 Transport fuel")</f>
        <v>8.1.1.1-2 Transport fuel</v>
      </c>
    </row>
    <row r="43" spans="1:19" ht="20" customHeight="1" x14ac:dyDescent="0.25">
      <c r="A43" s="5" t="str">
        <f>HYPERLINK("#'8.2.1.1-2 Stationary fuel'!A1", "8.2.1.1-2 Stationary fuel")</f>
        <v>8.2.1.1-2 Stationary fuel</v>
      </c>
    </row>
    <row r="44" spans="1:19" ht="20" customHeight="1" x14ac:dyDescent="0.25">
      <c r="A44" s="5" t="str">
        <f>HYPERLINK("#'10.1.1-2 Solid waste treatment'!A1", "10.1.1.1-2 Solid waste")</f>
        <v>10.1.1.1-2 Solid waste</v>
      </c>
    </row>
    <row r="45" spans="1:19" ht="20" customHeight="1" x14ac:dyDescent="0.25">
      <c r="A45" s="5" t="str">
        <f>HYPERLINK("#'14.1.1-2 Purchased electricity'!A1", "14.1.1-2 Purchased electricity")</f>
        <v>14.1.1-2 Purchased electricity</v>
      </c>
    </row>
    <row r="46" spans="1:19" ht="20" customHeight="1" x14ac:dyDescent="0.25">
      <c r="A46" s="5" t="str">
        <f>HYPERLINK("#'15 Scope 3'!A1", "15 Scope 3")</f>
        <v>15 Scope 3</v>
      </c>
    </row>
    <row r="47" spans="1:19" ht="20" customHeight="1" x14ac:dyDescent="0.25">
      <c r="A47" s="5" t="str">
        <f>HYPERLINK("#'Calcs - Manure sent off-site'!A1", "Calcs - Manure sent off-site")</f>
        <v>Calcs - Manure sent off-site</v>
      </c>
    </row>
    <row r="48" spans="1:19" ht="20" customHeight="1" x14ac:dyDescent="0.25"/>
    <row r="49" spans="1:1" ht="20" customHeight="1" x14ac:dyDescent="0.25"/>
    <row r="50" spans="1:1" ht="20" customHeight="1" x14ac:dyDescent="0.25">
      <c r="A50" s="85" t="s">
        <v>1</v>
      </c>
    </row>
    <row r="51" spans="1:1" ht="20" customHeight="1" x14ac:dyDescent="0.25">
      <c r="A51" s="5" t="str">
        <f>HYPERLINK("#'Constants - Pasture Beef'!A1", "Constants - Pasture Beef")</f>
        <v>Constants - Pasture Beef</v>
      </c>
    </row>
    <row r="52" spans="1:1" ht="20" customHeight="1" x14ac:dyDescent="0.25">
      <c r="A52" s="5" t="str">
        <f>HYPERLINK("#'Constants - Ag Residue'!A1", "Constants - Ag residue")</f>
        <v>Constants - Ag residue</v>
      </c>
    </row>
    <row r="53" spans="1:1" ht="20" customHeight="1" x14ac:dyDescent="0.25">
      <c r="A53" s="5" t="str">
        <f>HYPERLINK("#'Constants - Common Livestock'!A1", "Constants - Common Livestock")</f>
        <v>Constants - Common Livestock</v>
      </c>
    </row>
    <row r="54" spans="1:1" ht="20" customHeight="1" x14ac:dyDescent="0.25">
      <c r="A54" s="5" t="str">
        <f>HYPERLINK("#'Constants - Electricity'!A1", "Constants - Electricity")</f>
        <v>Constants - Electricity</v>
      </c>
    </row>
    <row r="55" spans="1:1" ht="20" customHeight="1" x14ac:dyDescent="0.25">
      <c r="A55" s="5" t="str">
        <f>HYPERLINK("#'Constants - Fertiliser'!A1", "Constants - Fertiliser")</f>
        <v>Constants - Fertiliser</v>
      </c>
    </row>
    <row r="56" spans="1:1" ht="20" customHeight="1" x14ac:dyDescent="0.25">
      <c r="A56" s="5" t="str">
        <f>HYPERLINK("#'Constants - Fuel'!A1", "Constants - Fuel")</f>
        <v>Constants - Fuel</v>
      </c>
    </row>
    <row r="57" spans="1:1" ht="20" customHeight="1" x14ac:dyDescent="0.25">
      <c r="A57" s="5" t="str">
        <f>HYPERLINK("#'Constants - Scope 3'!A1", "Constants - Scope 3")</f>
        <v>Constants - Scope 3</v>
      </c>
    </row>
    <row r="58" spans="1:1" ht="20" customHeight="1" x14ac:dyDescent="0.25">
      <c r="A58" s="5" t="str">
        <f>HYPERLINK("#'Constants - Solid Waste'!A1", "Constants - Solid Waste")</f>
        <v>Constants - Solid Waste</v>
      </c>
    </row>
    <row r="59" spans="1:1" ht="20" customHeight="1" x14ac:dyDescent="0.25">
      <c r="A59" s="5" t="str">
        <f>HYPERLINK("#'Constants - Common'!A1", "Constants - Common")</f>
        <v>Constants - Common</v>
      </c>
    </row>
    <row r="60" spans="1:1" ht="20" customHeight="1" x14ac:dyDescent="0.25">
      <c r="A60" s="5" t="str">
        <f>HYPERLINK("#'Acknowledgements'!A1", "Acknowledgements")</f>
        <v>Acknowledgements</v>
      </c>
    </row>
    <row r="61" spans="1:1" ht="20" customHeight="1" x14ac:dyDescent="0.25"/>
    <row r="62" spans="1:1" ht="20" customHeight="1" x14ac:dyDescent="0.25"/>
    <row r="63" spans="1:1" ht="20" customHeight="1" x14ac:dyDescent="0.25"/>
    <row r="64" spans="1:1"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dataValidations count="1">
    <dataValidation operator="equal" allowBlank="1" showInputMessage="1" showErrorMessage="1" sqref="E19 O19 E24 O24" xr:uid="{1AD310B0-3DE9-461E-A070-52CDAAB8B2B4}"/>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5881-F24D-4F7D-A4BD-3DA35A7726F6}">
  <sheetPr>
    <tabColor rgb="FF008000"/>
  </sheetPr>
  <dimension ref="A1:S1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1" customFormat="1" ht="30" customHeight="1" x14ac:dyDescent="0.35">
      <c r="A1" s="10" t="e" vm="1">
        <v>#VALUE!</v>
      </c>
      <c r="C1" s="21" t="s">
        <v>480</v>
      </c>
    </row>
    <row r="2" spans="1:19" s="3" customFormat="1" ht="20" customHeight="1" x14ac:dyDescent="0.25">
      <c r="A2"/>
    </row>
    <row r="3" spans="1:19" ht="20" customHeight="1" x14ac:dyDescent="0.25">
      <c r="A3" s="5" t="str">
        <f>HYPERLINK("#'Home'!A1", "Home")</f>
        <v>Home</v>
      </c>
      <c r="C3" s="23"/>
      <c r="D3" s="23" t="s">
        <v>136</v>
      </c>
      <c r="E3" s="23"/>
      <c r="F3" s="23"/>
      <c r="G3" s="23"/>
      <c r="H3" s="23"/>
      <c r="I3" s="23"/>
      <c r="J3" s="23"/>
      <c r="L3" s="23"/>
      <c r="M3" s="23" t="s">
        <v>137</v>
      </c>
      <c r="N3" s="23"/>
      <c r="O3" s="23"/>
      <c r="P3" s="23"/>
      <c r="Q3" s="23"/>
      <c r="R3" s="23"/>
      <c r="S3" s="23"/>
    </row>
    <row r="4" spans="1:19" ht="20" customHeight="1" x14ac:dyDescent="0.25">
      <c r="A4" s="5" t="str">
        <f>HYPERLINK("#'Results - Activity period'!A1", "Results - Activity period")</f>
        <v>Results - Activity period</v>
      </c>
    </row>
    <row r="5" spans="1:19" ht="20" customHeight="1" x14ac:dyDescent="0.25">
      <c r="A5" s="5" t="str">
        <f>HYPERLINK("#'Results - Product EI'!A1", "Results - Product Emissions Intensity")</f>
        <v>Results - Product Emissions Intensity</v>
      </c>
      <c r="D5" s="2" t="str" cm="1">
        <f t="array" ref="D5">MMS_PastureBeef_Soil_LeachingAndRunoff.VEERG_4_2_1_7__2_MassOfNitrogenLostToLeachingAndRunoffOnPasture_Title()</f>
        <v>Mass of nitrogen lost to leaching and runoff</v>
      </c>
    </row>
    <row r="6" spans="1:19" ht="20" customHeight="1" x14ac:dyDescent="0.25">
      <c r="D6" s="17" t="str" cm="1">
        <f t="array" ref="D6">MMS_PastureBeef_Soil_LeachingAndRunoff.VEERG_4_2_1_7__2_MassOfNitrogenLostToLeachingAndRunoffOnPasture_Source()</f>
        <v>VEERG 2026: 4.2.1.7, Equation (2)</v>
      </c>
    </row>
    <row r="7" spans="1:19" ht="20" customHeight="1" x14ac:dyDescent="0.25">
      <c r="D7" s="103" t="s">
        <v>372</v>
      </c>
      <c r="E7" s="103" t="str" cm="1">
        <f t="array" aca="1" ref="E7" ca="1">Common_InputFunctions.Utility_DisplayFunctionName(E20)</f>
        <v>=MMS_PastureBeef_Soil_LeachingAndRunoff.VEERG_4_2_1_7__2_MassOfNitrogenLostToLeachingAndRunoffOnPasture</v>
      </c>
    </row>
    <row r="8" spans="1:19" ht="20" customHeight="1" x14ac:dyDescent="0.25">
      <c r="A8" s="7" t="s">
        <v>0</v>
      </c>
    </row>
    <row r="9" spans="1:19" ht="20" customHeight="1" x14ac:dyDescent="0.25">
      <c r="A9" s="5" t="str">
        <f>HYPERLINK("#'Input - Enterprise'!A1", "Enterprise")</f>
        <v>Enterprise</v>
      </c>
    </row>
    <row r="10" spans="1:19" ht="20" customHeight="1" x14ac:dyDescent="0.25">
      <c r="A10" s="5" t="str">
        <f>HYPERLINK("#'Input - Site'!A1", "Site")</f>
        <v>Site</v>
      </c>
      <c r="D10" s="77" t="s">
        <v>374</v>
      </c>
      <c r="E10" s="1" t="str" cm="1">
        <f t="array" ref="E10">MMS_PastureBeef_Soil_LeachingAndRunoff.VEERG_4_2_1_7__2_MassOfNitrogenLostToLeachingAndRunoffOnPasture_Variable()</f>
        <v>M_leach</v>
      </c>
    </row>
    <row r="11" spans="1:19" ht="20" customHeight="1" x14ac:dyDescent="0.25">
      <c r="A11" s="5" t="str">
        <f>HYPERLINK("#'Input - Pasture Beef'!A1", "Pasture Beef")</f>
        <v>Pasture Beef</v>
      </c>
      <c r="D11" s="77" t="s">
        <v>121</v>
      </c>
      <c r="E11" s="9" t="str" cm="1">
        <f t="array" ref="E11">MMS_PastureBeef_Soil_LeachingAndRunoff.VEERG_4_2_1_7__2_MassOfNitrogenLostToLeachingAndRunoffOnPasture_Unit()</f>
        <v>kg N</v>
      </c>
    </row>
    <row r="12" spans="1:19" ht="20" customHeight="1" x14ac:dyDescent="0.25">
      <c r="A12" s="5" t="str">
        <f>HYPERLINK("#'Input - Livestock sales'!A1", "Livestock sales")</f>
        <v>Livestock sales</v>
      </c>
    </row>
    <row r="13" spans="1:19" ht="20" customHeight="1" x14ac:dyDescent="0.25">
      <c r="A13" s="5" t="str">
        <f>HYPERLINK("#'Input - Beef cattle purchases'!A1", "Beef cattle purchases")</f>
        <v>Beef cattle purchases</v>
      </c>
      <c r="D13" s="105" t="str" cm="1">
        <f t="array" ref="D13:E18">_xlfn.CHOOSECOLS(MMS_PastureBeef_Soil_LeachingAndRunoff.VEERG_4_2_1_7__2_MassOfNitrogenLostToLeachingAndRunoffOnPasture_Arguments(),1,2)</f>
        <v>AE</v>
      </c>
      <c r="E13" s="106" t="str">
        <v>total mass of nitrogen excreted on PRP for beef cattle</v>
      </c>
      <c r="F13" s="108"/>
      <c r="G13" s="105" t="str" cm="1">
        <f t="array" ref="G13:H18">_xlfn.CHOOSECOLS(MMS_PastureBeef_Soil_LeachingAndRunoff.VEERG_4_2_1_7__2_MassOfNitrogenLostToLeachingAndRunoffOnPasture_Arguments(),3,4)</f>
        <v>kg N</v>
      </c>
      <c r="H13" s="110" t="str">
        <v>Calculated from 4.2.1.3 (2)</v>
      </c>
      <c r="I13" s="105" t="e">
        <f ca="1">VEERG_4_2_1_3__2_TotalNitrogenExcretedToPastureRangeAndPaddock_Result_Method1</f>
        <v>#N/A</v>
      </c>
      <c r="M13" s="105" t="str" cm="1">
        <f t="array" ref="M13:N18">_xlfn.CHOOSECOLS(MMS_PastureBeef_Soil_LeachingAndRunoff.VEERG_4_2_1_7__2_MassOfNitrogenLostToLeachingAndRunoffOnPasture_Arguments(),1,2)</f>
        <v>AE</v>
      </c>
      <c r="N13" s="106" t="str">
        <v>total mass of nitrogen excreted on PRP for beef cattle</v>
      </c>
      <c r="O13" s="108"/>
      <c r="P13" s="105" t="str" cm="1">
        <f t="array" ref="P13:Q18">_xlfn.CHOOSECOLS(MMS_PastureBeef_Soil_LeachingAndRunoff.VEERG_4_2_1_7__2_MassOfNitrogenLostToLeachingAndRunoffOnPasture_Arguments(),3,4)</f>
        <v>kg N</v>
      </c>
      <c r="Q13" s="110" t="str">
        <v>Calculated from 4.2.1.3 (2)</v>
      </c>
      <c r="R13" s="105" t="e">
        <f ca="1">VEERG_4_2_1_3__2_TotalNitrogenExcretedToPastureRangeAndPaddock_Result_Method2</f>
        <v>#N/A</v>
      </c>
    </row>
    <row r="14" spans="1:19" ht="20" customHeight="1" x14ac:dyDescent="0.25">
      <c r="A14" s="5" t="str">
        <f>HYPERLINK("#'Input - Pasture'!A1", "Pasture")</f>
        <v>Pasture</v>
      </c>
      <c r="D14" s="105" t="str">
        <v>FracWet</v>
      </c>
      <c r="E14" s="106" t="str">
        <v>fraction of N available for leaching and runoff</v>
      </c>
      <c r="F14" s="108"/>
      <c r="G14" s="105" t="str">
        <v>fraction</v>
      </c>
      <c r="H14" s="110" t="str">
        <v>Constant</v>
      </c>
      <c r="I14" s="105">
        <f>Common_InputFunctions.CommonCropping_GetFracWET(I16,I18,Table_SourceData_FracWET[Is in leaching zone],Table_SourceData_FracWET[FracWET],Table_SourceData_FracWETIrrigation[Irrigation type i],Table_SourceData_FracWETIrrigation[FracWET])</f>
        <v>0</v>
      </c>
      <c r="M14" s="105" t="str">
        <v>FracWet</v>
      </c>
      <c r="N14" s="106" t="str">
        <v>fraction of N available for leaching and runoff</v>
      </c>
      <c r="O14" s="108"/>
      <c r="P14" s="105" t="str">
        <v>fraction</v>
      </c>
      <c r="Q14" s="110" t="str">
        <v>Constant</v>
      </c>
      <c r="R14" s="105"/>
    </row>
    <row r="15" spans="1:19" ht="20" customHeight="1" x14ac:dyDescent="0.25">
      <c r="A15" s="5" t="str">
        <f>HYPERLINK("#'Input - Fert Prod System'!A1", "Fert Prod System")</f>
        <v>Fert Prod System</v>
      </c>
      <c r="D15" s="105" t="str">
        <v>FracLEACH</v>
      </c>
      <c r="E15" s="106" t="str">
        <v>fraction of all N that is lost through leaching and runoff</v>
      </c>
      <c r="F15" s="108"/>
      <c r="G15" s="105" t="str">
        <v>fraction</v>
      </c>
      <c r="H15" s="110" t="str">
        <v>Constant</v>
      </c>
      <c r="I15" s="105">
        <f>SourceData_PastureBeef_FracLEACH_Data</f>
        <v>0.24</v>
      </c>
      <c r="M15" s="105" t="str">
        <v>FracLEACH</v>
      </c>
      <c r="N15" s="106" t="str">
        <v>fraction of all N that is lost through leaching and runoff</v>
      </c>
      <c r="O15" s="108"/>
      <c r="P15" s="105" t="str">
        <v>fraction</v>
      </c>
      <c r="Q15" s="110" t="str">
        <v>Constant</v>
      </c>
      <c r="R15" s="105"/>
    </row>
    <row r="16" spans="1:19" ht="20" customHeight="1" x14ac:dyDescent="0.25">
      <c r="A16" s="5" t="str">
        <f>HYPERLINK("#'Input - Fertiliser'!A1", "Fertiliser")</f>
        <v>Fertiliser</v>
      </c>
      <c r="D16" s="105" t="str">
        <v>z</v>
      </c>
      <c r="E16" s="106" t="str">
        <v>location in leaching zone</v>
      </c>
      <c r="F16" s="108"/>
      <c r="G16" s="105" t="str">
        <v/>
      </c>
      <c r="H16" s="109" t="str">
        <v>Input</v>
      </c>
      <c r="I16" s="105">
        <f>X_Cell_Site_LeachingZone</f>
        <v>0</v>
      </c>
      <c r="M16" s="105" t="str">
        <v>z</v>
      </c>
      <c r="N16" s="106" t="str">
        <v>location in leaching zone</v>
      </c>
      <c r="O16" s="108"/>
      <c r="P16" s="105" t="str">
        <v/>
      </c>
      <c r="Q16" s="109" t="str">
        <v>Input</v>
      </c>
      <c r="R16" s="105"/>
    </row>
    <row r="17" spans="1:19" ht="20" customHeight="1" x14ac:dyDescent="0.25">
      <c r="A17" s="5" t="str">
        <f>HYPERLINK("#'Input - Fuel'!A1", "Fuel")</f>
        <v>Fuel</v>
      </c>
      <c r="D17" s="105" t="str">
        <v>j</v>
      </c>
      <c r="E17" s="106" t="str">
        <v>production system</v>
      </c>
      <c r="F17" s="108"/>
      <c r="G17" s="105" t="str">
        <v/>
      </c>
      <c r="H17" s="109" t="str">
        <v>Input</v>
      </c>
      <c r="I17" s="105">
        <f>X_Cell_PastureBeef_GrazingProductionSystem</f>
        <v>0</v>
      </c>
      <c r="M17" s="105" t="str">
        <v>j</v>
      </c>
      <c r="N17" s="106" t="str">
        <v>production system</v>
      </c>
      <c r="O17" s="108"/>
      <c r="P17" s="105" t="str">
        <v/>
      </c>
      <c r="Q17" s="109" t="str">
        <v>Input</v>
      </c>
      <c r="R17" s="105"/>
    </row>
    <row r="18" spans="1:19" ht="20" customHeight="1" x14ac:dyDescent="0.25">
      <c r="A18" s="5" t="str">
        <f>HYPERLINK("#'Input - Electricity'!A1", "Electricity")</f>
        <v>Electricity</v>
      </c>
      <c r="D18" s="105" t="str">
        <v>ir</v>
      </c>
      <c r="E18" s="106" t="str">
        <v>irrigation method</v>
      </c>
      <c r="F18" s="108"/>
      <c r="G18" s="105" t="str">
        <v/>
      </c>
      <c r="H18" s="109" t="str">
        <v>Input</v>
      </c>
      <c r="I18" s="105">
        <f>X_Cell_PastureBeef_GrazingIrrigationMethod</f>
        <v>0</v>
      </c>
      <c r="M18" s="105" t="str">
        <v>ir</v>
      </c>
      <c r="N18" s="106" t="str">
        <v>irrigation method</v>
      </c>
      <c r="O18" s="108"/>
      <c r="P18" s="105" t="str">
        <v/>
      </c>
      <c r="Q18" s="109" t="str">
        <v>Input</v>
      </c>
      <c r="R18" s="105"/>
    </row>
    <row r="19" spans="1:19" ht="20" customHeight="1" x14ac:dyDescent="0.25">
      <c r="A19" s="5" t="str">
        <f>HYPERLINK("#'Input - Common farm inputs'!A1", "Common farm inputs")</f>
        <v>Common farm inputs</v>
      </c>
    </row>
    <row r="20" spans="1:19" ht="20" customHeight="1" x14ac:dyDescent="0.25">
      <c r="A20" s="5" t="str">
        <f>HYPERLINK("#'Input - Crop pasture farm input'!A1", "Crop pasture farm input")</f>
        <v>Crop pasture farm input</v>
      </c>
      <c r="D20" s="93" t="s">
        <v>481</v>
      </c>
      <c r="E20" s="87" t="e" cm="1">
        <f t="array" aca="1" ref="E20" ca="1">MMS_PastureBeef_Soil_LeachingAndRunoff.VEERG_4_2_1_7__2_MassOfNitrogenLostToLeachingAndRunoffOnPasture($I$13,$I$14,$I$15)</f>
        <v>#N/A</v>
      </c>
      <c r="F20" s="94" t="str">
        <f>$E$11</f>
        <v>kg N</v>
      </c>
      <c r="K20" s="98"/>
      <c r="M20" s="93" t="s">
        <v>481</v>
      </c>
      <c r="N20" s="87" t="e" cm="1">
        <f t="array" aca="1" ref="N20" ca="1">MMS_PastureBeef_Soil_LeachingAndRunoff.VEERG_4_2_1_7__2_MassOfNitrogenLostToLeachingAndRunoffOnPasture($R$13,$I$14,$I$15)</f>
        <v>#N/A</v>
      </c>
      <c r="O20" s="94" t="str">
        <f>$E$11</f>
        <v>kg N</v>
      </c>
    </row>
    <row r="21" spans="1:19" ht="20" customHeight="1" x14ac:dyDescent="0.25">
      <c r="A21" s="5" t="str">
        <f>HYPERLINK("#'Input - Livestock farm Inputs'!A1", "Livestock farm Inputs")</f>
        <v>Livestock farm Inputs</v>
      </c>
      <c r="K21" s="98"/>
    </row>
    <row r="22" spans="1:19" ht="20" customHeight="1" x14ac:dyDescent="0.25">
      <c r="A22" s="5" t="str">
        <f>HYPERLINK("#'Input - Freight'!A1", "Freight")</f>
        <v>Freight</v>
      </c>
      <c r="K22" s="98"/>
    </row>
    <row r="23" spans="1:19" ht="20" customHeight="1" x14ac:dyDescent="0.25">
      <c r="A23" s="5" t="str">
        <f>HYPERLINK("#'Input - Solid waste'!A1", "Solid waste")</f>
        <v>Solid waste</v>
      </c>
      <c r="C23" s="87"/>
      <c r="D23" s="87"/>
      <c r="E23" s="87"/>
      <c r="F23" s="87"/>
      <c r="G23" s="87"/>
      <c r="H23" s="87"/>
      <c r="I23" s="87"/>
      <c r="J23" s="87"/>
      <c r="K23" s="98"/>
      <c r="L23" s="87"/>
      <c r="M23" s="87"/>
      <c r="N23" s="87"/>
      <c r="O23" s="87"/>
      <c r="P23" s="87"/>
      <c r="Q23" s="87"/>
      <c r="R23" s="87"/>
      <c r="S23" s="87"/>
    </row>
    <row r="24" spans="1:19" ht="20" customHeight="1" x14ac:dyDescent="0.25">
      <c r="A24" s="5" t="str">
        <f>HYPERLINK("#'Input - Manure sent off-site'!A1", "Manure sent off-site")</f>
        <v>Manure sent off-site</v>
      </c>
      <c r="D24" s="2" t="str" cm="1">
        <f t="array" ref="D24">MMS_PastureBeef_Soil_LeachingAndRunoff.VEERG_4_2_1_7__1_LeachingAndRunoffEmissionsFromUrineAndDungOnPasture_Title()</f>
        <v>Leaching and runoff emissions from urine and dung deposited on pasture</v>
      </c>
    </row>
    <row r="25" spans="1:19" ht="20" customHeight="1" x14ac:dyDescent="0.25">
      <c r="A25" s="5" t="str">
        <f>HYPERLINK("#'Input - Data quality'!A1", "Data quality")</f>
        <v>Data quality</v>
      </c>
      <c r="D25" s="17" t="str" cm="1">
        <f t="array" ref="D25">MMS_PastureBeef_Soil_LeachingAndRunoff.VEERG_4_2_1_7__1_LeachingAndRunoffEmissionsFromUrineAndDungOnPasture_Source()</f>
        <v>VEERG 2026: 4.2.1.7, Equation (1)</v>
      </c>
    </row>
    <row r="26" spans="1:19" ht="20" customHeight="1" x14ac:dyDescent="0.25">
      <c r="D26" s="103" t="s">
        <v>372</v>
      </c>
      <c r="E26" s="103" t="str">
        <f ca="1">Common_InputFunctions.Utility_DisplayFunctionName(VEERG_4_2_1_7__1_LeachingAndRunoffEmissionsFromUrineAndDungOnPasture_Result_Method1)</f>
        <v>=MMS_PastureBeef_Soil_LeachingAndRunoff.VEERG_4_2_1_7__1_LeachingAndRunoffEmissionsFromUrineAndDungOnPasture</v>
      </c>
    </row>
    <row r="27" spans="1:19" ht="20" customHeight="1" x14ac:dyDescent="0.25"/>
    <row r="28" spans="1:19" ht="20" customHeight="1" x14ac:dyDescent="0.25">
      <c r="A28" s="6" t="s">
        <v>2</v>
      </c>
    </row>
    <row r="29" spans="1:19" ht="20" customHeight="1" x14ac:dyDescent="0.25">
      <c r="A29" s="5" t="str">
        <f>HYPERLINK("#'3.2.1.1-2 Enteric Methane'!A1", "3.2.1.1-2 Enteric Methane")</f>
        <v>3.2.1.1-2 Enteric Methane</v>
      </c>
      <c r="D29" s="77" t="s">
        <v>374</v>
      </c>
      <c r="E29" s="1" t="str" cm="1">
        <f t="array" ref="E29">MMS_PastureBeef_Soil_LeachingAndRunoff.VEERG_4_2_1_7__1_LeachingAndRunoffEmissionsFromUrineAndDungOnPasture_Variable()</f>
        <v>E_N2Oleach</v>
      </c>
    </row>
    <row r="30" spans="1:19" ht="20" customHeight="1" x14ac:dyDescent="0.25">
      <c r="A30" s="5" t="str">
        <f>HYPERLINK("#'4.2.1.1-2 Methane'!A1", "4.2.1.1-2 Manure methane")</f>
        <v>4.2.1.1-2 Manure methane</v>
      </c>
      <c r="D30" s="77" t="s">
        <v>121</v>
      </c>
      <c r="E30" s="9" t="str" cm="1">
        <f t="array" ref="E30">MMS_PastureBeef_Soil_LeachingAndRunoff.VEERG_4_2_1_7__1_LeachingAndRunoffEmissionsFromUrineAndDungOnPasture_Unit()</f>
        <v>t N2O</v>
      </c>
    </row>
    <row r="31" spans="1:19" ht="20" customHeight="1" x14ac:dyDescent="0.25">
      <c r="A31" s="5" t="str">
        <f>HYPERLINK("#'4.2.1.3-4 Soil direct N20'!A1", "4.2.1.3-4 Soil direct N2O")</f>
        <v>4.2.1.3-4 Soil direct N2O</v>
      </c>
    </row>
    <row r="32" spans="1:19" ht="20" customHeight="1" x14ac:dyDescent="0.25">
      <c r="A32" s="5" t="str">
        <f>HYPERLINK("#'4.2.1.5-6 Soil Atmos Dep'!A1", "4.2.1.5-6 Soil atm. deposition")</f>
        <v>4.2.1.5-6 Soil atm. deposition</v>
      </c>
      <c r="D32" s="105" t="str" cm="1">
        <f t="array" ref="D32:E34">_xlfn.CHOOSECOLS(MMS_PastureBeef_Soil_LeachingAndRunoff.VEERG_4_2_1_7__1_LeachingAndRunoffEmissionsFromUrineAndDungOnPasture_Arguments(),1,2)</f>
        <v>M_leach</v>
      </c>
      <c r="E32" s="106" t="str">
        <v>mass of nitrogen lost to leaching and runoff</v>
      </c>
      <c r="F32" s="108"/>
      <c r="G32" s="105" t="str" cm="1">
        <f t="array" ref="G32:H34">_xlfn.CHOOSECOLS(MMS_PastureBeef_Soil_LeachingAndRunoff.VEERG_4_2_1_7__1_LeachingAndRunoffEmissionsFromUrineAndDungOnPasture_Arguments(),3,4)</f>
        <v>kg N</v>
      </c>
      <c r="H32" s="110" t="str">
        <v>Calculated from 4.2.1.7 (2)</v>
      </c>
      <c r="I32" s="105" t="e">
        <f ca="1">$E$20</f>
        <v>#N/A</v>
      </c>
      <c r="M32" s="105" t="str" cm="1">
        <f t="array" ref="M32:N34">_xlfn.CHOOSECOLS(MMS_PastureBeef_Soil_LeachingAndRunoff.VEERG_4_2_1_7__1_LeachingAndRunoffEmissionsFromUrineAndDungOnPasture_Arguments(),1,2)</f>
        <v>M_leach</v>
      </c>
      <c r="N32" s="106" t="str">
        <v>mass of nitrogen lost to leaching and runoff</v>
      </c>
      <c r="O32" s="108"/>
      <c r="P32" s="105" t="str" cm="1">
        <f t="array" ref="P32:Q34">_xlfn.CHOOSECOLS(MMS_PastureBeef_Soil_LeachingAndRunoff.VEERG_4_2_1_7__1_LeachingAndRunoffEmissionsFromUrineAndDungOnPasture_Arguments(),3,4)</f>
        <v>kg N</v>
      </c>
      <c r="Q32" s="110" t="str">
        <v>Calculated from 4.2.1.7 (2)</v>
      </c>
      <c r="R32" s="105" t="e">
        <f ca="1">$N$20</f>
        <v>#N/A</v>
      </c>
    </row>
    <row r="33" spans="1:18" ht="20" customHeight="1" x14ac:dyDescent="0.25">
      <c r="A33" s="104" t="str">
        <f>HYPERLINK("#'4.2.1.7-8 Soil leach runoff'!A1", "4.2.1.7-8 Soil leach &amp; runoff")</f>
        <v>4.2.1.7-8 Soil leach &amp; runoff</v>
      </c>
      <c r="D33" s="105" t="str">
        <v>EF_leach</v>
      </c>
      <c r="E33" s="106" t="str">
        <v>emission factor for leaching and runoff</v>
      </c>
      <c r="F33" s="108"/>
      <c r="G33" s="105" t="str">
        <v>kg N2O-N/kg N</v>
      </c>
      <c r="H33" s="110" t="str">
        <v>Constant</v>
      </c>
      <c r="I33" s="105">
        <f>'Constants - Common'!$E$170</f>
        <v>1.0999999999999999E-2</v>
      </c>
      <c r="M33" s="105" t="str">
        <v>EF_leach</v>
      </c>
      <c r="N33" s="106" t="str">
        <v>emission factor for leaching and runoff</v>
      </c>
      <c r="O33" s="108"/>
      <c r="P33" s="105" t="str">
        <v>kg N2O-N/kg N</v>
      </c>
      <c r="Q33" s="110" t="str">
        <v>Constant</v>
      </c>
      <c r="R33" s="105"/>
    </row>
    <row r="34" spans="1:18" ht="20" customHeight="1" x14ac:dyDescent="0.25">
      <c r="A34" s="5" t="str">
        <f>HYPERLINK("#'5.1.1.1-2 Inorganic fert N2O'!A1", "5.1.1.1-2 Inorganic fert N2O")</f>
        <v>5.1.1.1-2 Inorganic fert N2O</v>
      </c>
      <c r="D34" s="105" t="str">
        <v>C_N2O</v>
      </c>
      <c r="E34" s="106" t="str">
        <v>factor to convert elemental mass of N2O to molecular mass</v>
      </c>
      <c r="F34" s="108"/>
      <c r="G34" s="105" t="str">
        <v/>
      </c>
      <c r="H34" s="110" t="str">
        <v>Constant</v>
      </c>
      <c r="I34" s="105">
        <f>Common_InputFunctions.Utility_LookupValueInTableNumber("N2O",Table_GasToMolecularConversionFactor[Gas],Table_GasToMolecularConversionFactor[Conversion factor combined])</f>
        <v>1.5714285714285714</v>
      </c>
      <c r="M34" s="105" t="str">
        <v>C_N2O</v>
      </c>
      <c r="N34" s="106" t="str">
        <v>factor to convert elemental mass of N2O to molecular mass</v>
      </c>
      <c r="O34" s="108"/>
      <c r="P34" s="105" t="str">
        <v/>
      </c>
      <c r="Q34" s="110" t="str">
        <v>Constant</v>
      </c>
      <c r="R34" s="105"/>
    </row>
    <row r="35" spans="1:18" ht="20" customHeight="1" x14ac:dyDescent="0.25">
      <c r="A35" s="5" t="str">
        <f>HYPERLINK("#'5.1.1.3-4 Inorganic fert CO2'!A1", "5.1.1.3-4 Inorganic fert CO2")</f>
        <v>5.1.1.3-4 Inorganic fert CO2</v>
      </c>
    </row>
    <row r="36" spans="1:18" ht="20" customHeight="1" x14ac:dyDescent="0.25">
      <c r="A36" s="5" t="str">
        <f>HYPERLINK("#'5.2.1.1-2 Organic Fert N2O'!A1", "5.2.1.1-2 Organic fert N2O")</f>
        <v>5.2.1.1-2 Organic fert N2O</v>
      </c>
      <c r="D36" s="93" t="s">
        <v>482</v>
      </c>
      <c r="E36" s="87" t="e" cm="1">
        <f t="array" aca="1" ref="E36" ca="1">MMS_PastureBeef_Soil_LeachingAndRunoff.VEERG_4_2_1_7__1_LeachingAndRunoffEmissionsFromUrineAndDungOnPasture(I32,I33,I34)</f>
        <v>#N/A</v>
      </c>
      <c r="F36" s="94" t="str">
        <f>$E$30</f>
        <v>t N2O</v>
      </c>
      <c r="M36" s="93" t="s">
        <v>482</v>
      </c>
      <c r="N36" s="87" t="e" cm="1">
        <f t="array" aca="1" ref="N36" ca="1">MMS_PastureBeef_Soil_LeachingAndRunoff.VEERG_4_2_1_7__1_LeachingAndRunoffEmissionsFromUrineAndDungOnPasture(R32,I33,I34)</f>
        <v>#N/A</v>
      </c>
      <c r="O36" s="94" t="str">
        <f>$E$30</f>
        <v>t N2O</v>
      </c>
    </row>
    <row r="37" spans="1:18" ht="20" customHeight="1" x14ac:dyDescent="0.25">
      <c r="A37" s="5" t="str">
        <f>HYPERLINK("#'5.3.1.1-2 Lime CO2'!A1", "5.3.1.1-2 Lime CO2")</f>
        <v>5.3.1.1-2 Lime CO2</v>
      </c>
    </row>
    <row r="38" spans="1:18" ht="20" customHeight="1" x14ac:dyDescent="0.25">
      <c r="A38" s="5" t="str">
        <f>HYPERLINK("#'5.4.1.1-4 Atmos deposition'!A1", "5.4.1.1-4 Atmos. deposition")</f>
        <v>5.4.1.1-4 Atmos. deposition</v>
      </c>
      <c r="D38" s="116" t="str" cm="1">
        <f t="array" ref="D38:E39">Common_Equations.Common_ConvertN2OToCO2e_Arguments()</f>
        <v>EN2O</v>
      </c>
      <c r="E38" s="117" t="str">
        <v>Nitrous oxide emissions (t N2O)</v>
      </c>
      <c r="F38" s="118"/>
      <c r="G38" s="15" t="e">
        <f ca="1">VEERG_4_2_1_7__1_LeachingAndRunoffEmissionsFromUrineAndDungOnPasture_Result_Method1</f>
        <v>#N/A</v>
      </c>
      <c r="M38" s="116" t="str" cm="1">
        <f t="array" ref="M38:N39">Common_Equations.Common_ConvertN2OToCO2e_Arguments()</f>
        <v>EN2O</v>
      </c>
      <c r="N38" s="117" t="str">
        <v>Nitrous oxide emissions (t N2O)</v>
      </c>
      <c r="O38" s="118"/>
      <c r="P38" s="15" t="e">
        <f ca="1">VEERG_4_2_1_7__1_LeachingAndRunoffEmissionsFromUrineAndDungOnPasture_Result_Method2</f>
        <v>#N/A</v>
      </c>
    </row>
    <row r="39" spans="1:18" ht="20" customHeight="1" x14ac:dyDescent="0.25">
      <c r="A39" s="5" t="str">
        <f>HYPERLINK("#'5.5.1.1-2 Leaching and runoff'!A1", "5.5.1.1-2 Leaching &amp; runoff")</f>
        <v>5.5.1.1-2 Leaching &amp; runoff</v>
      </c>
      <c r="D39" s="116" t="str">
        <v>GWPN2O</v>
      </c>
      <c r="E39" s="117" t="str">
        <v>Global warming potential for nitrous oxide (t CO2-e / t N2O)</v>
      </c>
      <c r="F39" s="118"/>
      <c r="G39" s="15">
        <f>Common_InputFunctions.Utility_LookupValueInTableNumber("N2O",Table_GWPData[Gas],Table_GWPData[CO2-e factor])</f>
        <v>265</v>
      </c>
      <c r="M39" s="116" t="str">
        <v>GWPN2O</v>
      </c>
      <c r="N39" s="117" t="str">
        <v>Global warming potential for nitrous oxide (t CO2-e / t N2O)</v>
      </c>
      <c r="O39" s="118"/>
      <c r="P39" s="15">
        <f>Common_InputFunctions.Utility_LookupValueInTableNumber("N2O",Table_GWPData[Gas],Table_GWPData[CO2-e factor])</f>
        <v>265</v>
      </c>
    </row>
    <row r="40" spans="1:18" ht="20" customHeight="1" x14ac:dyDescent="0.25">
      <c r="A40" s="5" t="str">
        <f>HYPERLINK("#'6.2.1.1-2 Pasture residue N2O'!A1", "6.2.1.1-2 Pasture residue N2O")</f>
        <v>6.2.1.1-2 Pasture residue N2O</v>
      </c>
    </row>
    <row r="41" spans="1:18" ht="20" customHeight="1" x14ac:dyDescent="0.25">
      <c r="A41" s="5" t="str">
        <f>HYPERLINK("#'6.3.1.1-2 Leach runoff pasture'!A1", "6.3.1.1-2 Leach &amp; runoff (pasture)")</f>
        <v>6.3.1.1-2 Leach &amp; runoff (pasture)</v>
      </c>
      <c r="D41" s="87" t="s">
        <v>436</v>
      </c>
      <c r="E41" s="87" t="e" cm="1">
        <f t="array" aca="1" ref="E41" ca="1">Common_Equations.Common_ConvertN2OToCO2e(G38,G39)</f>
        <v>#N/A</v>
      </c>
      <c r="F41" s="94" t="str" cm="1">
        <f t="array" ref="F41">Common_Equations.Common_ConvertN2OToCO2e_Unit()</f>
        <v>t CO2e</v>
      </c>
      <c r="M41" s="87" t="s">
        <v>436</v>
      </c>
      <c r="N41" s="87" t="e" cm="1">
        <f t="array" aca="1" ref="N41" ca="1">Common_Equations.Common_ConvertN2OToCO2e(P38,P39)</f>
        <v>#N/A</v>
      </c>
      <c r="O41" s="94" t="str" cm="1">
        <f t="array" ref="O41">Common_Equations.Common_ConvertN2OToCO2e_Unit()</f>
        <v>t CO2e</v>
      </c>
    </row>
    <row r="42" spans="1:18" ht="20" customHeight="1" x14ac:dyDescent="0.25">
      <c r="A42" s="5" t="str">
        <f>HYPERLINK("#'8.1.1.1-2 Transport fuel'!A1", "8.1.1.1-2 Transport fuel")</f>
        <v>8.1.1.1-2 Transport fuel</v>
      </c>
    </row>
    <row r="43" spans="1:18" ht="20" customHeight="1" x14ac:dyDescent="0.25">
      <c r="A43" s="5" t="str">
        <f>HYPERLINK("#'8.2.1.1-2 Stationary fuel'!A1", "8.2.1.1-2 Stationary fuel")</f>
        <v>8.2.1.1-2 Stationary fuel</v>
      </c>
    </row>
    <row r="44" spans="1:18" ht="20" customHeight="1" x14ac:dyDescent="0.25">
      <c r="A44" s="5" t="str">
        <f>HYPERLINK("#'10.1.1-2 Solid waste treatment'!A1", "10.1.1.1-2 Solid waste")</f>
        <v>10.1.1.1-2 Solid waste</v>
      </c>
    </row>
    <row r="45" spans="1:18" ht="20" customHeight="1" x14ac:dyDescent="0.25">
      <c r="A45" s="5" t="str">
        <f>HYPERLINK("#'14.1.1-2 Purchased electricity'!A1", "14.1.1-2 Purchased electricity")</f>
        <v>14.1.1-2 Purchased electricity</v>
      </c>
    </row>
    <row r="46" spans="1:18" ht="20" customHeight="1" x14ac:dyDescent="0.25">
      <c r="A46" s="5" t="str">
        <f>HYPERLINK("#'15 Scope 3'!A1", "15 Scope 3")</f>
        <v>15 Scope 3</v>
      </c>
    </row>
    <row r="47" spans="1:18" ht="20" customHeight="1" x14ac:dyDescent="0.25">
      <c r="A47" s="5" t="str">
        <f>HYPERLINK("#'Calcs - Manure sent off-site'!A1", "Calcs - Manure sent off-site")</f>
        <v>Calcs - Manure sent off-site</v>
      </c>
    </row>
    <row r="48" spans="1:18" ht="20" customHeight="1" x14ac:dyDescent="0.25"/>
    <row r="49" spans="1:1" ht="20" customHeight="1" x14ac:dyDescent="0.25"/>
    <row r="50" spans="1:1" ht="20" customHeight="1" x14ac:dyDescent="0.25">
      <c r="A50" s="85" t="s">
        <v>1</v>
      </c>
    </row>
    <row r="51" spans="1:1" ht="20" customHeight="1" x14ac:dyDescent="0.25">
      <c r="A51" s="5" t="str">
        <f>HYPERLINK("#'Constants - Pasture Beef'!A1", "Constants - Pasture Beef")</f>
        <v>Constants - Pasture Beef</v>
      </c>
    </row>
    <row r="52" spans="1:1" ht="20" customHeight="1" x14ac:dyDescent="0.25">
      <c r="A52" s="5" t="str">
        <f>HYPERLINK("#'Constants - Ag Residue'!A1", "Constants - Ag residue")</f>
        <v>Constants - Ag residue</v>
      </c>
    </row>
    <row r="53" spans="1:1" ht="20" customHeight="1" x14ac:dyDescent="0.25">
      <c r="A53" s="5" t="str">
        <f>HYPERLINK("#'Constants - Common Livestock'!A1", "Constants - Common Livestock")</f>
        <v>Constants - Common Livestock</v>
      </c>
    </row>
    <row r="54" spans="1:1" ht="20" customHeight="1" x14ac:dyDescent="0.25">
      <c r="A54" s="5" t="str">
        <f>HYPERLINK("#'Constants - Electricity'!A1", "Constants - Electricity")</f>
        <v>Constants - Electricity</v>
      </c>
    </row>
    <row r="55" spans="1:1" ht="20" customHeight="1" x14ac:dyDescent="0.25">
      <c r="A55" s="5" t="str">
        <f>HYPERLINK("#'Constants - Fertiliser'!A1", "Constants - Fertiliser")</f>
        <v>Constants - Fertiliser</v>
      </c>
    </row>
    <row r="56" spans="1:1" ht="20" customHeight="1" x14ac:dyDescent="0.25">
      <c r="A56" s="5" t="str">
        <f>HYPERLINK("#'Constants - Fuel'!A1", "Constants - Fuel")</f>
        <v>Constants - Fuel</v>
      </c>
    </row>
    <row r="57" spans="1:1" ht="20" customHeight="1" x14ac:dyDescent="0.25">
      <c r="A57" s="5" t="str">
        <f>HYPERLINK("#'Constants - Scope 3'!A1", "Constants - Scope 3")</f>
        <v>Constants - Scope 3</v>
      </c>
    </row>
    <row r="58" spans="1:1" ht="20" customHeight="1" x14ac:dyDescent="0.25">
      <c r="A58" s="5" t="str">
        <f>HYPERLINK("#'Constants - Solid Waste'!A1", "Constants - Solid Waste")</f>
        <v>Constants - Solid Waste</v>
      </c>
    </row>
    <row r="59" spans="1:1" ht="20" customHeight="1" x14ac:dyDescent="0.25">
      <c r="A59" s="5" t="str">
        <f>HYPERLINK("#'Constants - Common'!A1", "Constants - Common")</f>
        <v>Constants - Common</v>
      </c>
    </row>
    <row r="60" spans="1:1" ht="20" customHeight="1" x14ac:dyDescent="0.25">
      <c r="A60" s="5" t="str">
        <f>HYPERLINK("#'Acknowledgements'!A1", "Acknowledgements")</f>
        <v>Acknowledgements</v>
      </c>
    </row>
    <row r="61" spans="1:1" ht="20" customHeight="1" x14ac:dyDescent="0.25"/>
    <row r="62" spans="1:1" ht="20" customHeight="1" x14ac:dyDescent="0.25"/>
    <row r="63" spans="1:1" ht="20" customHeight="1" x14ac:dyDescent="0.25"/>
    <row r="64" spans="1:1"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dataValidations count="1">
    <dataValidation operator="equal" allowBlank="1" showInputMessage="1" showErrorMessage="1" sqref="E23 N23 E28 N28" xr:uid="{2C8DB9EC-6644-4B6A-9479-2AAE87300C23}"/>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B6304-627B-4113-B002-5C30A9AD69B8}">
  <sheetPr>
    <tabColor rgb="FF008000"/>
  </sheetPr>
  <dimension ref="A1:X342"/>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1" customFormat="1" ht="30" customHeight="1" x14ac:dyDescent="0.35">
      <c r="A1" s="10" t="e" vm="1">
        <v>#VALUE!</v>
      </c>
      <c r="C1" s="21" t="s">
        <v>630</v>
      </c>
      <c r="K1"/>
    </row>
    <row r="2" spans="1:24" s="3" customFormat="1" ht="20" customHeight="1" x14ac:dyDescent="0.25">
      <c r="A2"/>
      <c r="K2"/>
    </row>
    <row r="3" spans="1:24" ht="20" customHeight="1" x14ac:dyDescent="0.25">
      <c r="A3" s="5" t="str">
        <f>HYPERLINK("#'Home'!A1", "Home")</f>
        <v>Home</v>
      </c>
      <c r="C3" s="23"/>
      <c r="D3" s="23" t="s">
        <v>136</v>
      </c>
      <c r="E3" s="23"/>
      <c r="F3" s="23"/>
      <c r="G3" s="23"/>
      <c r="H3" s="23"/>
      <c r="I3" s="23"/>
      <c r="J3" s="23"/>
      <c r="L3" s="23"/>
      <c r="M3" s="23" t="s">
        <v>137</v>
      </c>
      <c r="N3" s="23"/>
      <c r="O3" s="23"/>
      <c r="P3" s="23"/>
      <c r="Q3" s="23"/>
      <c r="R3" s="23"/>
      <c r="S3" s="23"/>
      <c r="T3" s="23"/>
      <c r="U3" s="23"/>
      <c r="V3" s="23"/>
      <c r="W3" s="23"/>
      <c r="X3" s="23"/>
    </row>
    <row r="4" spans="1:24" ht="20" customHeight="1" x14ac:dyDescent="0.25">
      <c r="A4" s="5" t="str">
        <f>HYPERLINK("#'Results - Activity period'!A1", "Results - Activity period")</f>
        <v>Results - Activity period</v>
      </c>
    </row>
    <row r="5" spans="1:24" ht="20" customHeight="1" x14ac:dyDescent="0.25">
      <c r="A5" s="5" t="str">
        <f>HYPERLINK("#'Results - Product EI'!A1", "Results - Product Emissions Intensity")</f>
        <v>Results - Product Emissions Intensity</v>
      </c>
      <c r="D5" s="2" t="str" cm="1">
        <f t="array" ref="D5">Fertiliser_Equations_InorganicN2O.VEERG_5_1_1_1__2_MassOfNitrogenInInorganicFertiliser_Title()</f>
        <v>Mass of nitrogen in inorganic fertiliser applied to production system</v>
      </c>
      <c r="M5" s="80" t="s">
        <v>631</v>
      </c>
    </row>
    <row r="6" spans="1:24" ht="20" customHeight="1" x14ac:dyDescent="0.25">
      <c r="D6" s="17" t="str" cm="1">
        <f t="array" ref="D6">Fertiliser_Equations_InorganicN2O.VEERG_5_1_1_1__2_MassOfNitrogenInInorganicFertiliser_Source()</f>
        <v>VEERG 2026: 5.1.1.1, Equation (2)</v>
      </c>
      <c r="M6" s="70" t="s">
        <v>632</v>
      </c>
      <c r="N6" s="70"/>
      <c r="O6" s="70"/>
      <c r="P6" s="70"/>
      <c r="Q6" s="70"/>
      <c r="R6" s="70"/>
      <c r="S6" s="70"/>
    </row>
    <row r="7" spans="1:24" ht="20" customHeight="1" x14ac:dyDescent="0.25">
      <c r="D7" s="103" t="s">
        <v>372</v>
      </c>
      <c r="E7" s="103" t="str" cm="1">
        <f t="array" aca="1" ref="E7" ca="1">Common_InputFunctions.Utility_DisplayFunctionName(G19)</f>
        <v>=Fertiliser_Equations_InorganicN2O.VEERG_5_1_1_1__2_MassOfNitrogenInInorganicFertiliser</v>
      </c>
      <c r="M7" s="112" t="s">
        <v>633</v>
      </c>
    </row>
    <row r="8" spans="1:24" ht="20" customHeight="1" x14ac:dyDescent="0.25">
      <c r="A8" s="7" t="s">
        <v>0</v>
      </c>
      <c r="M8" s="113" t="s">
        <v>634</v>
      </c>
    </row>
    <row r="9" spans="1:24" ht="20" customHeight="1" x14ac:dyDescent="0.25">
      <c r="A9" s="5" t="str">
        <f>HYPERLINK("#'Input - Enterprise'!A1", "Enterprise")</f>
        <v>Enterprise</v>
      </c>
      <c r="O9" s="161" t="s">
        <v>635</v>
      </c>
      <c r="P9" s="161" t="s">
        <v>636</v>
      </c>
      <c r="Q9" s="161" t="s">
        <v>637</v>
      </c>
    </row>
    <row r="10" spans="1:24" ht="20" customHeight="1" x14ac:dyDescent="0.25">
      <c r="A10" s="5" t="str">
        <f>HYPERLINK("#'Input - Site'!A1", "Site")</f>
        <v>Site</v>
      </c>
      <c r="D10" s="77" t="s">
        <v>374</v>
      </c>
      <c r="E10" s="1" t="str" cm="1">
        <f t="array" ref="E10">Fertiliser_Equations_InorganicN2O.VEERG_5_1_1_1__2_MassOfNitrogenInInorganicFertiliser_Variable()</f>
        <v>MN_jf</v>
      </c>
      <c r="M10" s="114" t="s">
        <v>638</v>
      </c>
      <c r="N10" s="82" t="s">
        <v>638</v>
      </c>
      <c r="O10" s="82" t="s">
        <v>639</v>
      </c>
      <c r="P10" s="82" t="s">
        <v>640</v>
      </c>
      <c r="Q10" s="114" t="s">
        <v>641</v>
      </c>
    </row>
    <row r="11" spans="1:24" ht="20" customHeight="1" x14ac:dyDescent="0.25">
      <c r="A11" s="5" t="str">
        <f>HYPERLINK("#'Input - Pasture Beef'!A1", "Pasture Beef")</f>
        <v>Pasture Beef</v>
      </c>
      <c r="D11" s="77" t="s">
        <v>121</v>
      </c>
      <c r="E11" s="9" t="str" cm="1">
        <f t="array" ref="E11">Fertiliser_Equations_InorganicN2O.VEERG_5_1_1_1__2_MassOfNitrogenInInorganicFertiliser_Unit()</f>
        <v>kg N</v>
      </c>
      <c r="M11" s="15" t="s">
        <v>642</v>
      </c>
      <c r="N11" s="15" cm="1">
        <f t="array" ref="N11:N20">Table_Input_InorganicFertiliser_Brands[Product (select)]</f>
        <v>0</v>
      </c>
      <c r="O11" s="15" cm="1">
        <f t="array" ref="O11:O20">Table_Input_InorganicFertiliser_Brands[N application rate (kg/ha)]</f>
        <v>0</v>
      </c>
      <c r="P11" s="15" cm="1">
        <f t="array" ref="P11:P20">IF(Table_Input_InorganicFertiliser_Brands[N application rate (kg/ha)]&gt;0, Table_Input_InorganicFertiliser_Brands[Application area (ha)], 0)</f>
        <v>0</v>
      </c>
      <c r="Q11" s="15">
        <f>O11*P11</f>
        <v>0</v>
      </c>
    </row>
    <row r="12" spans="1:24" ht="20" customHeight="1" x14ac:dyDescent="0.25">
      <c r="A12" s="5" t="str">
        <f>HYPERLINK("#'Input - Livestock sales'!A1", "Livestock sales")</f>
        <v>Livestock sales</v>
      </c>
      <c r="M12" s="15" t="s">
        <v>642</v>
      </c>
      <c r="N12" s="15">
        <v>0</v>
      </c>
      <c r="O12" s="15">
        <v>0</v>
      </c>
      <c r="P12" s="15">
        <v>0</v>
      </c>
      <c r="Q12" s="15">
        <f>O12*P12</f>
        <v>0</v>
      </c>
    </row>
    <row r="13" spans="1:24" ht="20" customHeight="1" x14ac:dyDescent="0.25">
      <c r="A13" s="5" t="str">
        <f>HYPERLINK("#'Input - Beef cattle purchases'!A1", "Beef cattle purchases")</f>
        <v>Beef cattle purchases</v>
      </c>
      <c r="D13" s="116" t="str" cm="1">
        <f t="array" ref="D13:E14">_xlfn.CHOOSECOLS(Fertiliser_Equations_InorganicN2O.VEERG_5_1_1_1__2_MassOfNitrogenInInorganicFertiliser_Arguments(), 1,2)</f>
        <v>TM_jf</v>
      </c>
      <c r="E13" s="116" t="str">
        <v>total mass of inorganic fertiliser type f applied to production system j</v>
      </c>
      <c r="F13" s="116"/>
      <c r="G13" s="116" t="str" cm="1">
        <f t="array" ref="G13:H14">_xlfn.CHOOSECOLS(Fertiliser_Equations_InorganicN2O.VEERG_5_1_1_1__2_MassOfNitrogenInInorganicFertiliser_Arguments(), 3,4)</f>
        <v>kg</v>
      </c>
      <c r="H13" s="109" t="str">
        <v>Input</v>
      </c>
      <c r="I13" s="111" t="str" cm="1">
        <f t="array" aca="1" ref="I13" ca="1">HYPERLINK(Common_InputFunctions.Utility_SourceHyperlink($D$16), $D$16)</f>
        <v>Table_MN_j_f</v>
      </c>
      <c r="M13" s="15" t="s">
        <v>642</v>
      </c>
      <c r="N13" s="15">
        <v>0</v>
      </c>
      <c r="O13" s="15">
        <v>0</v>
      </c>
      <c r="P13" s="15">
        <v>0</v>
      </c>
      <c r="Q13" s="15">
        <f t="shared" ref="Q13:Q15" si="0">O13*P13</f>
        <v>0</v>
      </c>
    </row>
    <row r="14" spans="1:24" ht="20" customHeight="1" x14ac:dyDescent="0.25">
      <c r="A14" s="5" t="str">
        <f>HYPERLINK("#'Input - Pasture'!A1", "Pasture")</f>
        <v>Pasture</v>
      </c>
      <c r="D14" s="116" t="str">
        <v>FN_inorganicf</v>
      </c>
      <c r="E14" s="117" t="str">
        <v xml:space="preserve">fraction of nitrogen in inorganic fertiliser type f </v>
      </c>
      <c r="F14" s="162"/>
      <c r="G14" s="116" t="str">
        <v>kg N/kg</v>
      </c>
      <c r="H14" s="110" t="str">
        <v>Constant</v>
      </c>
      <c r="I14" s="111" t="str" cm="1">
        <f t="array" aca="1" ref="I14" ca="1">HYPERLINK(Common_InputFunctions.Utility_SourceHyperlink($D$16), $D$16)</f>
        <v>Table_MN_j_f</v>
      </c>
      <c r="M14" s="15" t="s">
        <v>642</v>
      </c>
      <c r="N14" s="15">
        <v>0</v>
      </c>
      <c r="O14" s="15">
        <v>0</v>
      </c>
      <c r="P14" s="15">
        <v>0</v>
      </c>
      <c r="Q14" s="15">
        <f t="shared" si="0"/>
        <v>0</v>
      </c>
    </row>
    <row r="15" spans="1:24" ht="20" customHeight="1" x14ac:dyDescent="0.25">
      <c r="A15" s="5" t="str">
        <f>HYPERLINK("#'Input - Fert Prod System'!A1", "Fert Prod System")</f>
        <v>Fert Prod System</v>
      </c>
      <c r="M15" s="15" t="s">
        <v>642</v>
      </c>
      <c r="N15" s="15">
        <v>0</v>
      </c>
      <c r="O15" s="15">
        <v>0</v>
      </c>
      <c r="P15" s="15">
        <v>0</v>
      </c>
      <c r="Q15" s="15">
        <f t="shared" si="0"/>
        <v>0</v>
      </c>
    </row>
    <row r="16" spans="1:24" ht="20" customHeight="1" x14ac:dyDescent="0.25">
      <c r="A16" s="5" t="str">
        <f>HYPERLINK("#'Input - Fertiliser'!A1", "Fertiliser")</f>
        <v>Fertiliser</v>
      </c>
      <c r="D16" s="112" t="s">
        <v>643</v>
      </c>
      <c r="M16" s="15" t="s">
        <v>642</v>
      </c>
      <c r="N16" s="15">
        <v>0</v>
      </c>
      <c r="O16" s="15">
        <v>0</v>
      </c>
      <c r="P16" s="15">
        <v>0</v>
      </c>
      <c r="Q16" s="15"/>
    </row>
    <row r="17" spans="1:17" ht="20" customHeight="1" x14ac:dyDescent="0.25">
      <c r="A17" s="5" t="str">
        <f>HYPERLINK("#'Input - Fuel'!A1", "Fuel")</f>
        <v>Fuel</v>
      </c>
      <c r="D17" s="113" t="s">
        <v>644</v>
      </c>
      <c r="M17" s="15" t="s">
        <v>642</v>
      </c>
      <c r="N17" s="15">
        <v>0</v>
      </c>
      <c r="O17" s="15">
        <v>0</v>
      </c>
      <c r="P17" s="15">
        <v>0</v>
      </c>
      <c r="Q17" s="15"/>
    </row>
    <row r="18" spans="1:17" ht="20" customHeight="1" x14ac:dyDescent="0.25">
      <c r="A18" s="5" t="str">
        <f>HYPERLINK("#'Input - Electricity'!A1", "Electricity")</f>
        <v>Electricity</v>
      </c>
      <c r="D18" s="114" t="s">
        <v>645</v>
      </c>
      <c r="E18" s="82" t="s">
        <v>646</v>
      </c>
      <c r="F18" s="114" t="s">
        <v>647</v>
      </c>
      <c r="G18" s="114" t="s">
        <v>648</v>
      </c>
      <c r="M18" s="15" t="s">
        <v>642</v>
      </c>
      <c r="N18" s="15">
        <v>0</v>
      </c>
      <c r="O18" s="15">
        <v>0</v>
      </c>
      <c r="P18" s="15">
        <v>0</v>
      </c>
      <c r="Q18" s="15"/>
    </row>
    <row r="19" spans="1:17" ht="20" customHeight="1" x14ac:dyDescent="0.25">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642</v>
      </c>
      <c r="N19" s="15">
        <v>0</v>
      </c>
      <c r="O19" s="15">
        <v>0</v>
      </c>
      <c r="P19" s="15">
        <v>0</v>
      </c>
      <c r="Q19" s="15"/>
    </row>
    <row r="20" spans="1:17" ht="20" customHeight="1" x14ac:dyDescent="0.25">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642</v>
      </c>
      <c r="N20" s="15">
        <v>0</v>
      </c>
      <c r="O20" s="15">
        <v>0</v>
      </c>
      <c r="P20" s="15">
        <v>0</v>
      </c>
      <c r="Q20" s="15"/>
    </row>
    <row r="21" spans="1:17" ht="20" customHeight="1" x14ac:dyDescent="0.25">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0</v>
      </c>
      <c r="M21" s="15" t="s">
        <v>649</v>
      </c>
      <c r="N21" s="15" cm="1">
        <f t="array" ref="N21:N30">Table_Input_InorganicFertiliser_Custom[Custom blend name]</f>
        <v>0</v>
      </c>
      <c r="O21" s="15" cm="1">
        <f t="array" ref="O21:O30">Table_Input_InorganicFertiliser_Custom[N application rate (kg/ha)]</f>
        <v>0</v>
      </c>
      <c r="P21" s="15" cm="1">
        <f t="array" ref="P21:P30">IF(Table_Input_InorganicFertiliser_Custom[N application rate (kg/ha)]&gt;0, Table_Input_InorganicFertiliser_Custom[Application area (ha)],0)</f>
        <v>0</v>
      </c>
      <c r="Q21" s="15">
        <f>O21*P21</f>
        <v>0</v>
      </c>
    </row>
    <row r="22" spans="1:17" ht="20" customHeight="1" x14ac:dyDescent="0.25">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649</v>
      </c>
      <c r="N22" s="15">
        <v>0</v>
      </c>
      <c r="O22" s="15">
        <v>0</v>
      </c>
      <c r="P22" s="15">
        <v>0</v>
      </c>
      <c r="Q22" s="15">
        <f>O22*P22</f>
        <v>0</v>
      </c>
    </row>
    <row r="23" spans="1:17" ht="20" customHeight="1" x14ac:dyDescent="0.25">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649</v>
      </c>
      <c r="N23" s="15">
        <v>0</v>
      </c>
      <c r="O23" s="15">
        <v>0</v>
      </c>
      <c r="P23" s="15">
        <v>0</v>
      </c>
      <c r="Q23" s="15">
        <f>O23*P23</f>
        <v>0</v>
      </c>
    </row>
    <row r="24" spans="1:17" ht="20" customHeight="1" x14ac:dyDescent="0.25">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649</v>
      </c>
      <c r="N24" s="15">
        <v>0</v>
      </c>
      <c r="O24" s="15">
        <v>0</v>
      </c>
      <c r="P24" s="15">
        <v>0</v>
      </c>
      <c r="Q24" s="15">
        <f>O24*P24</f>
        <v>0</v>
      </c>
    </row>
    <row r="25" spans="1:17" ht="20" customHeight="1" x14ac:dyDescent="0.25">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649</v>
      </c>
      <c r="N25" s="15">
        <v>0</v>
      </c>
      <c r="O25" s="15">
        <v>0</v>
      </c>
      <c r="P25" s="15">
        <v>0</v>
      </c>
      <c r="Q25" s="15">
        <f>O25*P25</f>
        <v>0</v>
      </c>
    </row>
    <row r="26" spans="1:17" ht="20" customHeight="1" x14ac:dyDescent="0.25">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0</v>
      </c>
      <c r="M26" s="15" t="s">
        <v>649</v>
      </c>
      <c r="N26" s="15">
        <v>0</v>
      </c>
      <c r="O26" s="15">
        <v>0</v>
      </c>
      <c r="P26" s="15">
        <v>0</v>
      </c>
      <c r="Q26" s="15"/>
    </row>
    <row r="27" spans="1:17" ht="20" customHeight="1" x14ac:dyDescent="0.25">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0</v>
      </c>
      <c r="M27" s="15" t="s">
        <v>649</v>
      </c>
      <c r="N27" s="15">
        <v>0</v>
      </c>
      <c r="O27" s="15">
        <v>0</v>
      </c>
      <c r="P27" s="15">
        <v>0</v>
      </c>
      <c r="Q27" s="15"/>
    </row>
    <row r="28" spans="1:17" ht="20" customHeight="1" x14ac:dyDescent="0.25">
      <c r="A28" s="6" t="s">
        <v>2</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649</v>
      </c>
      <c r="N28" s="15">
        <v>0</v>
      </c>
      <c r="O28" s="15">
        <v>0</v>
      </c>
      <c r="P28" s="15">
        <v>0</v>
      </c>
      <c r="Q28" s="15"/>
    </row>
    <row r="29" spans="1:17" ht="20" customHeight="1" x14ac:dyDescent="0.25">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649</v>
      </c>
      <c r="N29" s="15">
        <v>0</v>
      </c>
      <c r="O29" s="15">
        <v>0</v>
      </c>
      <c r="P29" s="15">
        <v>0</v>
      </c>
      <c r="Q29" s="15"/>
    </row>
    <row r="30" spans="1:17" ht="20" customHeight="1" x14ac:dyDescent="0.25">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649</v>
      </c>
      <c r="N30" s="15">
        <v>0</v>
      </c>
      <c r="O30" s="15">
        <v>0</v>
      </c>
      <c r="P30" s="15">
        <v>0</v>
      </c>
      <c r="Q30" s="15"/>
    </row>
    <row r="31" spans="1:17" ht="20" customHeight="1" x14ac:dyDescent="0.25">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 customHeight="1" x14ac:dyDescent="0.25">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 customHeight="1" x14ac:dyDescent="0.25">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93" t="s">
        <v>650</v>
      </c>
      <c r="N33" s="87">
        <f>SUM(Q11:Q30)</f>
        <v>0</v>
      </c>
    </row>
    <row r="34" spans="1:24" ht="20" customHeight="1" x14ac:dyDescent="0.25">
      <c r="A34" s="104"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7" t="s">
        <v>651</v>
      </c>
      <c r="N34" s="1">
        <f>MAX(P11:P30)</f>
        <v>0</v>
      </c>
    </row>
    <row r="35" spans="1:24" ht="20" customHeight="1" x14ac:dyDescent="0.25">
      <c r="A35" s="5"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7" t="s">
        <v>652</v>
      </c>
      <c r="N35" s="1" t="e">
        <f>N33/N34</f>
        <v>#DIV/0!</v>
      </c>
    </row>
    <row r="36" spans="1:24" ht="20" customHeight="1" x14ac:dyDescent="0.25">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0</v>
      </c>
    </row>
    <row r="37" spans="1:24" ht="20" customHeight="1" x14ac:dyDescent="0.25">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0</v>
      </c>
      <c r="L37" s="87"/>
      <c r="M37" s="87"/>
      <c r="N37" s="87"/>
      <c r="O37" s="87"/>
      <c r="P37" s="87"/>
      <c r="Q37" s="87"/>
      <c r="R37" s="87"/>
      <c r="S37" s="87"/>
      <c r="T37" s="87"/>
      <c r="U37" s="87"/>
      <c r="V37" s="87"/>
      <c r="W37" s="87"/>
      <c r="X37" s="87"/>
    </row>
    <row r="38" spans="1:24" ht="20" customHeight="1" x14ac:dyDescent="0.25">
      <c r="A38" s="5" t="str">
        <f>HYPERLINK("#'5.4.1.1-4 Atmos deposition'!A1", "5.4.1.1-4 Atmos. deposition")</f>
        <v>5.4.1.1-4 Atmos. deposition</v>
      </c>
    </row>
    <row r="39" spans="1:24" ht="20" customHeight="1" x14ac:dyDescent="0.25">
      <c r="A39" s="5" t="str">
        <f>HYPERLINK("#'5.5.1.1-2 Leaching and runoff'!A1", "5.5.1.1-2 Leaching &amp; runoff")</f>
        <v>5.5.1.1-2 Leaching &amp; runoff</v>
      </c>
      <c r="C39" s="87"/>
      <c r="D39" s="87"/>
      <c r="E39" s="87"/>
      <c r="F39" s="87"/>
      <c r="G39" s="87"/>
      <c r="H39" s="87"/>
      <c r="I39" s="87"/>
      <c r="J39" s="87"/>
      <c r="M39" s="2" t="str" cm="1">
        <f t="array" ref="M39">Fertiliser_Equations_InorganicN2O.VEERG_5_1_1_2__1_EmissionFactorIrrigatedMaize_Title()</f>
        <v>Emission factor for nitrous oxide for irrigated maize</v>
      </c>
    </row>
    <row r="40" spans="1:24" ht="20" customHeight="1" x14ac:dyDescent="0.25">
      <c r="A40" s="5" t="str">
        <f>HYPERLINK("#'6.2.1.1-2 Pasture residue N2O'!A1", "6.2.1.1-2 Pasture residue N2O")</f>
        <v>6.2.1.1-2 Pasture residue N2O</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 customHeight="1" x14ac:dyDescent="0.25">
      <c r="A41" s="5" t="str">
        <f>HYPERLINK("#'6.3.1.1-2 Leach runoff pasture'!A1", "6.3.1.1-2 Leach &amp; runoff (pasture)")</f>
        <v>6.3.1.1-2 Leach &amp; runoff (pasture)</v>
      </c>
      <c r="D41" s="17" t="str" cm="1">
        <f t="array" ref="D41">Fertiliser_Equations_InorganicN2O.VEERG_5_1_1_1__1_InorganicFertiliserApplicationN2OEmissions_Source()</f>
        <v>VEERG 2026: 5.1.1.1, Equation (1)</v>
      </c>
    </row>
    <row r="42" spans="1:24" ht="20" customHeight="1" x14ac:dyDescent="0.25">
      <c r="A42" s="5" t="str">
        <f>HYPERLINK("#'8.1.1.1-2 Transport fuel'!A1", "8.1.1.1-2 Transport fuel")</f>
        <v>8.1.1.1-2 Transport fuel</v>
      </c>
      <c r="D42" s="103" t="s">
        <v>372</v>
      </c>
      <c r="E42" s="103" t="str" cm="1">
        <f t="array" aca="1" ref="E42" ca="1">Common_InputFunctions.Utility_DisplayFunctionName($E$60)</f>
        <v>=Fertiliser_Equations_InorganicN2O.VEERG_5_1_1_1__1_InorganicFertiliserApplicationN2OEmissions</v>
      </c>
      <c r="F42" s="16"/>
    </row>
    <row r="43" spans="1:24" ht="20" customHeight="1" x14ac:dyDescent="0.25">
      <c r="A43" s="5" t="str">
        <f>HYPERLINK("#'8.2.1.1-2 Stationary fuel'!A1", "8.2.1.1-2 Stationary fuel")</f>
        <v>8.2.1.1-2 Stationary fuel</v>
      </c>
      <c r="F43" s="16"/>
      <c r="M43" s="77" t="s">
        <v>374</v>
      </c>
      <c r="N43" s="1" t="str" cm="1">
        <f t="array" ref="N43">Fertiliser_Equations_InorganicN2O.VEERG_5_1_1_2__1_EmissionFactorIrrigatedMaize_Variable()</f>
        <v>EF_fjIrrigatedMaizeN2O</v>
      </c>
    </row>
    <row r="44" spans="1:24" ht="20" customHeight="1" x14ac:dyDescent="0.25">
      <c r="A44" s="5" t="str">
        <f>HYPERLINK("#'10.1.1-2 Solid waste treatment'!A1", "10.1.1.1-2 Solid waste")</f>
        <v>10.1.1.1-2 Solid waste</v>
      </c>
      <c r="F44" s="16"/>
      <c r="M44" s="77" t="s">
        <v>121</v>
      </c>
      <c r="N44" s="9" t="str" cm="1">
        <f t="array" ref="N44">Fertiliser_Equations_InorganicN2O.VEERG_5_1_1_2__1_EmissionFactorIrrigatedMaize_Unit()</f>
        <v>kg N2O-N/kg N applied</v>
      </c>
    </row>
    <row r="45" spans="1:24" ht="20" customHeight="1" x14ac:dyDescent="0.25">
      <c r="A45" s="5" t="str">
        <f>HYPERLINK("#'14.1.1-2 Purchased electricity'!A1", "14.1.1-2 Purchased electricity")</f>
        <v>14.1.1-2 Purchased electricity</v>
      </c>
      <c r="F45" s="16"/>
    </row>
    <row r="46" spans="1:24" ht="20" customHeight="1" x14ac:dyDescent="0.25">
      <c r="A46" s="5" t="str">
        <f>HYPERLINK("#'15 Scope 3'!A1", "15 Scope 3")</f>
        <v>15 Scope 3</v>
      </c>
      <c r="D46" s="77" t="s">
        <v>374</v>
      </c>
      <c r="E46" s="1" t="str" cm="1">
        <f t="array" ref="E46">Fertiliser_Equations_InorganicN2O.VEERG_5_1_1_1__1_InorganicFertiliserApplicationN2OEmissions_Variable()</f>
        <v>E_N2O</v>
      </c>
      <c r="F46" s="16"/>
      <c r="M46" s="116" t="str" cm="1">
        <f t="array" ref="M46:N47">_xlfn.CHOOSECOLS(Fertiliser_Equations_InorganicN2O.VEERG_5_1_1_2__1_EmissionFactorIrrigatedMaize_Arguments(), 1, 2)</f>
        <v>N_fjIrrigatedMaize</v>
      </c>
      <c r="N46" s="117" t="str">
        <v>application rate of inorganic fertiliser type f in the irrigated maize crop</v>
      </c>
      <c r="O46" s="163"/>
      <c r="P46" s="116" t="str" cm="1">
        <f t="array" ref="P46:Q47">_xlfn.CHOOSECOLS(Fertiliser_Equations_InorganicN2O.VEERG_5_1_1_2__1_EmissionFactorIrrigatedMaize_Arguments(), 3,4)</f>
        <v>kg N/ha</v>
      </c>
      <c r="Q46" s="109" t="str">
        <v>Input</v>
      </c>
      <c r="R46" s="106" t="e">
        <f>$N$35</f>
        <v>#DIV/0!</v>
      </c>
      <c r="S46" s="164"/>
    </row>
    <row r="47" spans="1:24" ht="20" customHeight="1" x14ac:dyDescent="0.25">
      <c r="A47" s="5" t="str">
        <f>HYPERLINK("#'Calcs - Manure sent off-site'!A1", "Calcs - Manure sent off-site")</f>
        <v>Calcs - Manure sent off-site</v>
      </c>
      <c r="D47" s="77" t="s">
        <v>121</v>
      </c>
      <c r="E47" s="9" t="str" cm="1">
        <f t="array" ref="E47">Fertiliser_Equations_InorganicN2O.VEERG_5_1_1_1__1_InorganicFertiliserApplicationN2OEmissions_Unit()</f>
        <v>t N2O</v>
      </c>
      <c r="F47" s="16"/>
      <c r="M47" s="116" t="str">
        <v>f</v>
      </c>
      <c r="N47" s="117" t="str">
        <v>Inorganic fertiliser type</v>
      </c>
      <c r="O47" s="163"/>
      <c r="P47" s="116" t="str">
        <v/>
      </c>
      <c r="Q47" s="110" t="str">
        <v>Constant</v>
      </c>
      <c r="R47" s="117" t="s">
        <v>653</v>
      </c>
      <c r="S47" s="164"/>
    </row>
    <row r="48" spans="1:24" ht="20" customHeight="1" x14ac:dyDescent="0.25">
      <c r="F48" s="16"/>
    </row>
    <row r="49" spans="1:19" ht="20" customHeight="1" x14ac:dyDescent="0.25">
      <c r="D49" s="116" t="str" cm="1">
        <f t="array" ref="D49:E55">_xlfn.CHOOSECOLS(Fertiliser_Equations_InorganicN2O.VEERG_5_1_1_1__1_InorganicFertiliserApplicationN2OEmissions_Arguments(), 1, 2)</f>
        <v>MN_jf</v>
      </c>
      <c r="E49" s="117" t="str">
        <v>mass of nitrogen in inorganic fertiliser type f applied to production system j</v>
      </c>
      <c r="F49" s="163"/>
      <c r="G49" s="116" t="str" cm="1">
        <f t="array" ref="G49:H55">_xlfn.CHOOSECOLS(Fertiliser_Equations_InorganicN2O.VEERG_5_1_1_1__1_InorganicFertiliserApplicationN2OEmissions_Arguments(), 3,4)</f>
        <v>kg N</v>
      </c>
      <c r="H49" s="110" t="str">
        <v>Calculated from 5.1.1.1 (2)</v>
      </c>
      <c r="I49" s="111" t="str" cm="1">
        <f t="array" aca="1" ref="I49" ca="1">HYPERLINK(Common_InputFunctions.Utility_SourceHyperlink(D16), D16)</f>
        <v>Table_MN_j_f</v>
      </c>
      <c r="M49" s="1" t="s">
        <v>654</v>
      </c>
      <c r="N49" s="1" t="e" cm="1">
        <f t="array" ref="N49">Fertiliser_Equations_InorganicN2O.VEERG_5_1_1_2__1_EmissionFactorIrrigatedMaize(R46)</f>
        <v>#DIV/0!</v>
      </c>
      <c r="O49" s="9" t="str">
        <f>N44</f>
        <v>kg N2O-N/kg N applied</v>
      </c>
    </row>
    <row r="50" spans="1:19" ht="20" customHeight="1" x14ac:dyDescent="0.25">
      <c r="A50" s="85" t="s">
        <v>1</v>
      </c>
      <c r="D50" s="116" t="str">
        <v>EF_jN2O</v>
      </c>
      <c r="E50" s="117" t="str">
        <v>emission factor for nitrous oxide for inorganic fertilisers</v>
      </c>
      <c r="F50" s="163"/>
      <c r="G50" s="116" t="str">
        <v>kg N2O-N/kg N applied</v>
      </c>
      <c r="H50" s="110" t="str">
        <v>Constant</v>
      </c>
      <c r="I50" s="116" t="e">
        <f>Common_InputFunctions.Utility_LookupN2OEFFromProdIrrigationRainfall(I52,I54,I55,Table_SourceData_Common_EFN2O[Production system only],Table_SourceData_Common_EFN2O[Irrigation method],Table_SourceData_Common_EFN2O[Rainfall zone],Table_SourceData_Common_EFN2O[EFN2O])</f>
        <v>#N/A</v>
      </c>
    </row>
    <row r="51" spans="1:19" ht="20" customHeight="1" x14ac:dyDescent="0.25">
      <c r="A51" s="5" t="str">
        <f>HYPERLINK("#'Constants - Pasture Beef'!A1", "Constants - Pasture Beef")</f>
        <v>Constants - Pasture Beef</v>
      </c>
      <c r="D51" s="116" t="str">
        <v>C_N2O</v>
      </c>
      <c r="E51" s="117" t="str">
        <v>factor to convert elemental mass of nitrous oxide to molecular mass</v>
      </c>
      <c r="F51" s="163"/>
      <c r="G51" s="116" t="str">
        <v/>
      </c>
      <c r="H51" s="110" t="str">
        <v>Constant</v>
      </c>
      <c r="I51" s="116">
        <f>Common_InputFunctions.Utility_LookupValueInTableNumber("N2O",Table_GasToMolecularConversionFactor[Gas],Table_GasToMolecularConversionFactor[Conversion factor combined])</f>
        <v>1.5714285714285714</v>
      </c>
    </row>
    <row r="52" spans="1:19" ht="20" customHeight="1" x14ac:dyDescent="0.25">
      <c r="A52" s="5" t="str">
        <f>HYPERLINK("#'Constants - Ag Residue'!A1", "Constants - Ag residue")</f>
        <v>Constants - Ag residue</v>
      </c>
      <c r="D52" s="116" t="str">
        <v>j</v>
      </c>
      <c r="E52" s="117" t="str">
        <v>Production system</v>
      </c>
      <c r="F52" s="163"/>
      <c r="G52" s="116" t="str">
        <v/>
      </c>
      <c r="H52" s="109" t="str">
        <v>Input</v>
      </c>
      <c r="I52" s="116">
        <f>X_Cell_Fertiliser_ProductionSystem</f>
        <v>0</v>
      </c>
    </row>
    <row r="53" spans="1:19" ht="20" customHeight="1" x14ac:dyDescent="0.25">
      <c r="A53" s="5" t="str">
        <f>HYPERLINK("#'Constants - Common Livestock'!A1", "Constants - Common Livestock")</f>
        <v>Constants - Common Livestock</v>
      </c>
      <c r="D53" s="116" t="str">
        <v>f</v>
      </c>
      <c r="E53" s="117" t="str">
        <v>Inorganic fertiliser type</v>
      </c>
      <c r="F53" s="163"/>
      <c r="G53" s="116" t="str">
        <v/>
      </c>
      <c r="H53" s="110" t="str">
        <v>Constant</v>
      </c>
      <c r="I53" s="116"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1:19" ht="20" customHeight="1" x14ac:dyDescent="0.25">
      <c r="A54" s="5" t="str">
        <f>HYPERLINK("#'Constants - Electricity'!A1", "Constants - Electricity")</f>
        <v>Constants - Electricity</v>
      </c>
      <c r="D54" s="116" t="str">
        <v>ir</v>
      </c>
      <c r="E54" s="117" t="str">
        <v>irrigation method</v>
      </c>
      <c r="F54" s="163"/>
      <c r="G54" s="116" t="str">
        <v/>
      </c>
      <c r="H54" s="109" t="str">
        <v>Input</v>
      </c>
      <c r="I54" s="116">
        <f>X_Cell_Fertiliser_IrrigationMethod</f>
        <v>0</v>
      </c>
      <c r="M54" s="17" t="str" cm="1">
        <f t="array" ref="M54">Fertiliser_Equations_InorganicN2O.VEERG_5_1_1_2__2_EmissionFactorNonIrrigatedGrainsHighRainfall_Source()</f>
        <v>VEERG 2026: 5.1.1.2, Equation (2)</v>
      </c>
    </row>
    <row r="55" spans="1:19" ht="20" customHeight="1" x14ac:dyDescent="0.25">
      <c r="A55" s="5" t="str">
        <f>HYPERLINK("#'Constants - Fertiliser'!A1", "Constants - Fertiliser")</f>
        <v>Constants - Fertiliser</v>
      </c>
      <c r="D55" s="116" t="str">
        <v>z</v>
      </c>
      <c r="E55" s="117" t="str">
        <v>rainfall zone</v>
      </c>
      <c r="F55" s="163"/>
      <c r="G55" s="116" t="str">
        <v/>
      </c>
      <c r="H55" s="109" t="str">
        <v>Input</v>
      </c>
      <c r="I55" s="116" t="str">
        <f>X_Cell_Site_RainfallZone</f>
        <v>Low rainfall</v>
      </c>
    </row>
    <row r="56" spans="1:19" ht="20" customHeight="1" x14ac:dyDescent="0.25">
      <c r="A56" s="5" t="str">
        <f>HYPERLINK("#'Constants - Fuel'!A1", "Constants - Fuel")</f>
        <v>Constants - Fuel</v>
      </c>
      <c r="F56" s="16"/>
    </row>
    <row r="57" spans="1:19" ht="20" customHeight="1" x14ac:dyDescent="0.25">
      <c r="A57" s="5" t="str">
        <f>HYPERLINK("#'Constants - Scope 3'!A1", "Constants - Scope 3")</f>
        <v>Constants - Scope 3</v>
      </c>
      <c r="D57" s="112" t="s">
        <v>655</v>
      </c>
      <c r="F57" s="16"/>
      <c r="M57" s="77" t="s">
        <v>374</v>
      </c>
      <c r="N57" s="1" t="str" cm="1">
        <f t="array" ref="N57">Fertiliser_Equations_InorganicN2O.VEERG_5_1_1_2__2_EmissionFactorNonIrrigatedGrainsHighRainfall_Variable()</f>
        <v>EF_fjNonIrrigatedGrainsN2O</v>
      </c>
    </row>
    <row r="58" spans="1:19" ht="20" customHeight="1" x14ac:dyDescent="0.25">
      <c r="A58" s="5" t="str">
        <f>HYPERLINK("#'Constants - Solid Waste'!A1", "Constants - Solid Waste")</f>
        <v>Constants - Solid Waste</v>
      </c>
      <c r="D58" s="113" t="s">
        <v>656</v>
      </c>
      <c r="F58" s="16"/>
      <c r="M58" s="77" t="s">
        <v>121</v>
      </c>
      <c r="N58" s="9" t="str" cm="1">
        <f t="array" ref="N58">Fertiliser_Equations_InorganicN2O.VEERG_5_1_1_2__2_EmissionFactorNonIrrigatedGrainsHighRainfall_Unit()</f>
        <v>kg N2O-N/kg N applied</v>
      </c>
    </row>
    <row r="59" spans="1:19" ht="20" customHeight="1" x14ac:dyDescent="0.25">
      <c r="A59" s="5" t="str">
        <f>HYPERLINK("#'Constants - Common'!A1", "Constants - Common")</f>
        <v>Constants - Common</v>
      </c>
      <c r="D59" s="114" t="s">
        <v>645</v>
      </c>
      <c r="E59" s="114" t="s">
        <v>657</v>
      </c>
    </row>
    <row r="60" spans="1:19" ht="20" customHeight="1" x14ac:dyDescent="0.25">
      <c r="A60" s="5" t="str">
        <f>HYPERLINK("#'Acknowledgements'!A1", "Acknowledgements")</f>
        <v>Acknowledgements</v>
      </c>
      <c r="D60" s="15" t="str" cm="1">
        <f t="array" ref="D60:D78">Table_Fertiliser_ChemicalCompounds[Fertiliser type f]</f>
        <v>Monoammonium phosphate (MAP)</v>
      </c>
      <c r="E60" s="15" t="e" cm="1">
        <f t="array" ref="E60">Fertiliser_Equations_InorganicN2O.VEERG_5_1_1_1__1_InorganicFertiliserApplicationN2OEmissions(G19,$I$50,$I$51)</f>
        <v>#N/A</v>
      </c>
      <c r="F60" s="16" t="str">
        <f>E47</f>
        <v>t N2O</v>
      </c>
      <c r="M60" s="116" t="str" cm="1">
        <f t="array" ref="M60:N61">_xlfn.CHOOSECOLS(Fertiliser_Equations_InorganicN2O.VEERG_5_1_1_2__2_EmissionFactorNonIrrigatedGrainsHighRainfall_Arguments(), 1, 2)</f>
        <v>N_fjNonIrrigatedGrains</v>
      </c>
      <c r="N60" s="117" t="str">
        <v>application rate of inorganic fertiliser type f in the grains crop</v>
      </c>
      <c r="O60" s="163"/>
      <c r="P60" s="116" t="str" cm="1">
        <f t="array" ref="P60:Q61">_xlfn.CHOOSECOLS(Fertiliser_Equations_InorganicN2O.VEERG_5_1_1_2__2_EmissionFactorNonIrrigatedGrainsHighRainfall_Arguments(), 3,4)</f>
        <v>kg N/ha</v>
      </c>
      <c r="Q60" s="109" t="str">
        <v>Input</v>
      </c>
      <c r="R60" s="106" t="e">
        <f>$N$35</f>
        <v>#DIV/0!</v>
      </c>
      <c r="S60" s="164"/>
    </row>
    <row r="61" spans="1:19" ht="20" customHeight="1" x14ac:dyDescent="0.25">
      <c r="D61" s="15" t="str">
        <v>Diammonium phosphate (DAP)</v>
      </c>
      <c r="E61" s="15" t="e" cm="1">
        <f t="array" ref="E61">Fertiliser_Equations_InorganicN2O.VEERG_5_1_1_1__1_InorganicFertiliserApplicationN2OEmissions(G20,$I$50,$I$51)</f>
        <v>#N/A</v>
      </c>
      <c r="M61" s="116" t="str">
        <v>f</v>
      </c>
      <c r="N61" s="117" t="str">
        <v>Inorganic fertiliser type</v>
      </c>
      <c r="O61" s="163"/>
      <c r="P61" s="116" t="str">
        <v/>
      </c>
      <c r="Q61" s="110" t="str">
        <v>Constant</v>
      </c>
      <c r="R61" s="117" t="s">
        <v>653</v>
      </c>
      <c r="S61" s="162"/>
    </row>
    <row r="62" spans="1:19" ht="20" customHeight="1" x14ac:dyDescent="0.25">
      <c r="D62" s="15" t="str">
        <v>Urea</v>
      </c>
      <c r="E62" s="15" t="e" cm="1">
        <f t="array" ref="E62">Fertiliser_Equations_InorganicN2O.VEERG_5_1_1_1__1_InorganicFertiliserApplicationN2OEmissions(G21,$I$50,$I$51)</f>
        <v>#N/A</v>
      </c>
    </row>
    <row r="63" spans="1:19" ht="20" customHeight="1" x14ac:dyDescent="0.25">
      <c r="D63" s="15" t="str">
        <v>Sulphate of ammonia (SOA)</v>
      </c>
      <c r="E63" s="15" t="e" cm="1">
        <f t="array" ref="E63">Fertiliser_Equations_InorganicN2O.VEERG_5_1_1_1__1_InorganicFertiliserApplicationN2OEmissions(G22,$I$50,$I$51)</f>
        <v>#N/A</v>
      </c>
      <c r="M63" s="77" t="s">
        <v>658</v>
      </c>
      <c r="N63" s="1" t="e" cm="1">
        <f t="array" ref="N63">Fertiliser_Equations_InorganicN2O.VEERG_5_1_1_2__2_EmissionFactorNonIrrigatedGrainsHighRainfall(R60)</f>
        <v>#DIV/0!</v>
      </c>
      <c r="O63" s="9" t="str">
        <f>N58</f>
        <v>kg N2O-N/kg N applied</v>
      </c>
    </row>
    <row r="64" spans="1:19" ht="20" customHeight="1" x14ac:dyDescent="0.25">
      <c r="D64" s="15" t="str">
        <v>Urea-ammonium nitrate (UAN)</v>
      </c>
      <c r="E64" s="15" t="e" cm="1">
        <f t="array" ref="E64">Fertiliser_Equations_InorganicN2O.VEERG_5_1_1_1__1_InorganicFertiliserApplicationN2OEmissions(G23,$I$50,$I$51)</f>
        <v>#N/A</v>
      </c>
    </row>
    <row r="65" spans="4:20" ht="20" customHeight="1" x14ac:dyDescent="0.25">
      <c r="D65" s="15" t="str">
        <v>Ammonium nitrate (AN)</v>
      </c>
      <c r="E65" s="15" t="e" cm="1">
        <f t="array" ref="E65">Fertiliser_Equations_InorganicN2O.VEERG_5_1_1_1__1_InorganicFertiliserApplicationN2OEmissions(G24,$I$50,$I$51)</f>
        <v>#N/A</v>
      </c>
    </row>
    <row r="66" spans="4:20" ht="20" customHeight="1" x14ac:dyDescent="0.25">
      <c r="D66" s="15" t="str">
        <v>Calcium ammonium nitrate (CAN)</v>
      </c>
      <c r="E66" s="15" t="e" cm="1">
        <f t="array" ref="E66">Fertiliser_Equations_InorganicN2O.VEERG_5_1_1_1__1_InorganicFertiliserApplicationN2OEmissions(G25,$I$50,$I$51)</f>
        <v>#N/A</v>
      </c>
      <c r="M66" s="2" t="str" cm="1">
        <f t="array" ref="M66">Fertiliser_Equations_InorganicN2O.VEERG_5_1_1_2__3_EmissionFactorCotton_Title()</f>
        <v>Emission factor for nitrous oxide for cotton</v>
      </c>
    </row>
    <row r="67" spans="4:20" ht="20" customHeight="1" x14ac:dyDescent="0.25">
      <c r="D67" s="15" t="str">
        <v>Nitrogen - Ammoniacal</v>
      </c>
      <c r="E67" s="15" t="e" cm="1">
        <f t="array" ref="E67">Fertiliser_Equations_InorganicN2O.VEERG_5_1_1_1__1_InorganicFertiliserApplicationN2OEmissions(G26,$I$50,$I$51)</f>
        <v>#N/A</v>
      </c>
      <c r="M67" s="17" t="str" cm="1">
        <f t="array" ref="M67">Fertiliser_Equations_InorganicN2O.VEERG_5_1_1_2__3_EmissionFactorCotton_Source()</f>
        <v>VEERG 2026: 5.1.1.2, Equation (3)</v>
      </c>
    </row>
    <row r="68" spans="4:20" ht="20" customHeight="1" x14ac:dyDescent="0.25">
      <c r="D68" s="15" t="str">
        <v>Nitrogen - Nitrate</v>
      </c>
      <c r="E68" s="15" t="e" cm="1">
        <f t="array" ref="E68">Fertiliser_Equations_InorganicN2O.VEERG_5_1_1_1__1_InorganicFertiliserApplicationN2OEmissions(G27,$I$50,$I$51)</f>
        <v>#N/A</v>
      </c>
    </row>
    <row r="69" spans="4:20" ht="20" customHeight="1" x14ac:dyDescent="0.25">
      <c r="D69" s="15" t="str">
        <v>Nitrogen - Generic</v>
      </c>
      <c r="E69" s="15" t="e" cm="1">
        <f t="array" ref="E69">Fertiliser_Equations_InorganicN2O.VEERG_5_1_1_1__1_InorganicFertiliserApplicationN2OEmissions(G28,$I$50,$I$51)</f>
        <v>#N/A</v>
      </c>
    </row>
    <row r="70" spans="4:20" ht="20" customHeight="1" x14ac:dyDescent="0.25">
      <c r="D70" s="15" t="str">
        <v>Phosphorus - Generic</v>
      </c>
      <c r="E70" s="15" t="e" cm="1">
        <f t="array" ref="E70">Fertiliser_Equations_InorganicN2O.VEERG_5_1_1_1__1_InorganicFertiliserApplicationN2OEmissions(G29,$I$50,$I$51)</f>
        <v>#N/A</v>
      </c>
    </row>
    <row r="71" spans="4:20" ht="20" customHeight="1" x14ac:dyDescent="0.25">
      <c r="D71" s="15" t="str">
        <v>Potassium - Generic</v>
      </c>
      <c r="E71" s="15" t="e" cm="1">
        <f t="array" ref="E71">Fertiliser_Equations_InorganicN2O.VEERG_5_1_1_1__1_InorganicFertiliserApplicationN2OEmissions(G30,$I$50,$I$51)</f>
        <v>#N/A</v>
      </c>
      <c r="M71" s="77" t="s">
        <v>374</v>
      </c>
      <c r="N71" s="1" t="str" cm="1">
        <f t="array" ref="N71">Fertiliser_Equations_InorganicN2O.VEERG_5_1_1_2__3_EmissionFactorCotton_Variable()</f>
        <v>EF_fjCottonN2O</v>
      </c>
    </row>
    <row r="72" spans="4:20" ht="20" customHeight="1" x14ac:dyDescent="0.25">
      <c r="D72" s="15" t="str">
        <v>Sulfur - Generic</v>
      </c>
      <c r="E72" s="15" t="e" cm="1">
        <f t="array" ref="E72">Fertiliser_Equations_InorganicN2O.VEERG_5_1_1_1__1_InorganicFertiliserApplicationN2OEmissions(G31,$I$50,$I$51)</f>
        <v>#N/A</v>
      </c>
      <c r="M72" s="77" t="s">
        <v>121</v>
      </c>
      <c r="N72" s="9" t="str" cm="1">
        <f t="array" ref="N72">Fertiliser_Equations_InorganicN2O.VEERG_5_1_1_2__3_EmissionFactorCotton_Unit()</f>
        <v>kg N2O-N/kg N applied</v>
      </c>
    </row>
    <row r="73" spans="4:20" ht="20" customHeight="1" x14ac:dyDescent="0.25">
      <c r="D73" s="15" t="str">
        <v>Zinc - Generic</v>
      </c>
      <c r="E73" s="15" t="e" cm="1">
        <f t="array" ref="E73">Fertiliser_Equations_InorganicN2O.VEERG_5_1_1_1__1_InorganicFertiliserApplicationN2OEmissions(G32,$I$50,$I$51)</f>
        <v>#N/A</v>
      </c>
    </row>
    <row r="74" spans="4:20" ht="20" customHeight="1" x14ac:dyDescent="0.25">
      <c r="D74" s="15" t="str">
        <v>Muriate of potash (MOP)</v>
      </c>
      <c r="E74" s="15" t="e" cm="1">
        <f t="array" ref="E74">Fertiliser_Equations_InorganicN2O.VEERG_5_1_1_1__1_InorganicFertiliserApplicationN2OEmissions(G33,$I$50,$I$51)</f>
        <v>#N/A</v>
      </c>
      <c r="M74" s="70" t="s">
        <v>659</v>
      </c>
      <c r="N74" s="70"/>
      <c r="O74" s="70"/>
      <c r="P74" s="70"/>
      <c r="Q74" s="70"/>
      <c r="R74" s="70"/>
      <c r="S74" s="70"/>
      <c r="T74" s="70"/>
    </row>
    <row r="75" spans="4:20" ht="20" customHeight="1" x14ac:dyDescent="0.25">
      <c r="D75" s="15" t="str">
        <v>Double superphosphate</v>
      </c>
      <c r="E75" s="15" t="e" cm="1">
        <f t="array" ref="E75">Fertiliser_Equations_InorganicN2O.VEERG_5_1_1_1__1_InorganicFertiliserApplicationN2OEmissions(G34,$I$50,$I$51)</f>
        <v>#N/A</v>
      </c>
    </row>
    <row r="76" spans="4:20" ht="20" customHeight="1" x14ac:dyDescent="0.25">
      <c r="D76" s="15" t="str">
        <v>Single superphosphate (SSP)</v>
      </c>
      <c r="E76" s="15" t="e" cm="1">
        <f t="array" ref="E76">Fertiliser_Equations_InorganicN2O.VEERG_5_1_1_1__1_InorganicFertiliserApplicationN2OEmissions(G35,$I$50,$I$51)</f>
        <v>#N/A</v>
      </c>
      <c r="M76" s="116" t="str" cm="1">
        <f t="array" ref="M76:N77">_xlfn.CHOOSECOLS(Fertiliser_Equations_InorganicN2O.VEERG_5_1_1_2__3_EmissionFactorCotton_Arguments(), 1, 2)</f>
        <v>N_fjCotton</v>
      </c>
      <c r="N76" s="117" t="str">
        <v>application rate of inorganic fertiliser type f in the cotton crop</v>
      </c>
      <c r="O76" s="163"/>
      <c r="P76" s="117" t="str" cm="1">
        <f t="array" ref="P76:Q77">_xlfn.CHOOSECOLS(Fertiliser_Equations_InorganicN2O.VEERG_5_1_1_2__3_EmissionFactorCotton_Arguments(), 3,4)</f>
        <v>kg N/ha</v>
      </c>
      <c r="Q76" s="109" t="str">
        <v>Input</v>
      </c>
      <c r="R76" s="106" t="e">
        <f>MIN(300, $N$35)</f>
        <v>#DIV/0!</v>
      </c>
      <c r="S76" s="164"/>
    </row>
    <row r="77" spans="4:20" ht="20" customHeight="1" x14ac:dyDescent="0.25">
      <c r="D77" s="15" t="str">
        <v>Ammonia</v>
      </c>
      <c r="E77" s="15" t="e" cm="1">
        <f t="array" ref="E77">Fertiliser_Equations_InorganicN2O.VEERG_5_1_1_1__1_InorganicFertiliserApplicationN2OEmissions(G36,$I$50,$I$51)</f>
        <v>#N/A</v>
      </c>
      <c r="M77" s="116" t="str">
        <v>f</v>
      </c>
      <c r="N77" s="117" t="str">
        <v>Inorganic fertiliser type</v>
      </c>
      <c r="O77" s="163"/>
      <c r="P77" s="117" t="str">
        <v/>
      </c>
      <c r="Q77" s="110" t="str">
        <v>Constant</v>
      </c>
      <c r="R77" s="117" t="s">
        <v>653</v>
      </c>
      <c r="S77" s="162"/>
    </row>
    <row r="78" spans="4:20" ht="20" customHeight="1" x14ac:dyDescent="0.25">
      <c r="D78" s="15" t="str">
        <v>Calcium nitrate</v>
      </c>
      <c r="E78" s="15" t="e" cm="1">
        <f t="array" ref="E78">Fertiliser_Equations_InorganicN2O.VEERG_5_1_1_1__1_InorganicFertiliserApplicationN2OEmissions(G37,$I$50,$I$51)</f>
        <v>#N/A</v>
      </c>
    </row>
    <row r="79" spans="4:20" ht="20" customHeight="1" x14ac:dyDescent="0.25">
      <c r="M79" s="77" t="s">
        <v>658</v>
      </c>
      <c r="N79" s="1" t="e" cm="1">
        <f t="array" ref="N79">Fertiliser_Equations_InorganicN2O.VEERG_5_1_1_2__3_EmissionFactorCotton(R76)</f>
        <v>#DIV/0!</v>
      </c>
      <c r="O79" s="9" t="str">
        <f>N72</f>
        <v>kg N2O-N/kg N applied</v>
      </c>
    </row>
    <row r="80" spans="4:20" ht="20" customHeight="1" x14ac:dyDescent="0.25">
      <c r="D80" s="90" t="s">
        <v>660</v>
      </c>
      <c r="E80" s="91" t="e">
        <f>SUM(E60:E78)</f>
        <v>#N/A</v>
      </c>
      <c r="F80" s="95" t="str">
        <f>$E$47</f>
        <v>t N2O</v>
      </c>
    </row>
    <row r="81" spans="4:24" ht="20" customHeight="1" x14ac:dyDescent="0.25"/>
    <row r="82" spans="4:24" ht="20" customHeight="1" x14ac:dyDescent="0.25">
      <c r="D82" s="116" t="str" cm="1">
        <f t="array" ref="D82:E83">Common_Equations.Common_ConvertN2OToCO2e_Arguments()</f>
        <v>EN2O</v>
      </c>
      <c r="E82" s="117" t="str">
        <v>Nitrous oxide emissions (t N2O)</v>
      </c>
      <c r="F82" s="118"/>
      <c r="G82" s="15" t="e">
        <f>VEERG_5_1_1_1__1_InorganicFertiliserApplicationN2OEmissions_Result_Method1</f>
        <v>#N/A</v>
      </c>
      <c r="L82" s="87"/>
      <c r="M82" s="87"/>
      <c r="N82" s="87"/>
      <c r="O82" s="87"/>
      <c r="P82" s="87"/>
      <c r="Q82" s="87"/>
      <c r="R82" s="87"/>
      <c r="S82" s="87"/>
      <c r="T82" s="87"/>
      <c r="U82" s="87"/>
      <c r="V82" s="87"/>
      <c r="W82" s="87"/>
      <c r="X82" s="87"/>
    </row>
    <row r="83" spans="4:24" ht="20" customHeight="1" x14ac:dyDescent="0.25">
      <c r="D83" s="116" t="str">
        <v>GWPN2O</v>
      </c>
      <c r="E83" s="117" t="str">
        <v>Global warming potential for nitrous oxide (t CO2-e / t N2O)</v>
      </c>
      <c r="F83" s="118"/>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4:24" ht="20" customHeight="1" x14ac:dyDescent="0.25">
      <c r="M84" s="17" t="str" cm="1">
        <f t="array" ref="M84">Fertiliser_Equations_InorganicN2O.VEERG_5_1_1_1__1_InorganicFertiliserApplicationN2OEmissions_Source()</f>
        <v>VEERG 2026: 5.1.1.1, Equation (1)</v>
      </c>
    </row>
    <row r="85" spans="4:24" ht="20" customHeight="1" x14ac:dyDescent="0.25">
      <c r="D85" s="87" t="s">
        <v>436</v>
      </c>
      <c r="E85" s="87" t="e" cm="1">
        <f t="array" ref="E85">Common_Equations.Common_ConvertN2OToCO2e(G82,G83)</f>
        <v>#N/A</v>
      </c>
      <c r="F85" s="94" t="str" cm="1">
        <f t="array" ref="F85">Common_Equations.Common_ConvertN2OToCO2e_Unit()</f>
        <v>t CO2e</v>
      </c>
      <c r="M85" s="103" t="s">
        <v>372</v>
      </c>
      <c r="N85" s="103" t="str" cm="1">
        <f t="array" aca="1" ref="N85" ca="1">Common_InputFunctions.Utility_DisplayFunctionName($E$60)</f>
        <v>=Fertiliser_Equations_InorganicN2O.VEERG_5_1_1_1__1_InorganicFertiliserApplicationN2OEmissions</v>
      </c>
    </row>
    <row r="86" spans="4:24" ht="20" customHeight="1" x14ac:dyDescent="0.25"/>
    <row r="87" spans="4:24" ht="20" customHeight="1" x14ac:dyDescent="0.25"/>
    <row r="88" spans="4:24" ht="20" customHeight="1" x14ac:dyDescent="0.25"/>
    <row r="89" spans="4:24" ht="20" customHeight="1" x14ac:dyDescent="0.25">
      <c r="M89" s="77" t="s">
        <v>374</v>
      </c>
      <c r="N89" s="1" t="str" cm="1">
        <f t="array" ref="N89">Fertiliser_Equations_InorganicN2O.VEERG_5_1_1_1__1_InorganicFertiliserApplicationN2OEmissions_Variable()</f>
        <v>E_N2O</v>
      </c>
    </row>
    <row r="90" spans="4:24" ht="20" customHeight="1" x14ac:dyDescent="0.25">
      <c r="M90" s="77" t="s">
        <v>121</v>
      </c>
      <c r="N90" s="9" t="str" cm="1">
        <f t="array" ref="N90">Fertiliser_Equations_InorganicN2O.VEERG_5_1_1_1__1_InorganicFertiliserApplicationN2OEmissions_Unit()</f>
        <v>t N2O</v>
      </c>
    </row>
    <row r="91" spans="4:24" ht="20" customHeight="1" x14ac:dyDescent="0.25"/>
    <row r="92" spans="4:24" ht="20" customHeight="1" x14ac:dyDescent="0.25">
      <c r="M92" s="116" t="str" cm="1">
        <f t="array" ref="M92:N99">_xlfn.CHOOSECOLS(Fertiliser_Equations_InorganicN2O.VEERG_5_1_1_1__1_InorganicFertiliserApplicationN2OEmissions_Arguments_Method2(), 1, 2)</f>
        <v>MN_jf</v>
      </c>
      <c r="N92" s="117" t="str">
        <v>mass of nitrogen in inorganic fertiliser type f applied to production system j</v>
      </c>
      <c r="O92" s="163"/>
      <c r="P92" s="162"/>
      <c r="Q92" s="116" t="str" cm="1">
        <f t="array" ref="Q92:R99">_xlfn.CHOOSECOLS(Fertiliser_Equations_InorganicN2O.VEERG_5_1_1_1__1_InorganicFertiliserApplicationN2OEmissions_Arguments_Method2(), 3,4)</f>
        <v>kg N</v>
      </c>
      <c r="R92" s="110" t="str">
        <v>Calculated from 5.1.1.1 (2)</v>
      </c>
      <c r="S92" s="105">
        <f>N33</f>
        <v>0</v>
      </c>
    </row>
    <row r="93" spans="4:24" ht="20" customHeight="1" x14ac:dyDescent="0.25">
      <c r="M93" s="116" t="str">
        <v>EF_jN2O</v>
      </c>
      <c r="N93" s="117" t="str">
        <v>emission factor for nitrous oxide for inorganic fertilisers</v>
      </c>
      <c r="O93" s="163"/>
      <c r="P93" s="162"/>
      <c r="Q93" s="116" t="str">
        <v>kg N2O-N/kg N applied</v>
      </c>
      <c r="R93" s="110" t="str">
        <v>Calculated from 5.1.1.2 (1)(2)(3)</v>
      </c>
      <c r="S93" s="105" t="e">
        <f>_xlfn.XLOOKUP(TRUE,N105:N108,O105:O108)</f>
        <v>#N/A</v>
      </c>
    </row>
    <row r="94" spans="4:24" ht="20" customHeight="1" x14ac:dyDescent="0.25">
      <c r="M94" s="116" t="str">
        <v>C_N2O</v>
      </c>
      <c r="N94" s="117" t="str">
        <v>factor to convert elemental mass of nitrous oxide to molecular mass</v>
      </c>
      <c r="O94" s="163"/>
      <c r="P94" s="162"/>
      <c r="Q94" s="116" t="str">
        <v/>
      </c>
      <c r="R94" s="110" t="str">
        <v>Constant</v>
      </c>
      <c r="S94" s="116">
        <f>Common_InputFunctions.Utility_LookupValueInTableNumber("N2O",Table_GasToMolecularConversionFactor[Gas],Table_GasToMolecularConversionFactor[Conversion factor combined])</f>
        <v>1.5714285714285714</v>
      </c>
    </row>
    <row r="95" spans="4:24" ht="20" customHeight="1" x14ac:dyDescent="0.25">
      <c r="M95" s="116" t="str">
        <v>j</v>
      </c>
      <c r="N95" s="117" t="str">
        <v>Production system</v>
      </c>
      <c r="O95" s="163"/>
      <c r="P95" s="162"/>
      <c r="Q95" s="116" t="str">
        <v/>
      </c>
      <c r="R95" s="109" t="str">
        <v>Input</v>
      </c>
      <c r="S95" s="116">
        <f>X_Cell_Fertiliser_ProductionSystem</f>
        <v>0</v>
      </c>
    </row>
    <row r="96" spans="4:24" ht="20" customHeight="1" x14ac:dyDescent="0.25">
      <c r="M96" s="116" t="str">
        <v>c</v>
      </c>
      <c r="N96" s="117" t="str">
        <v>Crop type</v>
      </c>
      <c r="O96" s="163"/>
      <c r="P96" s="162"/>
      <c r="Q96" s="116" t="str">
        <v/>
      </c>
      <c r="R96" s="109" t="str">
        <v>Input</v>
      </c>
      <c r="S96" s="116">
        <f>X_Cell_Fertiliser_CropType</f>
        <v>0</v>
      </c>
    </row>
    <row r="97" spans="13:19" ht="20" customHeight="1" x14ac:dyDescent="0.25">
      <c r="M97" s="116" t="str">
        <v>f</v>
      </c>
      <c r="N97" s="117" t="str">
        <v>Inorganic fertiliser type</v>
      </c>
      <c r="O97" s="163"/>
      <c r="P97" s="162"/>
      <c r="Q97" s="116" t="str">
        <v/>
      </c>
      <c r="R97" s="110" t="str">
        <v>Constant</v>
      </c>
      <c r="S97" s="116" t="s">
        <v>661</v>
      </c>
    </row>
    <row r="98" spans="13:19" ht="20" customHeight="1" x14ac:dyDescent="0.25">
      <c r="M98" s="116" t="str">
        <v>ir</v>
      </c>
      <c r="N98" s="117" t="str">
        <v>irrigation method</v>
      </c>
      <c r="O98" s="163"/>
      <c r="P98" s="162"/>
      <c r="Q98" s="116" t="str">
        <v/>
      </c>
      <c r="R98" s="109" t="str">
        <v>Input</v>
      </c>
      <c r="S98" s="116">
        <f>X_Cell_Fertiliser_IrrigationMethod</f>
        <v>0</v>
      </c>
    </row>
    <row r="99" spans="13:19" ht="20" customHeight="1" x14ac:dyDescent="0.25">
      <c r="M99" s="117" t="str">
        <v>z</v>
      </c>
      <c r="N99" s="117" t="str">
        <v>rainfall zone</v>
      </c>
      <c r="O99" s="163"/>
      <c r="P99" s="163"/>
      <c r="Q99" s="116" t="str">
        <v/>
      </c>
      <c r="R99" s="109" t="str">
        <v>Input</v>
      </c>
      <c r="S99" s="116" t="str">
        <f>X_Cell_Site_RainfallZone</f>
        <v>Low rainfall</v>
      </c>
    </row>
    <row r="100" spans="13:19" ht="20" customHeight="1" x14ac:dyDescent="0.25"/>
    <row r="101" spans="13:19" ht="20" customHeight="1" x14ac:dyDescent="0.25"/>
    <row r="102" spans="13:19" ht="20" customHeight="1" x14ac:dyDescent="0.25">
      <c r="M102" s="112" t="s">
        <v>662</v>
      </c>
    </row>
    <row r="103" spans="13:19" ht="20" customHeight="1" x14ac:dyDescent="0.25">
      <c r="M103" s="113" t="s">
        <v>663</v>
      </c>
    </row>
    <row r="104" spans="13:19" ht="20" customHeight="1" x14ac:dyDescent="0.25">
      <c r="M104" s="114" t="s">
        <v>171</v>
      </c>
      <c r="N104" s="114" t="s">
        <v>664</v>
      </c>
      <c r="O104" s="114" t="s">
        <v>665</v>
      </c>
    </row>
    <row r="105" spans="13:19" ht="20" customHeight="1" x14ac:dyDescent="0.25">
      <c r="M105" s="15" t="s">
        <v>666</v>
      </c>
      <c r="N105" s="15" t="b">
        <f>IF(AND(S96="Maize", NOT(S98="Not irrigated")), TRUE)</f>
        <v>0</v>
      </c>
      <c r="O105" s="15" t="e">
        <f>N49</f>
        <v>#DIV/0!</v>
      </c>
    </row>
    <row r="106" spans="13:19" ht="20" customHeight="1" x14ac:dyDescent="0.25">
      <c r="M106" s="15" t="s">
        <v>667</v>
      </c>
      <c r="N106" s="15" t="b">
        <f>IF(AND(S96="Grains", S98="Not irrigated", S99="High rainfall"), TRUE)</f>
        <v>0</v>
      </c>
      <c r="O106" s="15" t="e">
        <f>N63</f>
        <v>#DIV/0!</v>
      </c>
    </row>
    <row r="107" spans="13:19" ht="20" customHeight="1" x14ac:dyDescent="0.25">
      <c r="M107" s="15" t="s">
        <v>668</v>
      </c>
      <c r="N107" s="15" t="b">
        <f>IF(S96="Cotton", TRUE)</f>
        <v>0</v>
      </c>
      <c r="O107" s="165" t="e">
        <f>N79</f>
        <v>#DIV/0!</v>
      </c>
    </row>
    <row r="108" spans="13:19" ht="20" customHeight="1" x14ac:dyDescent="0.25">
      <c r="M108" s="15" t="s">
        <v>669</v>
      </c>
      <c r="N108" s="15" t="b">
        <f>IF(AND(N105=FALSE, N107=FALSE, N106=FALSE),TRUE)</f>
        <v>1</v>
      </c>
      <c r="O108" s="15" t="e" cm="1">
        <f t="array" ref="O108">Common_InputFunctions.Utility_LookupN2OEFFromProdIrrigationRainfall($S$95,$S$98,$S$99,Table_SourceData_Common_EFN2O[Production system only],Table_SourceData_Common_EFN2O[Irrigation method],Table_SourceData_Common_EFN2O[Rainfall zone],Table_SourceData_Common_EFN2O[EFN2O])</f>
        <v>#N/A</v>
      </c>
    </row>
    <row r="109" spans="13:19" ht="20" customHeight="1" x14ac:dyDescent="0.25"/>
    <row r="110" spans="13:19" ht="20" customHeight="1" x14ac:dyDescent="0.25">
      <c r="M110" s="90" t="s">
        <v>660</v>
      </c>
      <c r="N110" s="91" t="e" cm="1">
        <f t="array" ref="N110">Fertiliser_Equations_InorganicN2O.VEERG_5_1_1_1__1_InorganicFertiliserApplicationN2OEmissions(S92,S93,$S$94)</f>
        <v>#N/A</v>
      </c>
      <c r="O110" s="95" t="str">
        <f>$E$47</f>
        <v>t N2O</v>
      </c>
    </row>
    <row r="111" spans="13:19" ht="20" customHeight="1" x14ac:dyDescent="0.25"/>
    <row r="112" spans="13:19" ht="20" customHeight="1" x14ac:dyDescent="0.25">
      <c r="M112" s="116" t="str" cm="1">
        <f t="array" ref="M112:N113">Common_Equations.Common_ConvertN2OToCO2e_Arguments()</f>
        <v>EN2O</v>
      </c>
      <c r="N112" s="117" t="str">
        <v>Nitrous oxide emissions (t N2O)</v>
      </c>
      <c r="O112" s="118"/>
      <c r="P112" s="15" t="e">
        <f>VEERG_5_1_1_1__1_InorganicFertiliserApplicationN2OEmissions_Result_Method2</f>
        <v>#N/A</v>
      </c>
    </row>
    <row r="113" spans="13:16" ht="20" customHeight="1" x14ac:dyDescent="0.25">
      <c r="M113" s="116" t="str">
        <v>GWPN2O</v>
      </c>
      <c r="N113" s="117" t="str">
        <v>Global warming potential for nitrous oxide (t CO2-e / t N2O)</v>
      </c>
      <c r="O113" s="118"/>
      <c r="P113" s="15">
        <f>Common_InputFunctions.Utility_LookupValueInTableNumber("N2O",Table_GWPData[Gas],Table_GWPData[CO2-e factor])</f>
        <v>265</v>
      </c>
    </row>
    <row r="114" spans="13:16" ht="20" customHeight="1" x14ac:dyDescent="0.25"/>
    <row r="115" spans="13:16" ht="20" customHeight="1" x14ac:dyDescent="0.25">
      <c r="M115" s="87" t="s">
        <v>436</v>
      </c>
      <c r="N115" s="87" t="e" cm="1">
        <f t="array" ref="N115">Common_Equations.Common_ConvertN2OToCO2e(P112,P113)</f>
        <v>#N/A</v>
      </c>
      <c r="O115" s="94" t="str" cm="1">
        <f t="array" ref="O115">Common_Equations.Common_ConvertN2OToCO2e_Unit()</f>
        <v>t CO2e</v>
      </c>
    </row>
    <row r="116" spans="13:16" ht="20" customHeight="1" x14ac:dyDescent="0.25"/>
    <row r="117" spans="13:16" ht="20" customHeight="1" x14ac:dyDescent="0.25"/>
    <row r="118" spans="13:16" ht="20" customHeight="1" x14ac:dyDescent="0.25"/>
    <row r="119" spans="13:16" ht="20" customHeight="1" x14ac:dyDescent="0.25"/>
    <row r="120" spans="13:16" ht="20" customHeight="1" x14ac:dyDescent="0.25"/>
    <row r="121" spans="13:16" ht="20" customHeight="1" x14ac:dyDescent="0.25"/>
    <row r="122" spans="13:16" ht="20" customHeight="1" x14ac:dyDescent="0.25"/>
    <row r="123" spans="13:16" ht="20" customHeight="1" x14ac:dyDescent="0.25"/>
    <row r="124" spans="13:16" ht="20" customHeight="1" x14ac:dyDescent="0.25"/>
    <row r="125" spans="13:16" ht="20" customHeight="1" x14ac:dyDescent="0.25"/>
    <row r="126" spans="13:16" ht="20" customHeight="1" x14ac:dyDescent="0.25"/>
    <row r="127" spans="13:16" ht="20" customHeight="1" x14ac:dyDescent="0.25"/>
    <row r="128" spans="13:16"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8"/>
    </row>
    <row r="342" spans="8:8" x14ac:dyDescent="0.25" ht="20" customHeight="1">
      <c r="H342" s="8"/>
    </row>
  </sheetData>
  <dataValidations count="1">
    <dataValidation operator="equal" allowBlank="1" showInputMessage="1" showErrorMessage="1" sqref="N172:W172 E269 E228 R167:W167 G132 I129:I133 F134:I134 F129:F132 H128:H132 G129 F148:I148 I149 F150:I150" xr:uid="{BD5553E5-C687-4402-B9C9-85B727C13EAE}"/>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F09D-DB77-48D5-845E-29B6A8903E1B}">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670</v>
      </c>
    </row>
    <row r="2" spans="1:21" s="3" customFormat="1" ht="20" customHeight="1" x14ac:dyDescent="0.25">
      <c r="A2"/>
    </row>
    <row r="3" spans="1:21" ht="20"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 customHeight="1" x14ac:dyDescent="0.25">
      <c r="A4" s="5" t="str">
        <f>HYPERLINK("#'Results - Activity period'!A1", "Results - Activity period")</f>
        <v>Results - Activity period</v>
      </c>
    </row>
    <row r="5" spans="1:21" ht="20" customHeight="1" x14ac:dyDescent="0.25">
      <c r="A5" s="5" t="str">
        <f>HYPERLINK("#'Results - Product EI'!A1", "Results - Product Emissions Intensity")</f>
        <v>Results - Product Emissions Intensity</v>
      </c>
      <c r="D5" s="2" t="str" cm="1">
        <f t="array" ref="D5">Fertiliser_Equations_InorganicCO2.VEERG_5_1_1_3__2_MassOfUreaInInorganicFertiliser_Title()</f>
        <v>Mass of urea applied to production system</v>
      </c>
    </row>
    <row r="6" spans="1:21" ht="20" customHeight="1" x14ac:dyDescent="0.25">
      <c r="D6" s="17" t="str" cm="1">
        <f t="array" ref="D6">Fertiliser_Equations_InorganicCO2.VEERG_5_1_1_3__2_MassOfUreaInInorganicFertiliser_Source()</f>
        <v>VEERG 2026: 5.1.1.3, Equation (2)</v>
      </c>
    </row>
    <row r="7" spans="1:21" ht="20" customHeight="1" x14ac:dyDescent="0.25">
      <c r="D7" s="103" t="s">
        <v>372</v>
      </c>
      <c r="E7" s="103" t="str" cm="1">
        <f t="array" aca="1" ref="E7" ca="1">Common_InputFunctions.Utility_DisplayFunctionName(G19)</f>
        <v>=Fertiliser_Equations_InorganicCO2.VEERG_5_1_1_3__2_MassOfUreaInInorganicFertiliser</v>
      </c>
    </row>
    <row r="8" spans="1:21" ht="20" customHeight="1" x14ac:dyDescent="0.25">
      <c r="A8" s="7" t="s">
        <v>0</v>
      </c>
    </row>
    <row r="9" spans="1:21" ht="20" customHeight="1" x14ac:dyDescent="0.25">
      <c r="A9" s="5" t="str">
        <f>HYPERLINK("#'Input - Enterprise'!A1", "Enterprise")</f>
        <v>Enterprise</v>
      </c>
    </row>
    <row r="10" spans="1:21" ht="20" customHeight="1" x14ac:dyDescent="0.25">
      <c r="A10" s="5" t="str">
        <f>HYPERLINK("#'Input - Site'!A1", "Site")</f>
        <v>Site</v>
      </c>
      <c r="D10" s="77" t="s">
        <v>374</v>
      </c>
      <c r="E10" s="1" t="str" cm="1">
        <f t="array" ref="E10">Fertiliser_Equations_InorganicCO2.VEERG_5_1_1_3__2_MassOfUreaInInorganicFertiliser_Variable()</f>
        <v>MU_jf</v>
      </c>
    </row>
    <row r="11" spans="1:21" ht="20" customHeight="1" x14ac:dyDescent="0.25">
      <c r="A11" s="5" t="str">
        <f>HYPERLINK("#'Input - Pasture Beef'!A1", "Pasture Beef")</f>
        <v>Pasture Beef</v>
      </c>
      <c r="D11" s="77" t="s">
        <v>121</v>
      </c>
      <c r="E11" s="9" t="str" cm="1">
        <f t="array" ref="E11">Fertiliser_Equations_InorganicCO2.VEERG_5_1_1_3__2_MassOfUreaInInorganicFertiliser_Unit()</f>
        <v>kg urea</v>
      </c>
    </row>
    <row r="12" spans="1:21" ht="20" customHeight="1" x14ac:dyDescent="0.25">
      <c r="A12" s="5" t="str">
        <f>HYPERLINK("#'Input - Livestock sales'!A1", "Livestock sales")</f>
        <v>Livestock sales</v>
      </c>
    </row>
    <row r="13" spans="1:21" ht="20" customHeight="1" x14ac:dyDescent="0.25">
      <c r="A13" s="5" t="str">
        <f>HYPERLINK("#'Input - Beef cattle purchases'!A1", "Beef cattle purchases")</f>
        <v>Beef cattle purchases</v>
      </c>
      <c r="D13" s="116" t="str" cm="1">
        <f t="array" ref="D13:E14">_xlfn.CHOOSECOLS(Fertiliser_Equations_InorganicCO2.VEERG_5_1_1_3__2_MassOfUreaInInorganicFertiliser_Arguments(), 1, 2)</f>
        <v>TM_jf</v>
      </c>
      <c r="E13" s="117" t="str">
        <v>total mass of inorganic fertiliser type f applied to production system j</v>
      </c>
      <c r="F13" s="162"/>
      <c r="G13" s="116" t="str" cm="1">
        <f t="array" ref="G13:H14">_xlfn.CHOOSECOLS(Fertiliser_Equations_InorganicCO2.VEERG_5_1_1_3__2_MassOfUreaInInorganicFertiliser_Arguments(), 3, 4)</f>
        <v>kg</v>
      </c>
      <c r="H13" s="109" t="str">
        <v>Input</v>
      </c>
      <c r="I13" s="111" t="str" cm="1">
        <f t="array" aca="1" ref="I13" ca="1">HYPERLINK(Common_InputFunctions.Utility_SourceHyperlink($D$16), $D$16)</f>
        <v>Table_MU_j_f</v>
      </c>
    </row>
    <row r="14" spans="1:21" ht="20" customHeight="1" x14ac:dyDescent="0.25">
      <c r="A14" s="5" t="str">
        <f>HYPERLINK("#'Input - Pasture'!A1", "Pasture")</f>
        <v>Pasture</v>
      </c>
      <c r="D14" s="116" t="str">
        <v>FU_f</v>
      </c>
      <c r="E14" s="117" t="str">
        <v>fraction of urea in fertiliser type f</v>
      </c>
      <c r="F14" s="162"/>
      <c r="G14" s="116" t="str">
        <v>kg urea/kg</v>
      </c>
      <c r="H14" s="110" t="str">
        <v>Lookup</v>
      </c>
      <c r="I14" s="111" t="str" cm="1">
        <f t="array" aca="1" ref="I14" ca="1">HYPERLINK(Common_InputFunctions.Utility_SourceHyperlink($D$16), $D$16)</f>
        <v>Table_MU_j_f</v>
      </c>
    </row>
    <row r="15" spans="1:21" ht="20" customHeight="1" x14ac:dyDescent="0.25">
      <c r="A15" s="5" t="str">
        <f>HYPERLINK("#'Input - Fert Prod System'!A1", "Fert Prod System")</f>
        <v>Fert Prod System</v>
      </c>
    </row>
    <row r="16" spans="1:21" ht="20" customHeight="1" x14ac:dyDescent="0.25">
      <c r="A16" s="5" t="str">
        <f>HYPERLINK("#'Input - Fertiliser'!A1", "Fertiliser")</f>
        <v>Fertiliser</v>
      </c>
      <c r="D16" s="112" t="s">
        <v>671</v>
      </c>
    </row>
    <row r="17" spans="1:7" ht="20" customHeight="1" x14ac:dyDescent="0.25">
      <c r="A17" s="5" t="str">
        <f>HYPERLINK("#'Input - Fuel'!A1", "Fuel")</f>
        <v>Fuel</v>
      </c>
      <c r="D17" s="113" t="s">
        <v>672</v>
      </c>
    </row>
    <row r="18" spans="1:7" ht="20" customHeight="1" x14ac:dyDescent="0.25">
      <c r="A18" s="5" t="str">
        <f>HYPERLINK("#'Input - Electricity'!A1", "Electricity")</f>
        <v>Electricity</v>
      </c>
      <c r="D18" s="114" t="s">
        <v>645</v>
      </c>
      <c r="E18" s="82" t="s">
        <v>646</v>
      </c>
      <c r="F18" s="114" t="s">
        <v>673</v>
      </c>
      <c r="G18" s="114" t="s">
        <v>674</v>
      </c>
    </row>
    <row r="19" spans="1:7" ht="20" customHeight="1" x14ac:dyDescent="0.25">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 customHeight="1" x14ac:dyDescent="0.25">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 customHeight="1" x14ac:dyDescent="0.25">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0</v>
      </c>
    </row>
    <row r="22" spans="1:7" ht="20" customHeight="1" x14ac:dyDescent="0.25">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 customHeight="1" x14ac:dyDescent="0.25">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 customHeight="1" x14ac:dyDescent="0.25">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 customHeight="1" x14ac:dyDescent="0.25">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 customHeight="1" x14ac:dyDescent="0.25">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 customHeight="1" x14ac:dyDescent="0.25">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 customHeight="1" x14ac:dyDescent="0.25">
      <c r="A28" s="6" t="s">
        <v>2</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 customHeight="1" x14ac:dyDescent="0.25">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 customHeight="1" x14ac:dyDescent="0.25">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 customHeight="1" x14ac:dyDescent="0.25">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 customHeight="1" x14ac:dyDescent="0.25">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 customHeight="1" x14ac:dyDescent="0.25">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 customHeight="1" x14ac:dyDescent="0.25">
      <c r="A34" s="5"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 customHeight="1" x14ac:dyDescent="0.25">
      <c r="A35" s="104"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 customHeight="1" x14ac:dyDescent="0.25">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 customHeight="1" x14ac:dyDescent="0.25">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8" spans="1:12" ht="20" customHeight="1" x14ac:dyDescent="0.25">
      <c r="A38" s="5" t="str">
        <f>HYPERLINK("#'5.4.1.1-4 Atmos deposition'!A1", "5.4.1.1-4 Atmos. deposition")</f>
        <v>5.4.1.1-4 Atmos. deposition</v>
      </c>
    </row>
    <row r="39" spans="1:12" ht="20" customHeight="1" x14ac:dyDescent="0.25">
      <c r="A39" s="5" t="str">
        <f>HYPERLINK("#'5.5.1.1-2 Leaching and runoff'!A1", "5.5.1.1-2 Leaching &amp; runoff")</f>
        <v>5.5.1.1-2 Leaching &amp; runoff</v>
      </c>
    </row>
    <row r="40" spans="1:12" ht="20" customHeight="1" x14ac:dyDescent="0.25">
      <c r="A40" s="5" t="str">
        <f>HYPERLINK("#'6.2.1.1-2 Pasture residue N2O'!A1", "6.2.1.1-2 Pasture residue N2O")</f>
        <v>6.2.1.1-2 Pasture residue N2O</v>
      </c>
      <c r="C40" s="87"/>
      <c r="D40" s="87"/>
      <c r="E40" s="87"/>
      <c r="F40" s="87"/>
      <c r="G40" s="87"/>
      <c r="H40" s="87"/>
      <c r="I40" s="87"/>
      <c r="J40" s="87"/>
      <c r="K40" s="87"/>
      <c r="L40" s="87"/>
    </row>
    <row r="41" spans="1:12" ht="20" customHeight="1" x14ac:dyDescent="0.25">
      <c r="A41" s="5" t="str">
        <f>HYPERLINK("#'6.3.1.1-2 Leach runoff pasture'!A1", "6.3.1.1-2 Leach &amp; runoff (pasture)")</f>
        <v>6.3.1.1-2 Leach &amp; runoff (pasture)</v>
      </c>
      <c r="D41" s="2" t="str" cm="1">
        <f t="array" ref="D41">Fertiliser_Equations_InorganicCO2.VEERG_5_1_1_3__1_InorganicFertiliserApplicationCO2Emissions_Title()</f>
        <v>Carbon dioxide emissions resulting from the use of all inorganic, urea-based fertilisers</v>
      </c>
    </row>
    <row r="42" spans="1:12" ht="20" customHeight="1" x14ac:dyDescent="0.25">
      <c r="A42" s="5" t="str">
        <f>HYPERLINK("#'8.1.1.1-2 Transport fuel'!A1", "8.1.1.1-2 Transport fuel")</f>
        <v>8.1.1.1-2 Transport fuel</v>
      </c>
      <c r="D42" s="17" t="str" cm="1">
        <f t="array" ref="D42">Fertiliser_Equations_InorganicCO2.VEERG_5_1_1_3__1_InorganicFertiliserApplicationCO2Emissions_Source()</f>
        <v>VEERG 2026: 5.1.1.3, Equation (1)</v>
      </c>
    </row>
    <row r="43" spans="1:12" ht="20" customHeight="1" x14ac:dyDescent="0.25">
      <c r="A43" s="5" t="str">
        <f>HYPERLINK("#'8.2.1.1-2 Stationary fuel'!A1", "8.2.1.1-2 Stationary fuel")</f>
        <v>8.2.1.1-2 Stationary fuel</v>
      </c>
      <c r="D43" s="103" t="s">
        <v>372</v>
      </c>
      <c r="E43" s="103" t="str" cm="1">
        <f t="array" aca="1" ref="E43" ca="1">Common_InputFunctions.Utility_DisplayFunctionName(E58)</f>
        <v>=Fertiliser_Equations_InorganicCO2.VEERG_5_1_1_3__1_InorganicFertiliserApplicationCO2Emissions</v>
      </c>
    </row>
    <row r="44" spans="1:12" ht="20" customHeight="1" x14ac:dyDescent="0.25">
      <c r="A44" s="5" t="str">
        <f>HYPERLINK("#'10.1.1-2 Solid waste treatment'!A1", "10.1.1.1-2 Solid waste")</f>
        <v>10.1.1.1-2 Solid waste</v>
      </c>
    </row>
    <row r="45" spans="1:12" ht="20" customHeight="1" x14ac:dyDescent="0.25">
      <c r="A45" s="5" t="str">
        <f>HYPERLINK("#'14.1.1-2 Purchased electricity'!A1", "14.1.1-2 Purchased electricity")</f>
        <v>14.1.1-2 Purchased electricity</v>
      </c>
    </row>
    <row r="46" spans="1:12" ht="20" customHeight="1" x14ac:dyDescent="0.25">
      <c r="A46" s="5" t="str">
        <f>HYPERLINK("#'15 Scope 3'!A1", "15 Scope 3")</f>
        <v>15 Scope 3</v>
      </c>
      <c r="D46" s="77" t="s">
        <v>374</v>
      </c>
      <c r="E46" s="1" t="str" cm="1">
        <f t="array" ref="E46">Fertiliser_Equations_InorganicCO2.VEERG_5_1_1_3__1_InorganicFertiliserApplicationCO2Emissions_Variable()</f>
        <v>E_CO2</v>
      </c>
    </row>
    <row r="47" spans="1:12" ht="20" customHeight="1" x14ac:dyDescent="0.25">
      <c r="A47" s="5" t="str">
        <f>HYPERLINK("#'Calcs - Manure sent off-site'!A1", "Calcs - Manure sent off-site")</f>
        <v>Calcs - Manure sent off-site</v>
      </c>
      <c r="D47" s="77" t="s">
        <v>121</v>
      </c>
      <c r="E47" s="9" t="str" cm="1">
        <f t="array" ref="E47">Fertiliser_Equations_InorganicCO2.VEERG_5_1_1_3__1_InorganicFertiliserApplicationCO2Emissions_Unit()</f>
        <v>t CO2</v>
      </c>
    </row>
    <row r="48" spans="1:12" ht="20" customHeight="1" x14ac:dyDescent="0.25"/>
    <row r="49" spans="1:9" ht="20" customHeight="1" x14ac:dyDescent="0.25">
      <c r="D49" s="116" t="str" cm="1">
        <f t="array" ref="D49:E53">_xlfn.CHOOSECOLS(Fertiliser_Equations_InorganicCO2.VEERG_5_1_1_3__1_InorganicFertiliserApplicationCO2Emissions_Arguments(), 1, 2)</f>
        <v>MU_jf</v>
      </c>
      <c r="E49" s="117" t="str">
        <v>mass of urea of inorganic fertiliser type f applied to production system j</v>
      </c>
      <c r="F49" s="162"/>
      <c r="G49" s="116" t="str" cm="1">
        <f t="array" ref="G49:H53">_xlfn.CHOOSECOLS(Fertiliser_Equations_InorganicCO2.VEERG_5_1_1_3__1_InorganicFertiliserApplicationCO2Emissions_Arguments(), 3,4)</f>
        <v>kg urea</v>
      </c>
      <c r="H49" s="110" t="str">
        <v>Calculated</v>
      </c>
      <c r="I49" s="111" t="str" cm="1">
        <f t="array" aca="1" ref="I49" ca="1">HYPERLINK(Common_InputFunctions.Utility_SourceHyperlink($D$16), $D$16)</f>
        <v>Table_MU_j_f</v>
      </c>
    </row>
    <row r="50" spans="1:9" ht="20" customHeight="1" x14ac:dyDescent="0.25">
      <c r="A50" s="85" t="s">
        <v>1</v>
      </c>
      <c r="D50" s="116" t="str">
        <v>EF_ureaCO2</v>
      </c>
      <c r="E50" s="117" t="str">
        <v>emission factor for carbon emissions from urea-based fertilisers</v>
      </c>
      <c r="F50" s="162"/>
      <c r="G50" s="116" t="str">
        <v>kg C/kg urea</v>
      </c>
      <c r="H50" s="110" t="str">
        <v>Constant</v>
      </c>
      <c r="I50" s="116">
        <f>Fertiliser_EFUreaCO2_Data</f>
        <v>0.2</v>
      </c>
    </row>
    <row r="51" spans="1:9" ht="20" customHeight="1" x14ac:dyDescent="0.25">
      <c r="A51" s="5" t="str">
        <f>HYPERLINK("#'Constants - Pasture Beef'!A1", "Constants - Pasture Beef")</f>
        <v>Constants - Pasture Beef</v>
      </c>
      <c r="D51" s="116" t="str">
        <v>C_CO2</v>
      </c>
      <c r="E51" s="117" t="str">
        <v>factor to convert elemental mass of carbon to molecular mass of carbon dioxide</v>
      </c>
      <c r="F51" s="162"/>
      <c r="G51" s="116" t="str">
        <v/>
      </c>
      <c r="H51" s="110" t="str">
        <v>Constant</v>
      </c>
      <c r="I51" s="116">
        <f>Common_InputFunctions.Utility_LookupValueInTableNumber("CO2",Table_GasToMolecularConversionFactor[Gas], Table_GasToMolecularConversionFactor[Conversion factor combined])</f>
        <v>3.6666666666666665</v>
      </c>
    </row>
    <row r="52" spans="1:9" ht="20" customHeight="1" x14ac:dyDescent="0.25">
      <c r="A52" s="5" t="str">
        <f>HYPERLINK("#'Constants - Ag Residue'!A1", "Constants - Ag residue")</f>
        <v>Constants - Ag residue</v>
      </c>
      <c r="D52" s="116" t="str">
        <v>j</v>
      </c>
      <c r="E52" s="117" t="str">
        <v>Production system</v>
      </c>
      <c r="F52" s="162"/>
      <c r="G52" s="116" t="str">
        <v/>
      </c>
      <c r="H52" s="109" t="str">
        <v>Input</v>
      </c>
      <c r="I52" s="116">
        <f>X_Cell_Fertiliser_ProductionSystem</f>
        <v>0</v>
      </c>
    </row>
    <row r="53" spans="1:9" ht="20" customHeight="1" x14ac:dyDescent="0.25">
      <c r="A53" s="5" t="str">
        <f>HYPERLINK("#'Constants - Common Livestock'!A1", "Constants - Common Livestock")</f>
        <v>Constants - Common Livestock</v>
      </c>
      <c r="D53" s="116" t="str">
        <v>f</v>
      </c>
      <c r="E53" s="117" t="str">
        <v>Inorganic fertiliser type</v>
      </c>
      <c r="F53" s="162"/>
      <c r="G53" s="116" t="str">
        <v/>
      </c>
      <c r="H53" s="110" t="str">
        <v>Lookup</v>
      </c>
      <c r="I53" s="111" t="str" cm="1">
        <f t="array" aca="1" ref="I53" ca="1">HYPERLINK(Common_InputFunctions.Utility_SourceHyperlink($D$16), $D$16)</f>
        <v>Table_MU_j_f</v>
      </c>
    </row>
    <row r="54" spans="1:9" ht="20" customHeight="1" x14ac:dyDescent="0.25">
      <c r="A54" s="5" t="str">
        <f>HYPERLINK("#'Constants - Electricity'!A1", "Constants - Electricity")</f>
        <v>Constants - Electricity</v>
      </c>
    </row>
    <row r="55" spans="1:9" ht="20" customHeight="1" x14ac:dyDescent="0.25">
      <c r="A55" s="5" t="str">
        <f>HYPERLINK("#'Constants - Fertiliser'!A1", "Constants - Fertiliser")</f>
        <v>Constants - Fertiliser</v>
      </c>
      <c r="D55" s="112" t="s">
        <v>675</v>
      </c>
    </row>
    <row r="56" spans="1:9" ht="20" customHeight="1" x14ac:dyDescent="0.25">
      <c r="A56" s="5" t="str">
        <f>HYPERLINK("#'Constants - Fuel'!A1", "Constants - Fuel")</f>
        <v>Constants - Fuel</v>
      </c>
      <c r="D56" s="113" t="s">
        <v>676</v>
      </c>
    </row>
    <row r="57" spans="1:9" ht="20" customHeight="1" x14ac:dyDescent="0.25">
      <c r="A57" s="5" t="str">
        <f>HYPERLINK("#'Constants - Scope 3'!A1", "Constants - Scope 3")</f>
        <v>Constants - Scope 3</v>
      </c>
      <c r="D57" s="114" t="s">
        <v>645</v>
      </c>
      <c r="E57" s="114" t="s">
        <v>657</v>
      </c>
    </row>
    <row r="58" spans="1:9" ht="20" customHeight="1" x14ac:dyDescent="0.25">
      <c r="A58" s="5" t="str">
        <f>HYPERLINK("#'Constants - Solid Waste'!A1", "Constants - Solid Waste")</f>
        <v>Constants - Solid Waste</v>
      </c>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1:9" ht="20" customHeight="1" x14ac:dyDescent="0.25">
      <c r="A59" s="5" t="str">
        <f>HYPERLINK("#'Constants - Common'!A1", "Constants - Common")</f>
        <v>Constants - Common</v>
      </c>
      <c r="D59" s="15" t="str">
        <v>Diammonium phosphate (DAP)</v>
      </c>
      <c r="E59" s="15" cm="1">
        <f t="array" ref="E59">Fertiliser_Equations_InorganicCO2.VEERG_5_1_1_3__1_InorganicFertiliserApplicationCO2Emissions(G20,$I$50,$I$51)</f>
        <v>0</v>
      </c>
    </row>
    <row r="60" spans="1:9" ht="20" customHeight="1" x14ac:dyDescent="0.25">
      <c r="A60" s="5" t="str">
        <f>HYPERLINK("#'Acknowledgements'!A1", "Acknowledgements")</f>
        <v>Acknowledgements</v>
      </c>
      <c r="D60" s="15" t="str">
        <v>Urea</v>
      </c>
      <c r="E60" s="15" cm="1">
        <f t="array" ref="E60">Fertiliser_Equations_InorganicCO2.VEERG_5_1_1_3__1_InorganicFertiliserApplicationCO2Emissions(G21,$I$50,$I$51)</f>
        <v>0</v>
      </c>
    </row>
    <row r="61" spans="1:9" ht="20" customHeight="1" x14ac:dyDescent="0.25">
      <c r="D61" s="15" t="str">
        <v>Sulphate of ammonia (SOA)</v>
      </c>
      <c r="E61" s="15" cm="1">
        <f t="array" ref="E61">Fertiliser_Equations_InorganicCO2.VEERG_5_1_1_3__1_InorganicFertiliserApplicationCO2Emissions(G22,$I$50,$I$51)</f>
        <v>0</v>
      </c>
    </row>
    <row r="62" spans="1:9" ht="20" customHeight="1" x14ac:dyDescent="0.25">
      <c r="D62" s="15" t="str">
        <v>Urea-ammonium nitrate (UAN)</v>
      </c>
      <c r="E62" s="15" cm="1">
        <f t="array" ref="E62">Fertiliser_Equations_InorganicCO2.VEERG_5_1_1_3__1_InorganicFertiliserApplicationCO2Emissions(G23,$I$50,$I$51)</f>
        <v>0</v>
      </c>
    </row>
    <row r="63" spans="1:9" ht="20" customHeight="1" x14ac:dyDescent="0.25">
      <c r="D63" s="15" t="str">
        <v>Ammonium nitrate (AN)</v>
      </c>
      <c r="E63" s="15" cm="1">
        <f t="array" ref="E63">Fertiliser_Equations_InorganicCO2.VEERG_5_1_1_3__1_InorganicFertiliserApplicationCO2Emissions(G24,$I$50,$I$51)</f>
        <v>0</v>
      </c>
    </row>
    <row r="64" spans="1:9" ht="20" customHeight="1" x14ac:dyDescent="0.25">
      <c r="D64" s="15" t="str">
        <v>Calcium ammonium nitrate (CAN)</v>
      </c>
      <c r="E64" s="15" cm="1">
        <f t="array" ref="E64">Fertiliser_Equations_InorganicCO2.VEERG_5_1_1_3__1_InorganicFertiliserApplicationCO2Emissions(G25,$I$50,$I$51)</f>
        <v>0</v>
      </c>
    </row>
    <row r="65" spans="4:6" ht="20" customHeight="1" x14ac:dyDescent="0.25">
      <c r="D65" s="15" t="str">
        <v>Nitrogen - Ammoniacal</v>
      </c>
      <c r="E65" s="15" cm="1">
        <f t="array" ref="E65">Fertiliser_Equations_InorganicCO2.VEERG_5_1_1_3__1_InorganicFertiliserApplicationCO2Emissions(G26,$I$50,$I$51)</f>
        <v>0</v>
      </c>
    </row>
    <row r="66" spans="4:6" ht="20" customHeight="1" x14ac:dyDescent="0.25">
      <c r="D66" s="15" t="str">
        <v>Nitrogen - Nitrate</v>
      </c>
      <c r="E66" s="15" cm="1">
        <f t="array" ref="E66">Fertiliser_Equations_InorganicCO2.VEERG_5_1_1_3__1_InorganicFertiliserApplicationCO2Emissions(G27,$I$50,$I$51)</f>
        <v>0</v>
      </c>
    </row>
    <row r="67" spans="4:6" ht="20" customHeight="1" x14ac:dyDescent="0.25">
      <c r="D67" s="15" t="str">
        <v>Nitrogen - Generic</v>
      </c>
      <c r="E67" s="15" cm="1">
        <f t="array" ref="E67">Fertiliser_Equations_InorganicCO2.VEERG_5_1_1_3__1_InorganicFertiliserApplicationCO2Emissions(G28,$I$50,$I$51)</f>
        <v>0</v>
      </c>
    </row>
    <row r="68" spans="4:6" ht="20" customHeight="1" x14ac:dyDescent="0.25">
      <c r="D68" s="15" t="str">
        <v>Phosphorus - Generic</v>
      </c>
      <c r="E68" s="15" cm="1">
        <f t="array" ref="E68">Fertiliser_Equations_InorganicCO2.VEERG_5_1_1_3__1_InorganicFertiliserApplicationCO2Emissions(G29,$I$50,$I$51)</f>
        <v>0</v>
      </c>
    </row>
    <row r="69" spans="4:6" ht="20" customHeight="1" x14ac:dyDescent="0.25">
      <c r="D69" s="15" t="str">
        <v>Potassium - Generic</v>
      </c>
      <c r="E69" s="15" cm="1">
        <f t="array" ref="E69">Fertiliser_Equations_InorganicCO2.VEERG_5_1_1_3__1_InorganicFertiliserApplicationCO2Emissions(G30,$I$50,$I$51)</f>
        <v>0</v>
      </c>
    </row>
    <row r="70" spans="4:6" ht="20" customHeight="1" x14ac:dyDescent="0.25">
      <c r="D70" s="15" t="str">
        <v>Sulfur - Generic</v>
      </c>
      <c r="E70" s="15" cm="1">
        <f t="array" ref="E70">Fertiliser_Equations_InorganicCO2.VEERG_5_1_1_3__1_InorganicFertiliserApplicationCO2Emissions(G31,$I$50,$I$51)</f>
        <v>0</v>
      </c>
    </row>
    <row r="71" spans="4:6" ht="20" customHeight="1" x14ac:dyDescent="0.25">
      <c r="D71" s="15" t="str">
        <v>Zinc - Generic</v>
      </c>
      <c r="E71" s="15" cm="1">
        <f t="array" ref="E71">Fertiliser_Equations_InorganicCO2.VEERG_5_1_1_3__1_InorganicFertiliserApplicationCO2Emissions(G32,$I$50,$I$51)</f>
        <v>0</v>
      </c>
    </row>
    <row r="72" spans="4:6" ht="20" customHeight="1" x14ac:dyDescent="0.25">
      <c r="D72" s="15" t="str">
        <v>Muriate of potash (MOP)</v>
      </c>
      <c r="E72" s="15" cm="1">
        <f t="array" ref="E72">Fertiliser_Equations_InorganicCO2.VEERG_5_1_1_3__1_InorganicFertiliserApplicationCO2Emissions(G33,$I$50,$I$51)</f>
        <v>0</v>
      </c>
    </row>
    <row r="73" spans="4:6" ht="20" customHeight="1" x14ac:dyDescent="0.25">
      <c r="D73" s="15" t="str">
        <v>Double superphosphate</v>
      </c>
      <c r="E73" s="15" cm="1">
        <f t="array" ref="E73">Fertiliser_Equations_InorganicCO2.VEERG_5_1_1_3__1_InorganicFertiliserApplicationCO2Emissions(G34,$I$50,$I$51)</f>
        <v>0</v>
      </c>
    </row>
    <row r="74" spans="4:6" ht="20" customHeight="1" x14ac:dyDescent="0.25">
      <c r="D74" s="15" t="str">
        <v>Single superphosphate (SSP)</v>
      </c>
      <c r="E74" s="15" cm="1">
        <f t="array" ref="E74">Fertiliser_Equations_InorganicCO2.VEERG_5_1_1_3__1_InorganicFertiliserApplicationCO2Emissions(G35,$I$50,$I$51)</f>
        <v>0</v>
      </c>
    </row>
    <row r="75" spans="4:6" ht="20" customHeight="1" x14ac:dyDescent="0.25">
      <c r="D75" s="15" t="str">
        <v>Ammonia</v>
      </c>
      <c r="E75" s="15" cm="1">
        <f t="array" ref="E75">Fertiliser_Equations_InorganicCO2.VEERG_5_1_1_3__1_InorganicFertiliserApplicationCO2Emissions(G36,$I$50,$I$51)</f>
        <v>0</v>
      </c>
    </row>
    <row r="76" spans="4:6" ht="20" customHeight="1" x14ac:dyDescent="0.25">
      <c r="D76" s="15" t="str">
        <v>Calcium nitrate</v>
      </c>
      <c r="E76" s="15" cm="1">
        <f t="array" ref="E76">Fertiliser_Equations_InorganicCO2.VEERG_5_1_1_3__1_InorganicFertiliserApplicationCO2Emissions(G37,$I$50,$I$51)</f>
        <v>0</v>
      </c>
    </row>
    <row r="77" spans="4:6" ht="20" customHeight="1" x14ac:dyDescent="0.25"/>
    <row r="78" spans="4:6" ht="20" customHeight="1" x14ac:dyDescent="0.25">
      <c r="D78" s="90" t="s">
        <v>677</v>
      </c>
      <c r="E78" s="91">
        <f>SUM(E58:E76)</f>
        <v>0</v>
      </c>
      <c r="F78" s="95" t="str">
        <f>$E$47</f>
        <v>t CO2</v>
      </c>
    </row>
    <row r="79" spans="4:6" ht="20" customHeight="1" x14ac:dyDescent="0.25"/>
    <row r="80" spans="4:6"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546B-4DAF-472B-AC2F-9D43AF125D42}">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678</v>
      </c>
    </row>
    <row r="2" spans="1:21" s="3" customFormat="1" ht="20" customHeight="1" x14ac:dyDescent="0.25">
      <c r="A2"/>
    </row>
    <row r="3" spans="1:21" ht="20"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 customHeight="1" x14ac:dyDescent="0.25">
      <c r="A4" s="5" t="str">
        <f>HYPERLINK("#'Results - Activity period'!A1", "Results - Activity period")</f>
        <v>Results - Activity period</v>
      </c>
    </row>
    <row r="5" spans="1:21" ht="20" customHeight="1" x14ac:dyDescent="0.25">
      <c r="A5" s="5" t="str">
        <f>HYPERLINK("#'Results - Product EI'!A1", "Results - Product Emissions Intensity")</f>
        <v>Results - Product Emissions Intensity</v>
      </c>
      <c r="D5" s="2" t="str" cm="1">
        <f t="array" ref="D5">Fertiliser_Equations_OrganicN2O.VEERG_5_2_1_1__2_MassOfNitrogenInOrganicFertiliser_Title()</f>
        <v>Mass of nitrogen in purchased organic fertilisers applied to production system</v>
      </c>
    </row>
    <row r="6" spans="1:21" ht="20" customHeight="1" x14ac:dyDescent="0.25">
      <c r="D6" s="17" t="str" cm="1">
        <f t="array" ref="D6">Fertiliser_Equations_OrganicN2O.VEERG_5_2_1_1__2_MassOfNitrogenInOrganicFertiliser_Source()</f>
        <v>VEERG 2026: 5.2.1.1, Equation (2)</v>
      </c>
    </row>
    <row r="7" spans="1:21" ht="20" customHeight="1" x14ac:dyDescent="0.25">
      <c r="D7" s="103" t="s">
        <v>372</v>
      </c>
      <c r="E7" s="103" t="str" cm="1">
        <f t="array" aca="1" ref="E7" ca="1">Common_InputFunctions.Utility_DisplayFunctionName($I$20)</f>
        <v>=Fertiliser_Equations_OrganicN2O.VEERG_5_2_1_1__2_MassOfNitrogenInOrganicFertiliser</v>
      </c>
    </row>
    <row r="8" spans="1:21" ht="20" customHeight="1" x14ac:dyDescent="0.25">
      <c r="A8" s="7" t="s">
        <v>0</v>
      </c>
    </row>
    <row r="9" spans="1:21" ht="20" customHeight="1" x14ac:dyDescent="0.25">
      <c r="A9" s="5" t="str">
        <f>HYPERLINK("#'Input - Enterprise'!A1", "Enterprise")</f>
        <v>Enterprise</v>
      </c>
    </row>
    <row r="10" spans="1:21" ht="20" customHeight="1" x14ac:dyDescent="0.25">
      <c r="A10" s="5" t="str">
        <f>HYPERLINK("#'Input - Site'!A1", "Site")</f>
        <v>Site</v>
      </c>
      <c r="D10" s="77" t="s">
        <v>374</v>
      </c>
      <c r="E10" s="1" t="str" cm="1">
        <f t="array" ref="E10">Fertiliser_Equations_OrganicN2O.VEERG_5_2_1_1__2_MassOfNitrogenInOrganicFertiliser_Variable()</f>
        <v>MNSoil_jf</v>
      </c>
    </row>
    <row r="11" spans="1:21" ht="20" customHeight="1" x14ac:dyDescent="0.25">
      <c r="A11" s="5" t="str">
        <f>HYPERLINK("#'Input - Pasture Beef'!A1", "Pasture Beef")</f>
        <v>Pasture Beef</v>
      </c>
      <c r="D11" s="77" t="s">
        <v>121</v>
      </c>
      <c r="E11" s="9" t="str" cm="1">
        <f t="array" ref="E11">Fertiliser_Equations_OrganicN2O.VEERG_5_2_1_1__2_MassOfNitrogenInOrganicFertiliser_Unit()</f>
        <v>kg N</v>
      </c>
    </row>
    <row r="12" spans="1:21" ht="20" customHeight="1" x14ac:dyDescent="0.25">
      <c r="A12" s="5" t="str">
        <f>HYPERLINK("#'Input - Livestock sales'!A1", "Livestock sales")</f>
        <v>Livestock sales</v>
      </c>
    </row>
    <row r="13" spans="1:21" ht="20" customHeight="1" x14ac:dyDescent="0.25">
      <c r="A13" s="5" t="str">
        <f>HYPERLINK("#'Input - Beef cattle purchases'!A1", "Beef cattle purchases")</f>
        <v>Beef cattle purchases</v>
      </c>
      <c r="D13" s="116" t="str" cm="1">
        <f t="array" ref="D13:E15">_xlfn.CHOOSECOLS(Fertiliser_Equations_OrganicN2O.VEERG_5_2_1_1__2_MassOfNitrogenInOrganicFertiliser_Arguments(), 1, 2)</f>
        <v>M_organicjf</v>
      </c>
      <c r="E13" s="117" t="str">
        <v>mass of organic fertiliser type f applied to production system j</v>
      </c>
      <c r="F13" s="162"/>
      <c r="G13" s="105" t="str" cm="1">
        <f t="array" ref="G13:H15">_xlfn.CHOOSECOLS(Fertiliser_Equations_OrganicN2O.VEERG_5_2_1_1__2_MassOfNitrogenInOrganicFertiliser_Arguments(), 3,4)</f>
        <v>kg</v>
      </c>
      <c r="H13" s="109" t="str">
        <v>Input</v>
      </c>
      <c r="I13" s="111" t="str" cm="1">
        <f t="array" aca="1" ref="I13" ca="1">HYPERLINK(Common_InputFunctions.Utility_SourceHyperlink($D$17), $D$17)</f>
        <v>Table_MNSoil_j_f</v>
      </c>
    </row>
    <row r="14" spans="1:21" ht="20" customHeight="1" x14ac:dyDescent="0.25">
      <c r="A14" s="5" t="str">
        <f>HYPERLINK("#'Input - Pasture'!A1", "Pasture")</f>
        <v>Pasture</v>
      </c>
      <c r="D14" s="116" t="str">
        <v>FN_organicf</v>
      </c>
      <c r="E14" s="117" t="str">
        <v>nitrogen fraction of organic fertiliser type f</v>
      </c>
      <c r="F14" s="162"/>
      <c r="G14" s="105" t="str">
        <v>kg N/kg</v>
      </c>
      <c r="H14" s="109" t="str">
        <v>Input</v>
      </c>
      <c r="I14" s="111" t="str" cm="1">
        <f t="array" aca="1" ref="I14" ca="1">HYPERLINK(Common_InputFunctions.Utility_SourceHyperlink($D$17), $D$17)</f>
        <v>Table_MNSoil_j_f</v>
      </c>
    </row>
    <row r="15" spans="1:21" ht="20" customHeight="1" x14ac:dyDescent="0.25">
      <c r="A15" s="5" t="str">
        <f>HYPERLINK("#'Input - Fert Prod System'!A1", "Fert Prod System")</f>
        <v>Fert Prod System</v>
      </c>
      <c r="D15" s="116" t="str">
        <v>f</v>
      </c>
      <c r="E15" s="117" t="str">
        <v>Organic fertiliser type</v>
      </c>
      <c r="F15" s="162"/>
      <c r="G15" s="105" t="str">
        <v/>
      </c>
      <c r="H15" s="109" t="str">
        <v>Input</v>
      </c>
      <c r="I15" s="111" t="str" cm="1">
        <f t="array" aca="1" ref="I15" ca="1">HYPERLINK(Common_InputFunctions.Utility_SourceHyperlink($D$17), $D$17)</f>
        <v>Table_MNSoil_j_f</v>
      </c>
    </row>
    <row r="16" spans="1:21" ht="20" customHeight="1" x14ac:dyDescent="0.25">
      <c r="A16" s="5" t="str">
        <f>HYPERLINK("#'Input - Fertiliser'!A1", "Fertiliser")</f>
        <v>Fertiliser</v>
      </c>
    </row>
    <row r="17" spans="1:10" ht="20" customHeight="1" x14ac:dyDescent="0.25">
      <c r="A17" s="5" t="str">
        <f>HYPERLINK("#'Input - Fuel'!A1", "Fuel")</f>
        <v>Fuel</v>
      </c>
      <c r="D17" s="112" t="s">
        <v>679</v>
      </c>
    </row>
    <row r="18" spans="1:10" ht="20" customHeight="1" x14ac:dyDescent="0.25">
      <c r="A18" s="5" t="str">
        <f>HYPERLINK("#'Input - Electricity'!A1", "Electricity")</f>
        <v>Electricity</v>
      </c>
      <c r="D18" s="113" t="s">
        <v>680</v>
      </c>
    </row>
    <row r="19" spans="1:10" ht="20" customHeight="1" x14ac:dyDescent="0.25">
      <c r="A19" s="5" t="str">
        <f>HYPERLINK("#'Input - Common farm inputs'!A1", "Common farm inputs")</f>
        <v>Common farm inputs</v>
      </c>
      <c r="D19" s="82" t="s">
        <v>681</v>
      </c>
      <c r="E19" s="82" t="s">
        <v>682</v>
      </c>
      <c r="F19" s="82" t="s">
        <v>587</v>
      </c>
      <c r="G19" s="166" t="s">
        <v>683</v>
      </c>
      <c r="H19" s="82" t="s">
        <v>684</v>
      </c>
      <c r="I19" s="166" t="s">
        <v>685</v>
      </c>
    </row>
    <row r="20" spans="1:10" ht="20" customHeight="1" x14ac:dyDescent="0.25">
      <c r="A20" s="5" t="str">
        <f>HYPERLINK("#'Input - Crop pasture farm input'!A1", "Crop pasture farm input")</f>
        <v>Crop pasture farm input</v>
      </c>
      <c r="D20" s="15" cm="1">
        <f t="array" ref="D20:D22">Table_Input_OrganicFertiliser[Organic fertiliser type (select)]</f>
        <v>0</v>
      </c>
      <c r="E20" s="167" cm="1">
        <f t="array" ref="E20:E22">Table_Input_OrganicFertiliser[Amount applied (kg/hectare)]</f>
        <v>0</v>
      </c>
      <c r="F20" s="167" cm="1">
        <f t="array" ref="F20:F22">Table_Input_OrganicFertiliser[Application area (ha)]</f>
        <v>0</v>
      </c>
      <c r="G20" s="15" cm="1">
        <f t="array" ref="G20:G22">Table_Input_OrganicFertiliser[Amount applied (kg/hectare)]*Table_Input_OrganicFertiliser[Application area (ha)]</f>
        <v>0</v>
      </c>
      <c r="H20" s="125" cm="1">
        <f t="array" ref="H20:H22">Table_Input_OrganicFertiliser[Percentage of N in fertiliser]</f>
        <v>0</v>
      </c>
      <c r="I20" s="15" cm="1">
        <f t="array" ref="I20">Fertiliser_Equations_OrganicN2O.VEERG_5_2_1_1__2_MassOfNitrogenInOrganicFertiliser(G20,H20)</f>
        <v>0</v>
      </c>
    </row>
    <row r="21" spans="1:10" ht="20" customHeight="1" x14ac:dyDescent="0.25">
      <c r="A21" s="5" t="str">
        <f>HYPERLINK("#'Input - Livestock farm Inputs'!A1", "Livestock farm Inputs")</f>
        <v>Livestock farm Inputs</v>
      </c>
      <c r="D21" s="15">
        <v>0</v>
      </c>
      <c r="E21" s="15">
        <v>0</v>
      </c>
      <c r="F21" s="15">
        <v>0</v>
      </c>
      <c r="G21" s="15">
        <v>0</v>
      </c>
      <c r="H21" s="15">
        <v>0</v>
      </c>
      <c r="I21" s="15" cm="1">
        <f t="array" ref="I21">Fertiliser_Equations_Organic.VEERG_5_2_1_1__2_MassOfNitrogenInOrganicFertiliser(G21,H21)</f>
        <v>0</v>
      </c>
    </row>
    <row r="22" spans="1:10" ht="20" customHeight="1" x14ac:dyDescent="0.25">
      <c r="A22" s="5" t="str">
        <f>HYPERLINK("#'Input - Freight'!A1", "Freight")</f>
        <v>Freight</v>
      </c>
      <c r="D22" s="15">
        <v>0</v>
      </c>
      <c r="E22" s="15">
        <v>0</v>
      </c>
      <c r="F22" s="15">
        <v>0</v>
      </c>
      <c r="G22" s="15">
        <v>0</v>
      </c>
      <c r="H22" s="15">
        <v>0</v>
      </c>
      <c r="I22" s="15" cm="1">
        <f t="array" ref="I22">Fertiliser_Equations_Organic.VEERG_5_2_1_1__2_MassOfNitrogenInOrganicFertiliser(G22,H22)</f>
        <v>0</v>
      </c>
    </row>
    <row r="23" spans="1:10" ht="20" customHeight="1" x14ac:dyDescent="0.25">
      <c r="A23" s="5" t="str">
        <f>HYPERLINK("#'Input - Solid waste'!A1", "Solid waste")</f>
        <v>Solid waste</v>
      </c>
      <c r="D23" s="15"/>
      <c r="E23" s="15"/>
      <c r="F23" s="15"/>
      <c r="G23" s="15"/>
      <c r="H23" s="15"/>
      <c r="I23" s="15" cm="1">
        <f t="array" ref="I23">Fertiliser_Equations_Organic.VEERG_5_2_1_1__2_MassOfNitrogenInOrganicFertiliser(G23,H23)</f>
        <v>0</v>
      </c>
    </row>
    <row r="24" spans="1:10" ht="20" customHeight="1" x14ac:dyDescent="0.25">
      <c r="A24" s="5" t="str">
        <f>HYPERLINK("#'Input - Manure sent off-site'!A1", "Manure sent off-site")</f>
        <v>Manure sent off-site</v>
      </c>
      <c r="D24" s="15"/>
      <c r="E24" s="15"/>
      <c r="F24" s="15"/>
      <c r="G24" s="15"/>
      <c r="H24" s="15"/>
      <c r="I24" s="15" cm="1">
        <f t="array" ref="I24">Fertiliser_Equations_Organic.VEERG_5_2_1_1__2_MassOfNitrogenInOrganicFertiliser(G24,H24)</f>
        <v>0</v>
      </c>
    </row>
    <row r="25" spans="1:10" ht="20" customHeight="1" x14ac:dyDescent="0.25">
      <c r="A25" s="5" t="str">
        <f>HYPERLINK("#'Input - Data quality'!A1", "Data quality")</f>
        <v>Data quality</v>
      </c>
      <c r="D25" s="15"/>
      <c r="E25" s="15"/>
      <c r="F25" s="15"/>
      <c r="G25" s="15"/>
      <c r="H25" s="15"/>
      <c r="I25" s="15" cm="1">
        <f t="array" ref="I25">Fertiliser_Equations_Organic.VEERG_5_2_1_1__2_MassOfNitrogenInOrganicFertiliser(G25,H25)</f>
        <v>0</v>
      </c>
    </row>
    <row r="26" spans="1:10" ht="20" customHeight="1" x14ac:dyDescent="0.25">
      <c r="D26" s="15"/>
      <c r="E26" s="15"/>
      <c r="F26" s="15"/>
      <c r="G26" s="15"/>
      <c r="H26" s="15"/>
      <c r="I26" s="15" cm="1">
        <f t="array" ref="I26">Fertiliser_Equations_Organic.VEERG_5_2_1_1__2_MassOfNitrogenInOrganicFertiliser(G26,H26)</f>
        <v>0</v>
      </c>
    </row>
    <row r="27" spans="1:10" ht="20" customHeight="1" x14ac:dyDescent="0.25">
      <c r="D27" s="15"/>
      <c r="E27" s="15"/>
      <c r="F27" s="15"/>
      <c r="G27" s="15"/>
      <c r="H27" s="15"/>
      <c r="I27" s="15" cm="1">
        <f t="array" ref="I27">Fertiliser_Equations_Organic.VEERG_5_2_1_1__2_MassOfNitrogenInOrganicFertiliser(G27,H27)</f>
        <v>0</v>
      </c>
    </row>
    <row r="28" spans="1:10" ht="20" customHeight="1" x14ac:dyDescent="0.25">
      <c r="A28" s="6" t="s">
        <v>2</v>
      </c>
      <c r="D28" s="15"/>
      <c r="E28" s="15"/>
      <c r="F28" s="15"/>
      <c r="G28" s="15"/>
      <c r="H28" s="15"/>
      <c r="I28" s="15" cm="1">
        <f t="array" ref="I28">Fertiliser_Equations_Organic.VEERG_5_2_1_1__2_MassOfNitrogenInOrganicFertiliser(G28,H28)</f>
        <v>0</v>
      </c>
    </row>
    <row r="29" spans="1:10" ht="20" customHeight="1" x14ac:dyDescent="0.25">
      <c r="A29" s="5" t="str">
        <f>HYPERLINK("#'3.2.1.1-2 Enteric Methane'!A1", "3.2.1.1-2 Enteric Methane")</f>
        <v>3.2.1.1-2 Enteric Methane</v>
      </c>
      <c r="D29" s="15"/>
      <c r="E29" s="15"/>
      <c r="F29" s="15"/>
      <c r="G29" s="15"/>
      <c r="H29" s="15"/>
      <c r="I29" s="15" cm="1">
        <f t="array" ref="I29">Fertiliser_Equations_Organic.VEERG_5_2_1_1__2_MassOfNitrogenInOrganicFertiliser(G29,H29)</f>
        <v>0</v>
      </c>
    </row>
    <row r="30" spans="1:10" ht="20" customHeight="1" x14ac:dyDescent="0.25">
      <c r="A30" s="5" t="str">
        <f>HYPERLINK("#'4.2.1.1-2 Methane'!A1", "4.2.1.1-2 Manure methane")</f>
        <v>4.2.1.1-2 Manure methane</v>
      </c>
      <c r="D30" s="15"/>
      <c r="E30" s="15"/>
      <c r="F30" s="15"/>
      <c r="G30" s="15"/>
      <c r="H30" s="15"/>
      <c r="I30" s="15" cm="1">
        <f t="array" ref="I30">Fertiliser_Equations_Organic.VEERG_5_2_1_1__2_MassOfNitrogenInOrganicFertiliser(G30,H30)</f>
        <v>0</v>
      </c>
    </row>
    <row r="31" spans="1:10" ht="20" customHeight="1" x14ac:dyDescent="0.25">
      <c r="A31" s="5" t="str">
        <f>HYPERLINK("#'4.2.1.3-4 Soil direct N20'!A1", "4.2.1.3-4 Soil direct N2O")</f>
        <v>4.2.1.3-4 Soil direct N2O</v>
      </c>
      <c r="D31" s="168"/>
      <c r="E31" s="168"/>
      <c r="F31" s="168"/>
      <c r="G31" s="168"/>
      <c r="H31" s="168"/>
      <c r="I31" s="168"/>
      <c r="J31" s="168"/>
    </row>
    <row r="32" spans="1:10" ht="20" customHeight="1" x14ac:dyDescent="0.25">
      <c r="A32" s="5" t="str">
        <f>HYPERLINK("#'4.2.1.5-6 Soil Atmos Dep'!A1", "4.2.1.5-6 Soil atm. deposition")</f>
        <v>4.2.1.5-6 Soil atm. deposition</v>
      </c>
      <c r="D32" s="93" t="s">
        <v>686</v>
      </c>
      <c r="E32" s="93">
        <f>SUM(I20:I30)</f>
        <v>0</v>
      </c>
      <c r="F32" s="169" t="str">
        <f>$E$11</f>
        <v>kg N</v>
      </c>
      <c r="G32" s="168"/>
      <c r="H32" s="168"/>
      <c r="I32" s="168"/>
      <c r="J32" s="168"/>
    </row>
    <row r="33" spans="1:12" ht="20" customHeight="1" x14ac:dyDescent="0.25">
      <c r="A33" s="5" t="str">
        <f>HYPERLINK("#'4.2.1.7-8 Soil leach runoff'!A1", "4.2.1.7-8 Soil leach &amp; runoff")</f>
        <v>4.2.1.7-8 Soil leach &amp; runoff</v>
      </c>
    </row>
    <row r="34" spans="1:12" ht="20" customHeight="1" x14ac:dyDescent="0.25">
      <c r="A34" s="5" t="str">
        <f>HYPERLINK("#'5.1.1.1-2 Inorganic fert N2O'!A1", "5.1.1.1-2 Inorganic fert N2O")</f>
        <v>5.1.1.1-2 Inorganic fert N2O</v>
      </c>
    </row>
    <row r="35" spans="1:12" ht="20" customHeight="1" x14ac:dyDescent="0.25">
      <c r="A35" s="5" t="str">
        <f>HYPERLINK("#'5.1.1.3-4 Inorganic fert CO2'!A1", "5.1.1.3-4 Inorganic fert CO2")</f>
        <v>5.1.1.3-4 Inorganic fert CO2</v>
      </c>
      <c r="C35" s="170"/>
      <c r="D35" s="170"/>
      <c r="E35" s="170"/>
      <c r="F35" s="170"/>
      <c r="G35" s="170"/>
      <c r="H35" s="170"/>
      <c r="I35" s="170"/>
      <c r="J35" s="170"/>
      <c r="K35" s="170"/>
      <c r="L35" s="170"/>
    </row>
    <row r="36" spans="1:12" ht="20" customHeight="1" x14ac:dyDescent="0.25">
      <c r="A36" s="104" t="str">
        <f>HYPERLINK("#'5.2.1.1-2 Organic Fert N2O'!A1", "5.2.1.1-2 Organic fert N2O")</f>
        <v>5.2.1.1-2 Organic fert N2O</v>
      </c>
      <c r="D36" s="2" t="str" cm="1">
        <f t="array" ref="D36">Fertiliser_Equations_OrganicN2O.VEERG_5_2_1_1__1_OrganicFertiliserApplicationN2OEmissions_Title()</f>
        <v>Nitrous oxide emissions from the application of all organic fertiliser types f to all production systems j</v>
      </c>
    </row>
    <row r="37" spans="1:12" ht="20" customHeight="1" x14ac:dyDescent="0.25">
      <c r="A37" s="5" t="str">
        <f>HYPERLINK("#'5.3.1.1-2 Lime CO2'!A1", "5.3.1.1-2 Lime CO2")</f>
        <v>5.3.1.1-2 Lime CO2</v>
      </c>
      <c r="D37" s="17" t="str" cm="1">
        <f t="array" ref="D37">Fertiliser_Equations_OrganicN2O.VEERG_5_2_1_1__1_OrganicFertiliserApplicationN2OEmissions_Source()</f>
        <v>VEERG 2026: 5.2.1.1, Equation (1)</v>
      </c>
    </row>
    <row r="38" spans="1:12" ht="20" customHeight="1" x14ac:dyDescent="0.25">
      <c r="A38" s="5" t="str">
        <f>HYPERLINK("#'5.4.1.1-4 Atmos deposition'!A1", "5.4.1.1-4 Atmos. deposition")</f>
        <v>5.4.1.1-4 Atmos. deposition</v>
      </c>
      <c r="D38" s="103" t="s">
        <v>372</v>
      </c>
      <c r="E38" s="103" t="str" cm="1">
        <f t="array" aca="1" ref="E38" ca="1">Common_InputFunctions.Utility_DisplayFunctionName($I$20)</f>
        <v>=Fertiliser_Equations_OrganicN2O.VEERG_5_2_1_1__2_MassOfNitrogenInOrganicFertiliser</v>
      </c>
    </row>
    <row r="39" spans="1:12" ht="20" customHeight="1" x14ac:dyDescent="0.25">
      <c r="A39" s="5" t="str">
        <f>HYPERLINK("#'5.5.1.1-2 Leaching and runoff'!A1", "5.5.1.1-2 Leaching &amp; runoff")</f>
        <v>5.5.1.1-2 Leaching &amp; runoff</v>
      </c>
    </row>
    <row r="40" spans="1:12" ht="20" customHeight="1" x14ac:dyDescent="0.25">
      <c r="A40" s="5" t="str">
        <f>HYPERLINK("#'6.2.1.1-2 Pasture residue N2O'!A1", "6.2.1.1-2 Pasture residue N2O")</f>
        <v>6.2.1.1-2 Pasture residue N2O</v>
      </c>
    </row>
    <row r="41" spans="1:12" ht="20" customHeight="1" x14ac:dyDescent="0.25">
      <c r="A41" s="5" t="str">
        <f>HYPERLINK("#'6.3.1.1-2 Leach runoff pasture'!A1", "6.3.1.1-2 Leach &amp; runoff (pasture)")</f>
        <v>6.3.1.1-2 Leach &amp; runoff (pasture)</v>
      </c>
      <c r="D41" s="77" t="s">
        <v>374</v>
      </c>
      <c r="E41" s="1" t="str" cm="1">
        <f t="array" ref="E41">Fertiliser_Equations_OrganicN2O.VEERG_5_2_1_1__1_OrganicFertiliserApplicationN2OEmissions_Variable()</f>
        <v>E_N2O</v>
      </c>
    </row>
    <row r="42" spans="1:12" ht="20" customHeight="1" x14ac:dyDescent="0.25">
      <c r="A42" s="5" t="str">
        <f>HYPERLINK("#'8.1.1.1-2 Transport fuel'!A1", "8.1.1.1-2 Transport fuel")</f>
        <v>8.1.1.1-2 Transport fuel</v>
      </c>
      <c r="D42" s="77" t="s">
        <v>121</v>
      </c>
      <c r="E42" s="9" t="str" cm="1">
        <f t="array" ref="E42">Fertiliser_Equations_OrganicN2O.VEERG_5_2_1_1__1_OrganicFertiliserApplicationN2OEmissions_Unit()</f>
        <v>t N2O</v>
      </c>
    </row>
    <row r="43" spans="1:12" ht="20" customHeight="1" x14ac:dyDescent="0.25">
      <c r="A43" s="5" t="str">
        <f>HYPERLINK("#'8.2.1.1-2 Stationary fuel'!A1", "8.2.1.1-2 Stationary fuel")</f>
        <v>8.2.1.1-2 Stationary fuel</v>
      </c>
    </row>
    <row r="44" spans="1:12" ht="20" customHeight="1" x14ac:dyDescent="0.25">
      <c r="A44" s="5" t="str">
        <f>HYPERLINK("#'10.1.1-2 Solid waste treatment'!A1", "10.1.1.1-2 Solid waste")</f>
        <v>10.1.1.1-2 Solid waste</v>
      </c>
      <c r="D44" s="105" t="str" cm="1">
        <f t="array" ref="D44:E48">_xlfn.CHOOSECOLS(Fertiliser_Equations_OrganicN2O.VEERG_5_2_1_1__1_OrganicFertiliserApplicationN2OEmissions_Arguments(), 1, 2)</f>
        <v>MNSoil_jf</v>
      </c>
      <c r="E44" s="106" t="str">
        <v>mass of nitrogen in organic fertiliser type f applied to production system j</v>
      </c>
      <c r="F44" s="107"/>
      <c r="G44" s="107"/>
      <c r="H44" s="108"/>
      <c r="I44" s="105" t="str" cm="1">
        <f t="array" ref="I44:J48">_xlfn.CHOOSECOLS(Fertiliser_Equations_OrganicN2O.VEERG_5_2_1_1__1_OrganicFertiliserApplicationN2OEmissions_Arguments(), 3,4)</f>
        <v>kg N</v>
      </c>
      <c r="J44" s="110" t="str">
        <v>Calculated from 5.2.1.1 (2)</v>
      </c>
      <c r="K44" s="105">
        <f>$E$32</f>
        <v>0</v>
      </c>
    </row>
    <row r="45" spans="1:12" ht="20" customHeight="1" x14ac:dyDescent="0.25">
      <c r="A45" s="5" t="str">
        <f>HYPERLINK("#'14.1.1-2 Purchased electricity'!A1", "14.1.1-2 Purchased electricity")</f>
        <v>14.1.1-2 Purchased electricity</v>
      </c>
      <c r="D45" s="105" t="str">
        <v>EF_N2Oi</v>
      </c>
      <c r="E45" s="106" t="str">
        <v>emission factor for direct nitrous oxide emissions from organic fertiliser applied to soils and aquatic systems in climate zone i</v>
      </c>
      <c r="F45" s="107"/>
      <c r="G45" s="107"/>
      <c r="H45" s="108"/>
      <c r="I45" s="105" t="str">
        <v>kg N2O-N/kg N</v>
      </c>
      <c r="J45" s="110" t="str">
        <v>Lookup</v>
      </c>
      <c r="K45" s="105">
        <f>Common_InputFunctions.Utility_LookupValueInTableNumber(K48, Table_SourceData_Common_EFOrganicFertCropResidues[Climate Zone],Table_SourceData_Common_EFOrganicFertCropResidues[EFNi &amp; EFN2Oi])</f>
        <v>0</v>
      </c>
    </row>
    <row r="46" spans="1:12" ht="20" customHeight="1" x14ac:dyDescent="0.25">
      <c r="A46" s="5" t="str">
        <f>HYPERLINK("#'15 Scope 3'!A1", "15 Scope 3")</f>
        <v>15 Scope 3</v>
      </c>
      <c r="D46" s="105" t="str">
        <v>C_N2O</v>
      </c>
      <c r="E46" s="106" t="str">
        <v>factor to convert elemental mass of nitrous oxide to molecular mass</v>
      </c>
      <c r="F46" s="107"/>
      <c r="G46" s="107"/>
      <c r="H46" s="108"/>
      <c r="I46" s="105" t="str">
        <v/>
      </c>
      <c r="J46" s="110" t="str">
        <v>Constant</v>
      </c>
      <c r="K46" s="116">
        <f>Common_InputFunctions.Utility_LookupValueInTableNumber("N2O",Table_GasToMolecularConversionFactor[Gas],Table_GasToMolecularConversionFactor[Conversion factor combined])</f>
        <v>1.5714285714285714</v>
      </c>
    </row>
    <row r="47" spans="1:12" ht="20" customHeight="1" x14ac:dyDescent="0.25">
      <c r="A47" s="5" t="str">
        <f>HYPERLINK("#'Calcs - Manure sent off-site'!A1", "Calcs - Manure sent off-site")</f>
        <v>Calcs - Manure sent off-site</v>
      </c>
      <c r="D47" s="105" t="str">
        <v>j</v>
      </c>
      <c r="E47" s="106" t="str">
        <v>Production system</v>
      </c>
      <c r="F47" s="107"/>
      <c r="G47" s="107"/>
      <c r="H47" s="108"/>
      <c r="I47" s="105" t="str">
        <v/>
      </c>
      <c r="J47" s="109" t="str">
        <v>Input</v>
      </c>
      <c r="K47" s="105">
        <f>X_Cell_Fertiliser_ProductionSystem</f>
        <v>0</v>
      </c>
    </row>
    <row r="48" spans="1:12" ht="20" customHeight="1" x14ac:dyDescent="0.25">
      <c r="D48" s="105" t="str">
        <v>i</v>
      </c>
      <c r="E48" s="106" t="str">
        <v>Wet or dry climate zone</v>
      </c>
      <c r="F48" s="107"/>
      <c r="G48" s="107"/>
      <c r="H48" s="108"/>
      <c r="I48" s="105" t="str">
        <v/>
      </c>
      <c r="J48" s="109" t="str">
        <v>Input</v>
      </c>
      <c r="K48" s="105" t="e">
        <f>X_Cell_Site_WetOrDryClimateZone</f>
        <v>#DIV/0!</v>
      </c>
    </row>
    <row r="49" spans="1:7" ht="20" customHeight="1" x14ac:dyDescent="0.25"/>
    <row r="50" spans="1:7" ht="20" customHeight="1" x14ac:dyDescent="0.25">
      <c r="A50" s="85" t="s">
        <v>1</v>
      </c>
      <c r="D50" s="90" t="s">
        <v>660</v>
      </c>
      <c r="E50" s="91" cm="1">
        <f t="array" ref="E50">Fertiliser_Equations_OrganicN2O.VEERG_5_2_1_1__1_OrganicFertiliserApplicationN2OEmissions(K44,K45,K46)</f>
        <v>0</v>
      </c>
      <c r="F50" s="95" t="str">
        <f>$E$42</f>
        <v>t N2O</v>
      </c>
    </row>
    <row r="51" spans="1:7" ht="20" customHeight="1" x14ac:dyDescent="0.25">
      <c r="A51" s="5" t="str">
        <f>HYPERLINK("#'Constants - Pasture Beef'!A1", "Constants - Pasture Beef")</f>
        <v>Constants - Pasture Beef</v>
      </c>
    </row>
    <row r="52" spans="1:7" ht="20" customHeight="1" x14ac:dyDescent="0.25">
      <c r="A52" s="5" t="str">
        <f>HYPERLINK("#'Constants - Ag Residue'!A1", "Constants - Ag residue")</f>
        <v>Constants - Ag residue</v>
      </c>
      <c r="D52" s="116" t="str" cm="1">
        <f t="array" ref="D52:E53">Common_Equations.Common_ConvertN2OToCO2e_Arguments()</f>
        <v>EN2O</v>
      </c>
      <c r="E52" s="117" t="str">
        <v>Nitrous oxide emissions (t N2O)</v>
      </c>
      <c r="F52" s="118"/>
      <c r="G52" s="15">
        <f>VEERG_5_2_1_1__2_MassOfNitrogenInOrganicFertiliser_Result_Method1</f>
        <v>0</v>
      </c>
    </row>
    <row r="53" spans="1:7" ht="20" customHeight="1" x14ac:dyDescent="0.25">
      <c r="A53" s="5" t="str">
        <f>HYPERLINK("#'Constants - Common Livestock'!A1", "Constants - Common Livestock")</f>
        <v>Constants - Common Livestock</v>
      </c>
      <c r="D53" s="116" t="str">
        <v>GWPN2O</v>
      </c>
      <c r="E53" s="117" t="str">
        <v>Global warming potential for nitrous oxide (t CO2-e / t N2O)</v>
      </c>
      <c r="F53" s="118"/>
      <c r="G53" s="15">
        <f>Common_InputFunctions.Utility_LookupValueInTableNumber("N2O",Table_GWPData[Gas],Table_GWPData[CO2-e factor])</f>
        <v>265</v>
      </c>
    </row>
    <row r="54" spans="1:7" ht="20" customHeight="1" x14ac:dyDescent="0.25">
      <c r="A54" s="5" t="str">
        <f>HYPERLINK("#'Constants - Electricity'!A1", "Constants - Electricity")</f>
        <v>Constants - Electricity</v>
      </c>
    </row>
    <row r="55" spans="1:7" ht="20" customHeight="1" x14ac:dyDescent="0.25">
      <c r="A55" s="5" t="str">
        <f>HYPERLINK("#'Constants - Fertiliser'!A1", "Constants - Fertiliser")</f>
        <v>Constants - Fertiliser</v>
      </c>
      <c r="D55" s="87" t="s">
        <v>436</v>
      </c>
      <c r="E55" s="87" cm="1">
        <f t="array" ref="E55">Common_Equations.Common_ConvertN2OToCO2e(G52,G53)</f>
        <v>0</v>
      </c>
      <c r="F55" s="94" t="str" cm="1">
        <f t="array" ref="F55">Common_Equations.Common_ConvertN2OToCO2e_Unit()</f>
        <v>t CO2e</v>
      </c>
    </row>
    <row r="56" spans="1:7" ht="20" customHeight="1" x14ac:dyDescent="0.25">
      <c r="A56" s="5" t="str">
        <f>HYPERLINK("#'Constants - Fuel'!A1", "Constants - Fuel")</f>
        <v>Constants - Fuel</v>
      </c>
    </row>
    <row r="57" spans="1:7" ht="20" customHeight="1" x14ac:dyDescent="0.25">
      <c r="A57" s="5" t="str">
        <f>HYPERLINK("#'Constants - Scope 3'!A1", "Constants - Scope 3")</f>
        <v>Constants - Scope 3</v>
      </c>
    </row>
    <row r="58" spans="1:7" ht="20" customHeight="1" x14ac:dyDescent="0.25">
      <c r="A58" s="5" t="str">
        <f>HYPERLINK("#'Constants - Solid Waste'!A1", "Constants - Solid Waste")</f>
        <v>Constants - Solid Waste</v>
      </c>
    </row>
    <row r="59" spans="1:7" ht="20" customHeight="1" x14ac:dyDescent="0.25">
      <c r="A59" s="5" t="str">
        <f>HYPERLINK("#'Constants - Common'!A1", "Constants - Common")</f>
        <v>Constants - Common</v>
      </c>
    </row>
    <row r="60" spans="1:7" ht="20" customHeight="1" x14ac:dyDescent="0.25">
      <c r="A60" s="5" t="str">
        <f>HYPERLINK("#'Acknowledgements'!A1", "Acknowledgements")</f>
        <v>Acknowledgements</v>
      </c>
    </row>
    <row r="61" spans="1:7" ht="20" customHeight="1" x14ac:dyDescent="0.25"/>
    <row r="62" spans="1:7" ht="20" customHeight="1" x14ac:dyDescent="0.25"/>
    <row r="63" spans="1:7" ht="20" customHeight="1" x14ac:dyDescent="0.25"/>
    <row r="64" spans="1:7"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85DC-188C-4AE1-B199-CE4FF1B533E0}">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687</v>
      </c>
    </row>
    <row r="2" spans="1:21" s="3" customFormat="1" ht="20" customHeight="1" x14ac:dyDescent="0.25">
      <c r="A2"/>
    </row>
    <row r="3" spans="1:21" ht="20"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 customHeight="1" x14ac:dyDescent="0.25">
      <c r="A4" s="5" t="str">
        <f>HYPERLINK("#'Results - Activity period'!A1", "Results - Activity period")</f>
        <v>Results - Activity period</v>
      </c>
    </row>
    <row r="5" spans="1:21" ht="20" customHeight="1" x14ac:dyDescent="0.25">
      <c r="A5" s="5" t="str">
        <f>HYPERLINK("#'Results - Product EI'!A1", "Results - Product Emissions Intensity")</f>
        <v>Results - Product Emissions Intensity</v>
      </c>
      <c r="D5" s="2" t="str" cm="1">
        <f t="array" ref="D5">Fertiliser_Equations_Lime.VEERG_5_3_1_1__1_LimeApplicationCO2Emissions_Title()</f>
        <v>Emissions from the application of lime and dolomite to production systems</v>
      </c>
    </row>
    <row r="6" spans="1:21" ht="20" customHeight="1" x14ac:dyDescent="0.25">
      <c r="D6" s="17" t="str" cm="1">
        <f t="array" ref="D6">Fertiliser_Equations_Lime.VEERG_5_3_1_1__1_LimeApplicationCO2Emissions_Source()</f>
        <v>VEERG 2026: 5.3.1.1, Equation (1)</v>
      </c>
    </row>
    <row r="7" spans="1:21" ht="20" customHeight="1" x14ac:dyDescent="0.25">
      <c r="D7" s="103" t="s">
        <v>372</v>
      </c>
      <c r="E7" s="103" t="str" cm="1">
        <f t="array" aca="1" ref="E7" ca="1">Common_InputFunctions.Utility_DisplayFunctionName(H25)</f>
        <v>=Fertiliser_Equations_Lime.VEERG_5_3_1_1__1_LimeApplicationCO2Emissions</v>
      </c>
    </row>
    <row r="8" spans="1:21" ht="20" customHeight="1" x14ac:dyDescent="0.25">
      <c r="A8" s="7" t="s">
        <v>0</v>
      </c>
    </row>
    <row r="9" spans="1:21" ht="20" customHeight="1" x14ac:dyDescent="0.25">
      <c r="A9" s="5" t="str">
        <f>HYPERLINK("#'Input - Enterprise'!A1", "Enterprise")</f>
        <v>Enterprise</v>
      </c>
    </row>
    <row r="10" spans="1:21" ht="20" customHeight="1" x14ac:dyDescent="0.25">
      <c r="A10" s="5" t="str">
        <f>HYPERLINK("#'Input - Site'!A1", "Site")</f>
        <v>Site</v>
      </c>
      <c r="D10" s="77" t="s">
        <v>374</v>
      </c>
      <c r="E10" s="1" t="str" cm="1">
        <f t="array" ref="E10">Fertiliser_Equations_Lime.VEERG_5_3_1_1__1_LimeApplicationCO2Emissions_Variable()</f>
        <v>E_lime</v>
      </c>
    </row>
    <row r="11" spans="1:21" ht="20" customHeight="1" x14ac:dyDescent="0.25">
      <c r="A11" s="5" t="str">
        <f>HYPERLINK("#'Input - Pasture Beef'!A1", "Pasture Beef")</f>
        <v>Pasture Beef</v>
      </c>
      <c r="D11" s="77" t="s">
        <v>121</v>
      </c>
      <c r="E11" s="9" t="str" cm="1">
        <f t="array" ref="E11">Fertiliser_Equations_Lime.VEERG_5_3_1_1__1_LimeApplicationCO2Emissions_Unit()</f>
        <v>t CO2</v>
      </c>
    </row>
    <row r="12" spans="1:21" ht="20" customHeight="1" x14ac:dyDescent="0.25">
      <c r="A12" s="5" t="str">
        <f>HYPERLINK("#'Input - Livestock sales'!A1", "Livestock sales")</f>
        <v>Livestock sales</v>
      </c>
    </row>
    <row r="13" spans="1:21" ht="20" customHeight="1" x14ac:dyDescent="0.25">
      <c r="A13" s="5" t="str">
        <f>HYPERLINK("#'Input - Beef cattle purchases'!A1", "Beef cattle purchases")</f>
        <v>Beef cattle purchases</v>
      </c>
      <c r="D13" s="105" t="str" cm="1">
        <f t="array" ref="D13:E20">_xlfn.CHOOSECOLS(Fertiliser_Equations_Lime.VEERG_5_3_1_1__1_LimeApplicationCO2Emissions_Arguments(), 1, 2)</f>
        <v>M_lime</v>
      </c>
      <c r="E13" s="106" t="str">
        <v>total mass of lime applied to production system</v>
      </c>
      <c r="F13" s="108"/>
      <c r="G13" s="105" t="str" cm="1">
        <f t="array" ref="G13:H20">_xlfn.CHOOSECOLS(Fertiliser_Equations_Lime.VEERG_5_3_1_1__1_LimeApplicationCO2Emissions_Arguments(), 3,4)</f>
        <v>kg</v>
      </c>
      <c r="H13" s="109" t="str">
        <v>Input</v>
      </c>
      <c r="I13" s="111" t="str" cm="1">
        <f t="array" aca="1" ref="I13" ca="1">HYPERLINK(Common_InputFunctions.Utility_SourceHyperlink($D$22), $D$22)</f>
        <v>Table_E_lime</v>
      </c>
    </row>
    <row r="14" spans="1:21" ht="20" customHeight="1" x14ac:dyDescent="0.25">
      <c r="A14" s="5" t="str">
        <f>HYPERLINK("#'Input - Pasture'!A1", "Pasture")</f>
        <v>Pasture</v>
      </c>
      <c r="D14" s="105" t="str">
        <v>FracLime</v>
      </c>
      <c r="E14" s="106" t="str">
        <v>fraction of lime as limestone (CaCO3)</v>
      </c>
      <c r="F14" s="108"/>
      <c r="G14" s="105" t="str">
        <v>fraction</v>
      </c>
      <c r="H14" s="109" t="str">
        <v>Input</v>
      </c>
      <c r="I14" s="111" t="str" cm="1">
        <f t="array" aca="1" ref="I14" ca="1">HYPERLINK(Common_InputFunctions.Utility_SourceHyperlink($D$22), $D$22)</f>
        <v>Table_E_lime</v>
      </c>
    </row>
    <row r="15" spans="1:21" ht="20" customHeight="1" x14ac:dyDescent="0.25">
      <c r="A15" s="5" t="str">
        <f>HYPERLINK("#'Input - Fert Prod System'!A1", "Fert Prod System")</f>
        <v>Fert Prod System</v>
      </c>
      <c r="D15" s="105" t="str">
        <v>P_lime</v>
      </c>
      <c r="E15" s="106" t="str">
        <v>fractional purity of limestone</v>
      </c>
      <c r="F15" s="108"/>
      <c r="G15" s="105" t="str">
        <v>fraction</v>
      </c>
      <c r="H15" s="110" t="str">
        <v>Constant</v>
      </c>
      <c r="I15" s="105">
        <f>'Constants - Fertiliser'!$E$66</f>
        <v>0.9</v>
      </c>
    </row>
    <row r="16" spans="1:21" ht="20" customHeight="1" x14ac:dyDescent="0.25">
      <c r="A16" s="5" t="str">
        <f>HYPERLINK("#'Input - Fertiliser'!A1", "Fertiliser")</f>
        <v>Fertiliser</v>
      </c>
      <c r="D16" s="105" t="str">
        <v>EF_lime</v>
      </c>
      <c r="E16" s="106" t="str">
        <v>emission factor for limestone fraction of lime</v>
      </c>
      <c r="F16" s="108"/>
      <c r="G16" s="105" t="str">
        <v>kg C/kg</v>
      </c>
      <c r="H16" s="110" t="str">
        <v>Constant</v>
      </c>
      <c r="I16" s="105">
        <f>'Constants - Fertiliser'!$F$66</f>
        <v>0.12</v>
      </c>
    </row>
    <row r="17" spans="1:9" ht="20" customHeight="1" x14ac:dyDescent="0.25">
      <c r="A17" s="5" t="str">
        <f>HYPERLINK("#'Input - Fuel'!A1", "Fuel")</f>
        <v>Fuel</v>
      </c>
      <c r="D17" s="105" t="str">
        <v>FracDol</v>
      </c>
      <c r="E17" s="106" t="str">
        <v>fraction of lime as dolomite</v>
      </c>
      <c r="F17" s="108"/>
      <c r="G17" s="105" t="str">
        <v>fraction</v>
      </c>
      <c r="H17" s="109" t="str">
        <v>Input</v>
      </c>
      <c r="I17" s="111" t="str" cm="1">
        <f t="array" aca="1" ref="I17" ca="1">HYPERLINK(Common_InputFunctions.Utility_SourceHyperlink($D$22), $D$22)</f>
        <v>Table_E_lime</v>
      </c>
    </row>
    <row r="18" spans="1:9" ht="20" customHeight="1" x14ac:dyDescent="0.25">
      <c r="A18" s="5" t="str">
        <f>HYPERLINK("#'Input - Electricity'!A1", "Electricity")</f>
        <v>Electricity</v>
      </c>
      <c r="D18" s="105" t="str">
        <v>P_dol</v>
      </c>
      <c r="E18" s="106" t="str">
        <v>fractional purity of dolomite</v>
      </c>
      <c r="F18" s="108"/>
      <c r="G18" s="105" t="str">
        <v>fraction</v>
      </c>
      <c r="H18" s="110" t="str">
        <v>Constant</v>
      </c>
      <c r="I18" s="105">
        <f>'Constants - Fertiliser'!$E$67</f>
        <v>0.95</v>
      </c>
    </row>
    <row r="19" spans="1:9" ht="20" customHeight="1" x14ac:dyDescent="0.25">
      <c r="A19" s="5" t="str">
        <f>HYPERLINK("#'Input - Common farm inputs'!A1", "Common farm inputs")</f>
        <v>Common farm inputs</v>
      </c>
      <c r="D19" s="105" t="str">
        <v>EF_dol</v>
      </c>
      <c r="E19" s="106" t="str">
        <v>emission factor for dolomite fraction of lime</v>
      </c>
      <c r="F19" s="108"/>
      <c r="G19" s="105" t="str">
        <v>kg C/kg</v>
      </c>
      <c r="H19" s="110" t="str">
        <v>Constant</v>
      </c>
      <c r="I19" s="105">
        <f>'Constants - Fertiliser'!$F$67</f>
        <v>0.13</v>
      </c>
    </row>
    <row r="20" spans="1:9" ht="20" customHeight="1" x14ac:dyDescent="0.25">
      <c r="A20" s="5" t="str">
        <f>HYPERLINK("#'Input - Crop pasture farm input'!A1", "Crop pasture farm input")</f>
        <v>Crop pasture farm input</v>
      </c>
      <c r="D20" s="105" t="str">
        <v>C_CO2</v>
      </c>
      <c r="E20" s="106" t="str">
        <v>factor to convert elemental mass of carbon dioxide to molecular mass</v>
      </c>
      <c r="F20" s="108"/>
      <c r="G20" s="105" t="str">
        <v/>
      </c>
      <c r="H20" s="110" t="str">
        <v>Constant</v>
      </c>
      <c r="I20" s="116">
        <f>Common_InputFunctions.Utility_LookupValueInTableNumber("CO2",Table_GasToMolecularConversionFactor[Gas], Table_GasToMolecularConversionFactor[Conversion factor combined])</f>
        <v>3.6666666666666665</v>
      </c>
    </row>
    <row r="21" spans="1:9" ht="20" customHeight="1" x14ac:dyDescent="0.25">
      <c r="A21" s="5" t="str">
        <f>HYPERLINK("#'Input - Livestock farm Inputs'!A1", "Livestock farm Inputs")</f>
        <v>Livestock farm Inputs</v>
      </c>
    </row>
    <row r="22" spans="1:9" ht="20" customHeight="1" x14ac:dyDescent="0.25">
      <c r="A22" s="5" t="str">
        <f>HYPERLINK("#'Input - Freight'!A1", "Freight")</f>
        <v>Freight</v>
      </c>
      <c r="D22" s="112" t="s">
        <v>688</v>
      </c>
    </row>
    <row r="23" spans="1:9" ht="20" customHeight="1" x14ac:dyDescent="0.25">
      <c r="A23" s="5" t="str">
        <f>HYPERLINK("#'Input - Solid waste'!A1", "Solid waste")</f>
        <v>Solid waste</v>
      </c>
      <c r="D23" s="113" t="s">
        <v>263</v>
      </c>
    </row>
    <row r="24" spans="1:9" ht="20" customHeight="1" x14ac:dyDescent="0.25">
      <c r="A24" s="5" t="str">
        <f>HYPERLINK("#'Input - Manure sent off-site'!A1", "Manure sent off-site")</f>
        <v>Manure sent off-site</v>
      </c>
      <c r="D24" s="82" t="s">
        <v>689</v>
      </c>
      <c r="E24" s="82" t="s">
        <v>690</v>
      </c>
      <c r="F24" s="82" t="s">
        <v>691</v>
      </c>
      <c r="G24" s="82" t="s">
        <v>692</v>
      </c>
      <c r="H24" s="114" t="s">
        <v>693</v>
      </c>
    </row>
    <row r="25" spans="1:9" ht="20" customHeight="1" x14ac:dyDescent="0.25">
      <c r="A25" s="5" t="str">
        <f>HYPERLINK("#'Input - Data quality'!A1", "Data quality")</f>
        <v>Data quality</v>
      </c>
      <c r="D25" s="15" cm="1">
        <f t="array" ref="D25:D27">Table_Input_Lime[Product]</f>
        <v>0</v>
      </c>
      <c r="E25" s="171" cm="1">
        <f t="array" ref="E25:E27">Table_Input_Lime[Total amount applied (t)]*10^3</f>
        <v>0</v>
      </c>
      <c r="F25" s="172" cm="1">
        <f t="array" ref="F25:F27">Table_Input_Lime[Percent Lime CaCO3]</f>
        <v>0</v>
      </c>
      <c r="G25" s="172" cm="1">
        <f t="array" ref="G25:G27">Table_Input_Lime[Percent Dolomite CaMg(CO3)2]</f>
        <v>0</v>
      </c>
      <c r="H25" s="15" cm="1">
        <f t="array" ref="H25">Fertiliser_Equations_Lime.VEERG_5_3_1_1__1_LimeApplicationCO2Emissions(E25,F25,$I$15,$I$16,G25,$I$18,$I$19,$I$20)</f>
        <v>0</v>
      </c>
    </row>
    <row r="26" spans="1:9" ht="20" customHeight="1" x14ac:dyDescent="0.25">
      <c r="D26" s="15">
        <v>0</v>
      </c>
      <c r="E26" s="15">
        <v>0</v>
      </c>
      <c r="F26" s="15">
        <v>0</v>
      </c>
      <c r="G26" s="15">
        <v>0</v>
      </c>
      <c r="H26" s="15" cm="1">
        <f t="array" ref="H26">Fertiliser_Equations_Lime.VEERG_5_3_1_1__1_LimeApplicationCO2Emissions(E26,F26,$I$15,$I$16,G26,$I$18,$I$19,$I$20)</f>
        <v>0</v>
      </c>
    </row>
    <row r="27" spans="1:9" ht="20" customHeight="1" x14ac:dyDescent="0.25">
      <c r="D27" s="15">
        <v>0</v>
      </c>
      <c r="E27" s="15">
        <v>0</v>
      </c>
      <c r="F27" s="15">
        <v>0</v>
      </c>
      <c r="G27" s="15">
        <v>0</v>
      </c>
      <c r="H27" s="15" cm="1">
        <f t="array" ref="H27">Fertiliser_Equations_Lime.VEERG_5_3_1_1__1_LimeApplicationCO2Emissions(E27,F27,$I$15,$I$16,G27,$I$18,$I$19,$I$20)</f>
        <v>0</v>
      </c>
    </row>
    <row r="28" spans="1:9" ht="20" customHeight="1" x14ac:dyDescent="0.25">
      <c r="A28" s="6" t="s">
        <v>2</v>
      </c>
      <c r="D28" s="15"/>
      <c r="E28" s="15"/>
      <c r="F28" s="15"/>
      <c r="G28" s="15"/>
      <c r="H28" s="15" cm="1">
        <f t="array" ref="H28">Fertiliser_Equations_Lime.VEERG_5_3_1_1__1_LimeApplicationCO2Emissions(E28,F28,$I$15,$I$16,G28,$I$18,$I$19,$I$20)</f>
        <v>0</v>
      </c>
    </row>
    <row r="29" spans="1:9" ht="20" customHeight="1" x14ac:dyDescent="0.25">
      <c r="A29" s="5" t="str">
        <f>HYPERLINK("#'3.2.1.1-2 Enteric Methane'!A1", "3.2.1.1-2 Enteric Methane")</f>
        <v>3.2.1.1-2 Enteric Methane</v>
      </c>
      <c r="D29" s="15"/>
      <c r="E29" s="15"/>
      <c r="F29" s="15"/>
      <c r="G29" s="15"/>
      <c r="H29" s="15" cm="1">
        <f t="array" ref="H29">Fertiliser_Equations_Lime.VEERG_5_3_1_1__1_LimeApplicationCO2Emissions(E29,F29,$I$15,$I$16,G29,$I$18,$I$19,$I$20)</f>
        <v>0</v>
      </c>
    </row>
    <row r="30" spans="1:9" ht="20" customHeight="1" x14ac:dyDescent="0.25">
      <c r="A30" s="5" t="str">
        <f>HYPERLINK("#'4.2.1.1-2 Methane'!A1", "4.2.1.1-2 Manure methane")</f>
        <v>4.2.1.1-2 Manure methane</v>
      </c>
    </row>
    <row r="31" spans="1:9" ht="20" customHeight="1" x14ac:dyDescent="0.25">
      <c r="A31" s="5" t="str">
        <f>HYPERLINK("#'4.2.1.3-4 Soil direct N20'!A1", "4.2.1.3-4 Soil direct N2O")</f>
        <v>4.2.1.3-4 Soil direct N2O</v>
      </c>
      <c r="D31" s="90" t="s">
        <v>694</v>
      </c>
      <c r="E31" s="91">
        <f>SUM(H25:H29)</f>
        <v>0</v>
      </c>
      <c r="F31" s="173" t="s">
        <v>133</v>
      </c>
    </row>
    <row r="32" spans="1:9" ht="20" customHeight="1" x14ac:dyDescent="0.25">
      <c r="A32" s="5" t="str">
        <f>HYPERLINK("#'4.2.1.5-6 Soil Atmos Dep'!A1", "4.2.1.5-6 Soil atm. deposition")</f>
        <v>4.2.1.5-6 Soil atm. deposition</v>
      </c>
    </row>
    <row r="33" spans="1:1" ht="20" customHeight="1" x14ac:dyDescent="0.25">
      <c r="A33" s="5" t="str">
        <f>HYPERLINK("#'4.2.1.7-8 Soil leach runoff'!A1", "4.2.1.7-8 Soil leach &amp; runoff")</f>
        <v>4.2.1.7-8 Soil leach &amp; runoff</v>
      </c>
    </row>
    <row r="34" spans="1:1" ht="20" customHeight="1" x14ac:dyDescent="0.25">
      <c r="A34" s="5" t="str">
        <f>HYPERLINK("#'5.1.1.1-2 Inorganic fert N2O'!A1", "5.1.1.1-2 Inorganic fert N2O")</f>
        <v>5.1.1.1-2 Inorganic fert N2O</v>
      </c>
    </row>
    <row r="35" spans="1:1" ht="20" customHeight="1" x14ac:dyDescent="0.25">
      <c r="A35" s="5" t="str">
        <f>HYPERLINK("#'5.1.1.3-4 Inorganic fert CO2'!A1", "5.1.1.3-4 Inorganic fert CO2")</f>
        <v>5.1.1.3-4 Inorganic fert CO2</v>
      </c>
    </row>
    <row r="36" spans="1:1" ht="20" customHeight="1" x14ac:dyDescent="0.25">
      <c r="A36" s="5" t="str">
        <f>HYPERLINK("#'5.2.1.1-2 Organic Fert N2O'!A1", "5.2.1.1-2 Organic fert N2O")</f>
        <v>5.2.1.1-2 Organic fert N2O</v>
      </c>
    </row>
    <row r="37" spans="1:1" ht="20" customHeight="1" x14ac:dyDescent="0.25">
      <c r="A37" s="104" t="str">
        <f>HYPERLINK("#'5.3.1.1-2 Lime CO2'!A1", "5.3.1.1-2 Lime CO2")</f>
        <v>5.3.1.1-2 Lime CO2</v>
      </c>
    </row>
    <row r="38" spans="1:1" ht="20" customHeight="1" x14ac:dyDescent="0.25">
      <c r="A38" s="5" t="str">
        <f>HYPERLINK("#'5.4.1.1-4 Atmos deposition'!A1", "5.4.1.1-4 Atmos. deposition")</f>
        <v>5.4.1.1-4 Atmos. deposition</v>
      </c>
    </row>
    <row r="39" spans="1:1" ht="20" customHeight="1" x14ac:dyDescent="0.25">
      <c r="A39" s="5" t="str">
        <f>HYPERLINK("#'5.5.1.1-2 Leaching and runoff'!A1", "5.5.1.1-2 Leaching &amp; runoff")</f>
        <v>5.5.1.1-2 Leaching &amp; runoff</v>
      </c>
    </row>
    <row r="40" spans="1:1" ht="20" customHeight="1" x14ac:dyDescent="0.25">
      <c r="A40" s="5" t="str">
        <f>HYPERLINK("#'6.2.1.1-2 Pasture residue N2O'!A1", "6.2.1.1-2 Pasture residue N2O")</f>
        <v>6.2.1.1-2 Pasture residue N2O</v>
      </c>
    </row>
    <row r="41" spans="1:1" ht="20" customHeight="1" x14ac:dyDescent="0.25">
      <c r="A41" s="5" t="str">
        <f>HYPERLINK("#'6.3.1.1-2 Leach runoff pasture'!A1", "6.3.1.1-2 Leach &amp; runoff (pasture)")</f>
        <v>6.3.1.1-2 Leach &amp; runoff (pasture)</v>
      </c>
    </row>
    <row r="42" spans="1:1" ht="20" customHeight="1" x14ac:dyDescent="0.25">
      <c r="A42" s="5" t="str">
        <f>HYPERLINK("#'8.1.1.1-2 Transport fuel'!A1", "8.1.1.1-2 Transport fuel")</f>
        <v>8.1.1.1-2 Transport fuel</v>
      </c>
    </row>
    <row r="43" spans="1:1" ht="20" customHeight="1" x14ac:dyDescent="0.25">
      <c r="A43" s="5" t="str">
        <f>HYPERLINK("#'8.2.1.1-2 Stationary fuel'!A1", "8.2.1.1-2 Stationary fuel")</f>
        <v>8.2.1.1-2 Stationary fuel</v>
      </c>
    </row>
    <row r="44" spans="1:1" ht="20" customHeight="1" x14ac:dyDescent="0.25">
      <c r="A44" s="5" t="str">
        <f>HYPERLINK("#'10.1.1-2 Solid waste treatment'!A1", "10.1.1.1-2 Solid waste")</f>
        <v>10.1.1.1-2 Solid waste</v>
      </c>
    </row>
    <row r="45" spans="1:1" ht="20" customHeight="1" x14ac:dyDescent="0.25">
      <c r="A45" s="5" t="str">
        <f>HYPERLINK("#'14.1.1-2 Purchased electricity'!A1", "14.1.1-2 Purchased electricity")</f>
        <v>14.1.1-2 Purchased electricity</v>
      </c>
    </row>
    <row r="46" spans="1:1" ht="20" customHeight="1" x14ac:dyDescent="0.25">
      <c r="A46" s="5" t="str">
        <f>HYPERLINK("#'15 Scope 3'!A1", "15 Scope 3")</f>
        <v>15 Scope 3</v>
      </c>
    </row>
    <row r="47" spans="1:1" ht="20" customHeight="1" x14ac:dyDescent="0.25">
      <c r="A47" s="5" t="str">
        <f>HYPERLINK("#'Calcs - Manure sent off-site'!A1", "Calcs - Manure sent off-site")</f>
        <v>Calcs - Manure sent off-site</v>
      </c>
    </row>
    <row r="48" spans="1:1" ht="20" customHeight="1" x14ac:dyDescent="0.25"/>
    <row r="49" spans="1:1" ht="20" customHeight="1" x14ac:dyDescent="0.25"/>
    <row r="50" spans="1:1" ht="20" customHeight="1" x14ac:dyDescent="0.25">
      <c r="A50" s="85" t="s">
        <v>1</v>
      </c>
    </row>
    <row r="51" spans="1:1" ht="20" customHeight="1" x14ac:dyDescent="0.25">
      <c r="A51" s="5" t="str">
        <f>HYPERLINK("#'Constants - Pasture Beef'!A1", "Constants - Pasture Beef")</f>
        <v>Constants - Pasture Beef</v>
      </c>
    </row>
    <row r="52" spans="1:1" ht="20" customHeight="1" x14ac:dyDescent="0.25">
      <c r="A52" s="5" t="str">
        <f>HYPERLINK("#'Constants - Ag Residue'!A1", "Constants - Ag residue")</f>
        <v>Constants - Ag residue</v>
      </c>
    </row>
    <row r="53" spans="1:1" ht="20" customHeight="1" x14ac:dyDescent="0.25">
      <c r="A53" s="5" t="str">
        <f>HYPERLINK("#'Constants - Common Livestock'!A1", "Constants - Common Livestock")</f>
        <v>Constants - Common Livestock</v>
      </c>
    </row>
    <row r="54" spans="1:1" ht="20" customHeight="1" x14ac:dyDescent="0.25">
      <c r="A54" s="5" t="str">
        <f>HYPERLINK("#'Constants - Electricity'!A1", "Constants - Electricity")</f>
        <v>Constants - Electricity</v>
      </c>
    </row>
    <row r="55" spans="1:1" ht="20" customHeight="1" x14ac:dyDescent="0.25">
      <c r="A55" s="5" t="str">
        <f>HYPERLINK("#'Constants - Fertiliser'!A1", "Constants - Fertiliser")</f>
        <v>Constants - Fertiliser</v>
      </c>
    </row>
    <row r="56" spans="1:1" ht="20" customHeight="1" x14ac:dyDescent="0.25">
      <c r="A56" s="5" t="str">
        <f>HYPERLINK("#'Constants - Fuel'!A1", "Constants - Fuel")</f>
        <v>Constants - Fuel</v>
      </c>
    </row>
    <row r="57" spans="1:1" ht="20" customHeight="1" x14ac:dyDescent="0.25">
      <c r="A57" s="5" t="str">
        <f>HYPERLINK("#'Constants - Scope 3'!A1", "Constants - Scope 3")</f>
        <v>Constants - Scope 3</v>
      </c>
    </row>
    <row r="58" spans="1:1" ht="20" customHeight="1" x14ac:dyDescent="0.25">
      <c r="A58" s="5" t="str">
        <f>HYPERLINK("#'Constants - Solid Waste'!A1", "Constants - Solid Waste")</f>
        <v>Constants - Solid Waste</v>
      </c>
    </row>
    <row r="59" spans="1:1" ht="20" customHeight="1" x14ac:dyDescent="0.25">
      <c r="A59" s="5" t="str">
        <f>HYPERLINK("#'Constants - Common'!A1", "Constants - Common")</f>
        <v>Constants - Common</v>
      </c>
    </row>
    <row r="60" spans="1:1" ht="20" customHeight="1" x14ac:dyDescent="0.25">
      <c r="A60" s="5" t="str">
        <f>HYPERLINK("#'Acknowledgements'!A1", "Acknowledgements")</f>
        <v>Acknowledgements</v>
      </c>
    </row>
    <row r="61" spans="1:1" ht="20" customHeight="1" x14ac:dyDescent="0.25"/>
    <row r="62" spans="1:1" ht="20" customHeight="1" x14ac:dyDescent="0.25"/>
    <row r="63" spans="1:1" ht="20" customHeight="1" x14ac:dyDescent="0.25"/>
    <row r="64" spans="1:1"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C892F-78CA-4B0E-A88F-3B4F83CEFEF4}">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695</v>
      </c>
    </row>
    <row r="2" spans="1:21" s="3" customFormat="1" ht="20" customHeight="1" x14ac:dyDescent="0.25">
      <c r="A2"/>
    </row>
    <row r="3" spans="1:21" ht="20"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 customHeight="1" x14ac:dyDescent="0.25">
      <c r="A4" s="5" t="str">
        <f>HYPERLINK("#'Results - Activity period'!A1", "Results - Activity period")</f>
        <v>Results - Activity period</v>
      </c>
    </row>
    <row r="5" spans="1:21" ht="20" customHeight="1" x14ac:dyDescent="0.25">
      <c r="A5" s="5" t="str">
        <f>HYPERLINK("#'Results - Product EI'!A1", "Results - Product Emissions Intensity")</f>
        <v>Results - Product Emissions Intensity</v>
      </c>
      <c r="D5" s="2" t="str" cm="1">
        <f t="array" ref="D5">Fertiliser_Equations_AtmosphericDeposition.VEERG_5_4_1_1__2_MassOfNitrogenVolatilisedFromInorganicFertiliser_Title()</f>
        <v>Mass of nitrogen volatilised from inorganic fertiliser applied to production system</v>
      </c>
    </row>
    <row r="6" spans="1:21" ht="20" customHeight="1" x14ac:dyDescent="0.25">
      <c r="D6" s="17" t="str" cm="1">
        <f t="array" ref="D6">Fertiliser_Equations_AtmosphericDeposition.VEERG_5_4_1_1__2_MassOfNitrogenVolatilisedFromInorganicFertiliser_Source()</f>
        <v>VEERG 2026: 5.4.1.1, Equation (2)</v>
      </c>
    </row>
    <row r="7" spans="1:21" ht="20" customHeight="1" x14ac:dyDescent="0.25">
      <c r="D7" s="103" t="s">
        <v>372</v>
      </c>
      <c r="E7" s="103" t="str" cm="1">
        <f t="array" aca="1" ref="E7" ca="1">Common_InputFunctions.Utility_DisplayFunctionName(H19)</f>
        <v>=Fertiliser_Equations_AtmosphericDeposition.VEERG_5_4_1_1__2_MassOfNitrogenVolatilisedFromInorganicFertiliser</v>
      </c>
    </row>
    <row r="8" spans="1:21" ht="20" customHeight="1" x14ac:dyDescent="0.25">
      <c r="A8" s="7" t="s">
        <v>0</v>
      </c>
    </row>
    <row r="9" spans="1:21" ht="20" customHeight="1" x14ac:dyDescent="0.25">
      <c r="A9" s="5" t="str">
        <f>HYPERLINK("#'Input - Enterprise'!A1", "Enterprise")</f>
        <v>Enterprise</v>
      </c>
    </row>
    <row r="10" spans="1:21" ht="20" customHeight="1" x14ac:dyDescent="0.25">
      <c r="A10" s="5" t="str">
        <f>HYPERLINK("#'Input - Site'!A1", "Site")</f>
        <v>Site</v>
      </c>
      <c r="D10" s="77" t="s">
        <v>374</v>
      </c>
      <c r="E10" s="1" t="str" cm="1">
        <f t="array" ref="E10">Fertiliser_Equations_AtmosphericDeposition.VEERG_5_4_1_1__2_MassOfNitrogenVolatilisedFromInorganicFertiliser_Variable()</f>
        <v>M_volinorganicjf</v>
      </c>
    </row>
    <row r="11" spans="1:21" ht="20" customHeight="1" x14ac:dyDescent="0.25">
      <c r="A11" s="5" t="str">
        <f>HYPERLINK("#'Input - Pasture Beef'!A1", "Pasture Beef")</f>
        <v>Pasture Beef</v>
      </c>
      <c r="D11" s="77" t="s">
        <v>121</v>
      </c>
      <c r="E11" s="9" t="str" cm="1">
        <f t="array" ref="E11">Fertiliser_Equations_AtmosphericDeposition.VEERG_5_4_1_1__2_MassOfNitrogenVolatilisedFromInorganicFertiliser_Unit()</f>
        <v>kg N</v>
      </c>
    </row>
    <row r="12" spans="1:21" ht="20" customHeight="1" x14ac:dyDescent="0.25">
      <c r="A12" s="5" t="str">
        <f>HYPERLINK("#'Input - Livestock sales'!A1", "Livestock sales")</f>
        <v>Livestock sales</v>
      </c>
    </row>
    <row r="13" spans="1:21" ht="20" customHeight="1" x14ac:dyDescent="0.25">
      <c r="A13" s="5" t="str">
        <f>HYPERLINK("#'Input - Beef cattle purchases'!A1", "Beef cattle purchases")</f>
        <v>Beef cattle purchases</v>
      </c>
      <c r="D13" s="105" t="str" cm="1">
        <f t="array" ref="D13:E14">_xlfn.CHOOSECOLS(Fertiliser_Equations_AtmosphericDeposition.VEERG_5_4_1_1__2_MassOfNitrogenVolatilisedFromInorganicFertiliser_Arguments(), 1, 2)</f>
        <v>MN_jf</v>
      </c>
      <c r="E13" s="106" t="str">
        <v>mass of nitrogen in inorganic fertiliser applied</v>
      </c>
      <c r="F13" s="108"/>
      <c r="G13" s="105" t="str" cm="1">
        <f t="array" ref="G13:H14">_xlfn.CHOOSECOLS(Fertiliser_Equations_AtmosphericDeposition.VEERG_5_4_1_1__2_MassOfNitrogenVolatilisedFromInorganicFertiliser_Arguments(), 3,4)</f>
        <v>kg N</v>
      </c>
      <c r="H13" s="110" t="str">
        <v>Calculated from 5.1.1.1 (2)</v>
      </c>
      <c r="I13" s="111" t="str" cm="1">
        <f t="array" aca="1" ref="I13" ca="1">HYPERLINK(Common_InputFunctions.Utility_SourceHyperlink($D$16),$D$16)</f>
        <v>Table_M_vol_inorganic_j_f</v>
      </c>
    </row>
    <row r="14" spans="1:21" ht="20" customHeight="1" x14ac:dyDescent="0.25">
      <c r="A14" s="5" t="str">
        <f>HYPERLINK("#'Input - Pasture'!A1", "Pasture")</f>
        <v>Pasture</v>
      </c>
      <c r="D14" s="105" t="str">
        <v>FracGASF_f</v>
      </c>
      <c r="E14" s="106" t="str">
        <v>fraction of inorganic fertiliser that volatilises</v>
      </c>
      <c r="F14" s="108"/>
      <c r="G14" s="105" t="str">
        <v>(kg NH3-N + NOx-N)/kg N</v>
      </c>
      <c r="H14" s="110" t="str">
        <v>Constant</v>
      </c>
      <c r="I14" s="111" t="str" cm="1">
        <f t="array" aca="1" ref="I14" ca="1">HYPERLINK(Common_InputFunctions.Utility_SourceHyperlink($D$16),$D$16)</f>
        <v>Table_M_vol_inorganic_j_f</v>
      </c>
    </row>
    <row r="15" spans="1:21" ht="20" customHeight="1" x14ac:dyDescent="0.25">
      <c r="A15" s="5" t="str">
        <f>HYPERLINK("#'Input - Fert Prod System'!A1", "Fert Prod System")</f>
        <v>Fert Prod System</v>
      </c>
    </row>
    <row r="16" spans="1:21" ht="20" customHeight="1" x14ac:dyDescent="0.25">
      <c r="A16" s="5" t="str">
        <f>HYPERLINK("#'Input - Fertiliser'!A1", "Fertiliser")</f>
        <v>Fertiliser</v>
      </c>
      <c r="D16" s="112" t="s">
        <v>696</v>
      </c>
    </row>
    <row r="17" spans="1:8" ht="20" customHeight="1" x14ac:dyDescent="0.25">
      <c r="A17" s="5" t="str">
        <f>HYPERLINK("#'Input - Fuel'!A1", "Fuel")</f>
        <v>Fuel</v>
      </c>
      <c r="D17" s="113" t="s">
        <v>697</v>
      </c>
    </row>
    <row r="18" spans="1:8" ht="20" customHeight="1" x14ac:dyDescent="0.25">
      <c r="A18" s="5" t="str">
        <f>HYPERLINK("#'Input - Electricity'!A1", "Electricity")</f>
        <v>Electricity</v>
      </c>
      <c r="D18" s="114" t="s">
        <v>698</v>
      </c>
      <c r="E18" s="114" t="s">
        <v>699</v>
      </c>
      <c r="F18" s="114" t="s">
        <v>700</v>
      </c>
      <c r="G18" s="174" t="s">
        <v>701</v>
      </c>
      <c r="H18" s="174" t="s">
        <v>702</v>
      </c>
    </row>
    <row r="19" spans="1:8" ht="20" customHeight="1" x14ac:dyDescent="0.25">
      <c r="A19" s="5" t="str">
        <f>HYPERLINK("#'Input - Common farm inputs'!A1", "Common farm inputs")</f>
        <v>Common farm inputs</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 customHeight="1" x14ac:dyDescent="0.25">
      <c r="A20" s="5" t="str">
        <f>HYPERLINK("#'Input - Crop pasture farm input'!A1", "Crop pasture farm input")</f>
        <v>Crop pasture farm input</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 customHeight="1" x14ac:dyDescent="0.25">
      <c r="A21" s="5" t="str">
        <f>HYPERLINK("#'Input - Livestock farm Inputs'!A1", "Livestock farm Inputs")</f>
        <v>Livestock farm Inputs</v>
      </c>
      <c r="D21" s="15" t="str">
        <v>Urea</v>
      </c>
      <c r="E21" s="15">
        <f>INDEX(Table_MN_j_f,4,4)</f>
        <v>0</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0</v>
      </c>
    </row>
    <row r="22" spans="1:8" ht="20" customHeight="1" x14ac:dyDescent="0.25">
      <c r="A22" s="5" t="str">
        <f>HYPERLINK("#'Input - Freight'!A1", "Freight")</f>
        <v>Freight</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 customHeight="1" x14ac:dyDescent="0.25">
      <c r="A23" s="5" t="str">
        <f>HYPERLINK("#'Input - Solid waste'!A1", "Solid waste")</f>
        <v>Solid waste</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 customHeight="1" x14ac:dyDescent="0.25">
      <c r="A24" s="5" t="str">
        <f>HYPERLINK("#'Input - Manure sent off-site'!A1", "Manure sent off-site")</f>
        <v>Manure sent off-site</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 customHeight="1" x14ac:dyDescent="0.25">
      <c r="A25" s="5" t="str">
        <f>HYPERLINK("#'Input - Data quality'!A1", "Data quality")</f>
        <v>Data quality</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 customHeight="1" x14ac:dyDescent="0.25">
      <c r="D26" s="15" t="str">
        <v>Nitrogen - Ammoniacal</v>
      </c>
      <c r="E26" s="15">
        <f>INDEX(Table_MN_j_f,9,4)</f>
        <v>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0</v>
      </c>
    </row>
    <row r="27" spans="1:8" ht="20" customHeight="1" x14ac:dyDescent="0.25">
      <c r="D27" s="15" t="str">
        <v>Nitrogen - Nitrate</v>
      </c>
      <c r="E27" s="15">
        <f>INDEX(Table_MN_j_f,10,4)</f>
        <v>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0</v>
      </c>
    </row>
    <row r="28" spans="1:8" ht="20" customHeight="1" x14ac:dyDescent="0.25">
      <c r="A28" s="6" t="s">
        <v>2</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 customHeight="1" x14ac:dyDescent="0.25">
      <c r="A29" s="5" t="str">
        <f>HYPERLINK("#'3.2.1.1-2 Enteric Methane'!A1", "3.2.1.1-2 Enteric Methane")</f>
        <v>3.2.1.1-2 Enteric Methane</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 customHeight="1" x14ac:dyDescent="0.25">
      <c r="A30" s="5" t="str">
        <f>HYPERLINK("#'4.2.1.1-2 Methane'!A1", "4.2.1.1-2 Manure methane")</f>
        <v>4.2.1.1-2 Manure methane</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 customHeight="1" x14ac:dyDescent="0.25">
      <c r="A31" s="5" t="str">
        <f>HYPERLINK("#'4.2.1.3-4 Soil direct N20'!A1", "4.2.1.3-4 Soil direct N2O")</f>
        <v>4.2.1.3-4 Soil direct N2O</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 customHeight="1" x14ac:dyDescent="0.25">
      <c r="A32" s="5" t="str">
        <f>HYPERLINK("#'4.2.1.5-6 Soil Atmos Dep'!A1", "4.2.1.5-6 Soil atm. deposition")</f>
        <v>4.2.1.5-6 Soil atm. deposition</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 customHeight="1" x14ac:dyDescent="0.25">
      <c r="A33" s="5" t="str">
        <f>HYPERLINK("#'4.2.1.7-8 Soil leach runoff'!A1", "4.2.1.7-8 Soil leach &amp; runoff")</f>
        <v>4.2.1.7-8 Soil leach &amp; runoff</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 customHeight="1" x14ac:dyDescent="0.25">
      <c r="A34" s="5" t="str">
        <f>HYPERLINK("#'5.1.1.1-2 Inorganic fert N2O'!A1", "5.1.1.1-2 Inorganic fert N2O")</f>
        <v>5.1.1.1-2 Inorganic fert N2O</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 customHeight="1" x14ac:dyDescent="0.25">
      <c r="A35" s="5" t="str">
        <f>HYPERLINK("#'5.1.1.3-4 Inorganic fert CO2'!A1", "5.1.1.3-4 Inorganic fert CO2")</f>
        <v>5.1.1.3-4 Inorganic fert CO2</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 customHeight="1" x14ac:dyDescent="0.25">
      <c r="A36" s="5" t="str">
        <f>HYPERLINK("#'5.2.1.1-2 Organic Fert N2O'!A1", "5.2.1.1-2 Organic fert N2O")</f>
        <v>5.2.1.1-2 Organic fert N2O</v>
      </c>
      <c r="D36" s="15" t="str">
        <v>Ammonia</v>
      </c>
      <c r="E36" s="15">
        <f>INDEX(Table_MN_j_f,19,4)</f>
        <v>0</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0</v>
      </c>
    </row>
    <row r="37" spans="1:12" ht="20" customHeight="1" x14ac:dyDescent="0.25">
      <c r="A37" s="5" t="str">
        <f>HYPERLINK("#'5.3.1.1-2 Lime CO2'!A1", "5.3.1.1-2 Lime CO2")</f>
        <v>5.3.1.1-2 Lime CO2</v>
      </c>
      <c r="D37" s="15" t="str">
        <v>Calcium nitrate</v>
      </c>
      <c r="E37" s="15">
        <f>INDEX(Table_MN_j_f,20,4)</f>
        <v>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0</v>
      </c>
    </row>
    <row r="38" spans="1:12" ht="20" customHeight="1" x14ac:dyDescent="0.25">
      <c r="A38" s="104" t="str">
        <f>HYPERLINK("#'5.4.1.1-4 Atmos deposition'!A1", "5.4.1.1-4 Atmos. deposition")</f>
        <v>5.4.1.1-4 Atmos. deposition</v>
      </c>
    </row>
    <row r="39" spans="1:12" ht="20" customHeight="1" x14ac:dyDescent="0.25">
      <c r="A39" s="5" t="str">
        <f>HYPERLINK("#'5.5.1.1-2 Leaching and runoff'!A1", "5.5.1.1-2 Leaching &amp; runoff")</f>
        <v>5.5.1.1-2 Leaching &amp; runoff</v>
      </c>
    </row>
    <row r="40" spans="1:12" ht="20" customHeight="1" x14ac:dyDescent="0.25">
      <c r="A40" s="5" t="str">
        <f>HYPERLINK("#'6.2.1.1-2 Pasture residue N2O'!A1", "6.2.1.1-2 Pasture residue N2O")</f>
        <v>6.2.1.1-2 Pasture residue N2O</v>
      </c>
      <c r="C40" s="170"/>
      <c r="D40" s="170"/>
      <c r="E40" s="170"/>
      <c r="F40" s="170"/>
      <c r="G40" s="170"/>
      <c r="H40" s="170"/>
      <c r="I40" s="170"/>
      <c r="J40" s="170"/>
      <c r="K40" s="170"/>
      <c r="L40" s="170"/>
    </row>
    <row r="41" spans="1:12" ht="20" customHeight="1" x14ac:dyDescent="0.25">
      <c r="A41" s="5" t="str">
        <f>HYPERLINK("#'6.3.1.1-2 Leach runoff pasture'!A1", "6.3.1.1-2 Leach &amp; runoff (pasture)")</f>
        <v>6.3.1.1-2 Leach &amp; runoff (pasture)</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 customHeight="1" x14ac:dyDescent="0.25">
      <c r="A42" s="5" t="str">
        <f>HYPERLINK("#'8.1.1.1-2 Transport fuel'!A1", "8.1.1.1-2 Transport fuel")</f>
        <v>8.1.1.1-2 Transport fuel</v>
      </c>
      <c r="D42" s="17" t="str" cm="1">
        <f t="array" ref="D42">Fertiliser_Equations_AtmosphericDeposition.VEERG_5_4_1_1__1_InorganicFertiliserAtmosphericDepositionN2OEmissions_Source()</f>
        <v>VEERG 2026: 5.4.1.1, Equation (1)</v>
      </c>
    </row>
    <row r="43" spans="1:12" ht="20" customHeight="1" x14ac:dyDescent="0.25">
      <c r="A43" s="5" t="str">
        <f>HYPERLINK("#'8.2.1.1-2 Stationary fuel'!A1", "8.2.1.1-2 Stationary fuel")</f>
        <v>8.2.1.1-2 Stationary fuel</v>
      </c>
      <c r="D43" s="103" t="s">
        <v>372</v>
      </c>
      <c r="E43" s="103" t="str" cm="1">
        <f t="array" aca="1" ref="E43" ca="1">Common_InputFunctions.Utility_DisplayFunctionName(F59)</f>
        <v>=Fertiliser_Equations_AtmosphericDeposition.VEERG_5_4_1_1__1_InorganicFertiliserAtmosphericDepositionN2OEmissions</v>
      </c>
    </row>
    <row r="44" spans="1:12" ht="20" customHeight="1" x14ac:dyDescent="0.25">
      <c r="A44" s="5" t="str">
        <f>HYPERLINK("#'10.1.1-2 Solid waste treatment'!A1", "10.1.1.1-2 Solid waste")</f>
        <v>10.1.1.1-2 Solid waste</v>
      </c>
    </row>
    <row r="45" spans="1:12" ht="20" customHeight="1" x14ac:dyDescent="0.25">
      <c r="A45" s="5" t="str">
        <f>HYPERLINK("#'14.1.1-2 Purchased electricity'!A1", "14.1.1-2 Purchased electricity")</f>
        <v>14.1.1-2 Purchased electricity</v>
      </c>
    </row>
    <row r="46" spans="1:12" ht="20" customHeight="1" x14ac:dyDescent="0.25">
      <c r="A46" s="5" t="str">
        <f>HYPERLINK("#'15 Scope 3'!A1", "15 Scope 3")</f>
        <v>15 Scope 3</v>
      </c>
      <c r="D46" s="77" t="s">
        <v>374</v>
      </c>
      <c r="E46" s="1" t="str" cm="1">
        <f t="array" ref="E46">Fertiliser_Equations_AtmosphericDeposition.VEERG_5_4_1_1__1_InorganicFertiliserAtmosphericDepositionN2OEmissions_Variable()</f>
        <v>E_adinorganic</v>
      </c>
    </row>
    <row r="47" spans="1:12" ht="20" customHeight="1" x14ac:dyDescent="0.25">
      <c r="A47" s="5" t="str">
        <f>HYPERLINK("#'Calcs - Manure sent off-site'!A1", "Calcs - Manure sent off-site")</f>
        <v>Calcs - Manure sent off-site</v>
      </c>
      <c r="D47" s="77" t="s">
        <v>121</v>
      </c>
      <c r="E47" s="9" t="str" cm="1">
        <f t="array" ref="E47">Fertiliser_Equations_AtmosphericDeposition.VEERG_5_4_1_1__1_InorganicFertiliserAtmosphericDepositionN2OEmissions_Unit()</f>
        <v>t N2O</v>
      </c>
    </row>
    <row r="48" spans="1:12" ht="20" customHeight="1" x14ac:dyDescent="0.25"/>
    <row r="49" spans="1:10" ht="20" customHeight="1" x14ac:dyDescent="0.25">
      <c r="D49" s="105" t="str" cm="1">
        <f t="array" ref="D49:E54">_xlfn.CHOOSECOLS(Fertiliser_Equations_AtmosphericDeposition.VEERG_5_4_1_1__1_InorganicFertiliserAtmosphericDepositionN2OEmissions_Arguments(), 1, 2)</f>
        <v>M_volinorganicjf</v>
      </c>
      <c r="E49" s="106" t="str">
        <v>mass of nitrogen volatilised from inorganic fertiliser applied to production system</v>
      </c>
      <c r="F49" s="107"/>
      <c r="G49" s="108"/>
      <c r="H49" s="105" t="str" cm="1">
        <f t="array" ref="H49:I54">_xlfn.CHOOSECOLS(Fertiliser_Equations_AtmosphericDeposition.VEERG_5_4_1_1__1_InorganicFertiliserAtmosphericDepositionN2OEmissions_Arguments(), 3,4)</f>
        <v>kg N</v>
      </c>
      <c r="I49" s="110" t="str">
        <v>Calculated from 5.4.1.1 (2)</v>
      </c>
      <c r="J49" s="111" t="str" cm="1">
        <f t="array" aca="1" ref="J49" ca="1">HYPERLINK(Common_InputFunctions.Utility_SourceHyperlink($D$16),$D$16)</f>
        <v>Table_M_vol_inorganic_j_f</v>
      </c>
    </row>
    <row r="50" spans="1:10" ht="20" customHeight="1" x14ac:dyDescent="0.25">
      <c r="A50" s="85" t="s">
        <v>1</v>
      </c>
      <c r="D50" s="105" t="str">
        <v>EF_N2Oj</v>
      </c>
      <c r="E50" s="106" t="str">
        <v>emission factor for atmospheric deposition</v>
      </c>
      <c r="F50" s="107"/>
      <c r="G50" s="108"/>
      <c r="H50" s="105" t="str">
        <v>kg N2O-N/kg N</v>
      </c>
      <c r="I50" s="110" t="str">
        <v>Constant</v>
      </c>
      <c r="J50" s="105" t="e">
        <f>Common_InputFunctions.Utility_LookupN2OEFFromProdIrrigationRainfall(J52,J53,J54,Table_SourceData_Common_EFN2O[Production system only],Table_SourceData_Common_EFN2O[Irrigation method],Table_SourceData_Common_EFN2O[Rainfall zone],Table_SourceData_Common_EFN2O[EFN2O])</f>
        <v>#N/A</v>
      </c>
    </row>
    <row r="51" spans="1:10" ht="20" customHeight="1" x14ac:dyDescent="0.25">
      <c r="A51" s="5" t="str">
        <f>HYPERLINK("#'Constants - Pasture Beef'!A1", "Constants - Pasture Beef")</f>
        <v>Constants - Pasture Beef</v>
      </c>
      <c r="D51" s="105" t="str">
        <v>C_N2O</v>
      </c>
      <c r="E51" s="106" t="str">
        <v>factor to convert elemental mass of nitrous oxide to molecular mass</v>
      </c>
      <c r="F51" s="107"/>
      <c r="G51" s="108"/>
      <c r="H51" s="105" t="str">
        <v/>
      </c>
      <c r="I51" s="110" t="str">
        <v>Constant</v>
      </c>
      <c r="J51" s="116">
        <f>Common_InputFunctions.Utility_LookupValueInTableNumber("N2O",Table_GasToMolecularConversionFactor[Gas],Table_GasToMolecularConversionFactor[Conversion factor combined])</f>
        <v>1.5714285714285714</v>
      </c>
    </row>
    <row r="52" spans="1:10" ht="20" customHeight="1" x14ac:dyDescent="0.25">
      <c r="A52" s="5" t="str">
        <f>HYPERLINK("#'Constants - Ag Residue'!A1", "Constants - Ag residue")</f>
        <v>Constants - Ag residue</v>
      </c>
      <c r="D52" s="105" t="str">
        <v>j</v>
      </c>
      <c r="E52" s="106" t="str">
        <v>Production system</v>
      </c>
      <c r="F52" s="107"/>
      <c r="G52" s="108"/>
      <c r="H52" s="105" t="str">
        <v/>
      </c>
      <c r="I52" s="109" t="str">
        <v>Input</v>
      </c>
      <c r="J52" s="105">
        <f>X_Cell_Fertiliser_ProductionSystem</f>
        <v>0</v>
      </c>
    </row>
    <row r="53" spans="1:10" ht="20" customHeight="1" x14ac:dyDescent="0.25">
      <c r="A53" s="5" t="str">
        <f>HYPERLINK("#'Constants - Common Livestock'!A1", "Constants - Common Livestock")</f>
        <v>Constants - Common Livestock</v>
      </c>
      <c r="D53" s="105" t="str">
        <v>ir</v>
      </c>
      <c r="E53" s="106" t="str">
        <v>irrigation method</v>
      </c>
      <c r="F53" s="107"/>
      <c r="G53" s="108"/>
      <c r="H53" s="105" t="str">
        <v/>
      </c>
      <c r="I53" s="109" t="str">
        <v>Input</v>
      </c>
      <c r="J53" s="105">
        <f>X_Cell_Fertiliser_IrrigationMethod</f>
        <v>0</v>
      </c>
    </row>
    <row r="54" spans="1:10" ht="20" customHeight="1" x14ac:dyDescent="0.25">
      <c r="A54" s="5" t="str">
        <f>HYPERLINK("#'Constants - Electricity'!A1", "Constants - Electricity")</f>
        <v>Constants - Electricity</v>
      </c>
      <c r="D54" s="105" t="str">
        <v>r</v>
      </c>
      <c r="E54" s="106" t="str">
        <v>rainfall region</v>
      </c>
      <c r="F54" s="107"/>
      <c r="G54" s="108"/>
      <c r="H54" s="105" t="str">
        <v/>
      </c>
      <c r="I54" s="109" t="str">
        <v>Input</v>
      </c>
      <c r="J54" s="105" t="str">
        <f>X_Cell_Site_RainfallZone</f>
        <v>Low rainfall</v>
      </c>
    </row>
    <row r="55" spans="1:10" ht="20" customHeight="1" x14ac:dyDescent="0.25">
      <c r="A55" s="5" t="str">
        <f>HYPERLINK("#'Constants - Fertiliser'!A1", "Constants - Fertiliser")</f>
        <v>Constants - Fertiliser</v>
      </c>
    </row>
    <row r="56" spans="1:10" ht="20" customHeight="1" x14ac:dyDescent="0.25">
      <c r="A56" s="5" t="str">
        <f>HYPERLINK("#'Constants - Fuel'!A1", "Constants - Fuel")</f>
        <v>Constants - Fuel</v>
      </c>
      <c r="D56" s="112" t="s">
        <v>703</v>
      </c>
    </row>
    <row r="57" spans="1:10" ht="20" customHeight="1" x14ac:dyDescent="0.25">
      <c r="A57" s="5" t="str">
        <f>HYPERLINK("#'Constants - Scope 3'!A1", "Constants - Scope 3")</f>
        <v>Constants - Scope 3</v>
      </c>
      <c r="D57" s="113" t="s">
        <v>704</v>
      </c>
    </row>
    <row r="58" spans="1:10" ht="20" customHeight="1" x14ac:dyDescent="0.25">
      <c r="A58" s="5" t="str">
        <f>HYPERLINK("#'Constants - Solid Waste'!A1", "Constants - Solid Waste")</f>
        <v>Constants - Solid Waste</v>
      </c>
      <c r="D58" s="114" t="s">
        <v>698</v>
      </c>
      <c r="E58" s="174" t="s">
        <v>702</v>
      </c>
      <c r="F58" s="174" t="s">
        <v>705</v>
      </c>
    </row>
    <row r="59" spans="1:10" ht="20" customHeight="1" x14ac:dyDescent="0.25">
      <c r="A59" s="5" t="str">
        <f>HYPERLINK("#'Constants - Common'!A1", "Constants - Common")</f>
        <v>Constants - Common</v>
      </c>
      <c r="D59" s="15" t="str" cm="1">
        <f t="array" ref="D59:D77">Table_Fertiliser_ChemicalCompounds[Fertiliser type f]</f>
        <v>Monoammonium phosphate (MAP)</v>
      </c>
      <c r="E59" s="15">
        <f t="shared" ref="E59:E77" si="0">H19</f>
        <v>0</v>
      </c>
      <c r="F59" s="15" t="e" cm="1">
        <f t="array" ref="F59">Fertiliser_Equations_AtmosphericDeposition.VEERG_5_4_1_1__1_InorganicFertiliserAtmosphericDepositionN2OEmissions(E59,$J$50,$J$51)</f>
        <v>#N/A</v>
      </c>
      <c r="G59" s="16" t="str">
        <f>E47</f>
        <v>t N2O</v>
      </c>
    </row>
    <row r="60" spans="1:10" ht="20" customHeight="1" x14ac:dyDescent="0.25">
      <c r="A60" s="5" t="str">
        <f>HYPERLINK("#'Acknowledgements'!A1", "Acknowledgements")</f>
        <v>Acknowledgements</v>
      </c>
      <c r="D60" s="15" t="str">
        <v>Diammonium phosphate (DAP)</v>
      </c>
      <c r="E60" s="15">
        <f t="shared" si="0"/>
        <v>0</v>
      </c>
      <c r="F60" s="15" t="e" cm="1">
        <f t="array" ref="F60">Fertiliser_Equations_AtmosphericDeposition.VEERG_5_4_1_1__1_InorganicFertiliserAtmosphericDepositionN2OEmissions(E60,$J$50,$J$51)</f>
        <v>#N/A</v>
      </c>
    </row>
    <row r="61" spans="1:10" ht="20" customHeight="1" x14ac:dyDescent="0.25">
      <c r="D61" s="15" t="str">
        <v>Urea</v>
      </c>
      <c r="E61" s="15">
        <f t="shared" si="0"/>
        <v>0</v>
      </c>
      <c r="F61" s="15" t="e" cm="1">
        <f t="array" ref="F61">Fertiliser_Equations_AtmosphericDeposition.VEERG_5_4_1_1__1_InorganicFertiliserAtmosphericDepositionN2OEmissions(E61,$J$50,$J$51)</f>
        <v>#N/A</v>
      </c>
    </row>
    <row r="62" spans="1:10" ht="20" customHeight="1" x14ac:dyDescent="0.25">
      <c r="D62" s="15" t="str">
        <v>Sulphate of ammonia (SOA)</v>
      </c>
      <c r="E62" s="15">
        <f t="shared" si="0"/>
        <v>0</v>
      </c>
      <c r="F62" s="15" t="e" cm="1">
        <f t="array" ref="F62">Fertiliser_Equations_AtmosphericDeposition.VEERG_5_4_1_1__1_InorganicFertiliserAtmosphericDepositionN2OEmissions(E62,$J$50,$J$51)</f>
        <v>#N/A</v>
      </c>
    </row>
    <row r="63" spans="1:10" ht="20" customHeight="1" x14ac:dyDescent="0.25">
      <c r="D63" s="15" t="str">
        <v>Urea-ammonium nitrate (UAN)</v>
      </c>
      <c r="E63" s="15">
        <f t="shared" si="0"/>
        <v>0</v>
      </c>
      <c r="F63" s="15" t="e" cm="1">
        <f t="array" ref="F63">Fertiliser_Equations_AtmosphericDeposition.VEERG_5_4_1_1__1_InorganicFertiliserAtmosphericDepositionN2OEmissions(E63,$J$50,$J$51)</f>
        <v>#N/A</v>
      </c>
    </row>
    <row r="64" spans="1:10" ht="20" customHeight="1" x14ac:dyDescent="0.25">
      <c r="D64" s="15" t="str">
        <v>Ammonium nitrate (AN)</v>
      </c>
      <c r="E64" s="15">
        <f t="shared" si="0"/>
        <v>0</v>
      </c>
      <c r="F64" s="15" t="e" cm="1">
        <f t="array" ref="F64">Fertiliser_Equations_AtmosphericDeposition.VEERG_5_4_1_1__1_InorganicFertiliserAtmosphericDepositionN2OEmissions(E64,$J$50,$J$51)</f>
        <v>#N/A</v>
      </c>
    </row>
    <row r="65" spans="4:6" ht="20" customHeight="1" x14ac:dyDescent="0.25">
      <c r="D65" s="15" t="str">
        <v>Calcium ammonium nitrate (CAN)</v>
      </c>
      <c r="E65" s="15">
        <f t="shared" si="0"/>
        <v>0</v>
      </c>
      <c r="F65" s="15" t="e" cm="1">
        <f t="array" ref="F65">Fertiliser_Equations_AtmosphericDeposition.VEERG_5_4_1_1__1_InorganicFertiliserAtmosphericDepositionN2OEmissions(E65,$J$50,$J$51)</f>
        <v>#N/A</v>
      </c>
    </row>
    <row r="66" spans="4:6" ht="20" customHeight="1" x14ac:dyDescent="0.25">
      <c r="D66" s="15" t="str">
        <v>Nitrogen - Ammoniacal</v>
      </c>
      <c r="E66" s="15">
        <f t="shared" si="0"/>
        <v>0</v>
      </c>
      <c r="F66" s="15" t="e" cm="1">
        <f t="array" ref="F66">Fertiliser_Equations_AtmosphericDeposition.VEERG_5_4_1_1__1_InorganicFertiliserAtmosphericDepositionN2OEmissions(E66,$J$50,$J$51)</f>
        <v>#N/A</v>
      </c>
    </row>
    <row r="67" spans="4:6" ht="20" customHeight="1" x14ac:dyDescent="0.25">
      <c r="D67" s="15" t="str">
        <v>Nitrogen - Nitrate</v>
      </c>
      <c r="E67" s="15">
        <f t="shared" si="0"/>
        <v>0</v>
      </c>
      <c r="F67" s="15" t="e" cm="1">
        <f t="array" ref="F67">Fertiliser_Equations_AtmosphericDeposition.VEERG_5_4_1_1__1_InorganicFertiliserAtmosphericDepositionN2OEmissions(E67,$J$50,$J$51)</f>
        <v>#N/A</v>
      </c>
    </row>
    <row r="68" spans="4:6" ht="20" customHeight="1" x14ac:dyDescent="0.25">
      <c r="D68" s="15" t="str">
        <v>Nitrogen - Generic</v>
      </c>
      <c r="E68" s="15">
        <f t="shared" si="0"/>
        <v>0</v>
      </c>
      <c r="F68" s="15" t="e" cm="1">
        <f t="array" ref="F68">Fertiliser_Equations_AtmosphericDeposition.VEERG_5_4_1_1__1_InorganicFertiliserAtmosphericDepositionN2OEmissions(E68,$J$50,$J$51)</f>
        <v>#N/A</v>
      </c>
    </row>
    <row r="69" spans="4:6" ht="20" customHeight="1" x14ac:dyDescent="0.25">
      <c r="D69" s="15" t="str">
        <v>Phosphorus - Generic</v>
      </c>
      <c r="E69" s="15">
        <f t="shared" si="0"/>
        <v>0</v>
      </c>
      <c r="F69" s="15" t="e" cm="1">
        <f t="array" ref="F69">Fertiliser_Equations_AtmosphericDeposition.VEERG_5_4_1_1__1_InorganicFertiliserAtmosphericDepositionN2OEmissions(E69,$J$50,$J$51)</f>
        <v>#N/A</v>
      </c>
    </row>
    <row r="70" spans="4:6" ht="20" customHeight="1" x14ac:dyDescent="0.25">
      <c r="D70" s="15" t="str">
        <v>Potassium - Generic</v>
      </c>
      <c r="E70" s="15">
        <f t="shared" si="0"/>
        <v>0</v>
      </c>
      <c r="F70" s="15" t="e" cm="1">
        <f t="array" ref="F70">Fertiliser_Equations_AtmosphericDeposition.VEERG_5_4_1_1__1_InorganicFertiliserAtmosphericDepositionN2OEmissions(E70,$J$50,$J$51)</f>
        <v>#N/A</v>
      </c>
    </row>
    <row r="71" spans="4:6" ht="20" customHeight="1" x14ac:dyDescent="0.25">
      <c r="D71" s="15" t="str">
        <v>Sulfur - Generic</v>
      </c>
      <c r="E71" s="15">
        <f t="shared" si="0"/>
        <v>0</v>
      </c>
      <c r="F71" s="15" t="e" cm="1">
        <f t="array" ref="F71">Fertiliser_Equations_AtmosphericDeposition.VEERG_5_4_1_1__1_InorganicFertiliserAtmosphericDepositionN2OEmissions(E71,$J$50,$J$51)</f>
        <v>#N/A</v>
      </c>
    </row>
    <row r="72" spans="4:6" ht="20" customHeight="1" x14ac:dyDescent="0.25">
      <c r="D72" s="15" t="str">
        <v>Zinc - Generic</v>
      </c>
      <c r="E72" s="15">
        <f t="shared" si="0"/>
        <v>0</v>
      </c>
      <c r="F72" s="15" t="e" cm="1">
        <f t="array" ref="F72">Fertiliser_Equations_AtmosphericDeposition.VEERG_5_4_1_1__1_InorganicFertiliserAtmosphericDepositionN2OEmissions(E72,$J$50,$J$51)</f>
        <v>#N/A</v>
      </c>
    </row>
    <row r="73" spans="4:6" ht="20" customHeight="1" x14ac:dyDescent="0.25">
      <c r="D73" s="15" t="str">
        <v>Muriate of potash (MOP)</v>
      </c>
      <c r="E73" s="15">
        <f t="shared" si="0"/>
        <v>0</v>
      </c>
      <c r="F73" s="15" t="e" cm="1">
        <f t="array" ref="F73">Fertiliser_Equations_AtmosphericDeposition.VEERG_5_4_1_1__1_InorganicFertiliserAtmosphericDepositionN2OEmissions(E73,$J$50,$J$51)</f>
        <v>#N/A</v>
      </c>
    </row>
    <row r="74" spans="4:6" ht="20" customHeight="1" x14ac:dyDescent="0.25">
      <c r="D74" s="15" t="str">
        <v>Double superphosphate</v>
      </c>
      <c r="E74" s="15">
        <f t="shared" si="0"/>
        <v>0</v>
      </c>
      <c r="F74" s="15" t="e" cm="1">
        <f t="array" ref="F74">Fertiliser_Equations_AtmosphericDeposition.VEERG_5_4_1_1__1_InorganicFertiliserAtmosphericDepositionN2OEmissions(E74,$J$50,$J$51)</f>
        <v>#N/A</v>
      </c>
    </row>
    <row r="75" spans="4:6" ht="20" customHeight="1" x14ac:dyDescent="0.25">
      <c r="D75" s="15" t="str">
        <v>Single superphosphate (SSP)</v>
      </c>
      <c r="E75" s="15">
        <f t="shared" si="0"/>
        <v>0</v>
      </c>
      <c r="F75" s="15" t="e" cm="1">
        <f t="array" ref="F75">Fertiliser_Equations_AtmosphericDeposition.VEERG_5_4_1_1__1_InorganicFertiliserAtmosphericDepositionN2OEmissions(E75,$J$50,$J$51)</f>
        <v>#N/A</v>
      </c>
    </row>
    <row r="76" spans="4:6" ht="20" customHeight="1" x14ac:dyDescent="0.25">
      <c r="D76" s="15" t="str">
        <v>Ammonia</v>
      </c>
      <c r="E76" s="15">
        <f t="shared" si="0"/>
        <v>0</v>
      </c>
      <c r="F76" s="15" t="e" cm="1">
        <f t="array" ref="F76">Fertiliser_Equations_AtmosphericDeposition.VEERG_5_4_1_1__1_InorganicFertiliserAtmosphericDepositionN2OEmissions(E76,$J$50,$J$51)</f>
        <v>#N/A</v>
      </c>
    </row>
    <row r="77" spans="4:6" ht="20" customHeight="1" x14ac:dyDescent="0.25">
      <c r="D77" s="15" t="str">
        <v>Calcium nitrate</v>
      </c>
      <c r="E77" s="15">
        <f t="shared" si="0"/>
        <v>0</v>
      </c>
      <c r="F77" s="15" t="e" cm="1">
        <f t="array" ref="F77">Fertiliser_Equations_AtmosphericDeposition.VEERG_5_4_1_1__1_InorganicFertiliserAtmosphericDepositionN2OEmissions(E77,$J$50,$J$51)</f>
        <v>#N/A</v>
      </c>
    </row>
    <row r="78" spans="4:6" ht="20" customHeight="1" x14ac:dyDescent="0.25"/>
    <row r="79" spans="4:6" ht="20" customHeight="1" x14ac:dyDescent="0.25">
      <c r="D79" s="90" t="s">
        <v>706</v>
      </c>
      <c r="E79" s="91" t="e">
        <f>SUM(F59:F77)</f>
        <v>#N/A</v>
      </c>
      <c r="F79" s="95" t="str">
        <f>$E$47</f>
        <v>t N2O</v>
      </c>
    </row>
    <row r="80" spans="4:6" ht="20" customHeight="1" x14ac:dyDescent="0.25"/>
    <row r="81" spans="3:12" ht="20" customHeight="1" x14ac:dyDescent="0.25">
      <c r="D81" s="116" t="str" cm="1">
        <f t="array" ref="D81:E82">Common_Equations.Common_ConvertN2OToCO2e_Arguments()</f>
        <v>EN2O</v>
      </c>
      <c r="E81" s="117" t="str">
        <v>Nitrous oxide emissions (t N2O)</v>
      </c>
      <c r="F81" s="118"/>
      <c r="G81" s="15" t="e">
        <f>VEERG_5_4_1_1__1_InorganicFertiliserAtmosphericDepositionN2OEmissions_Result_Method1</f>
        <v>#N/A</v>
      </c>
    </row>
    <row r="82" spans="3:12" ht="20" customHeight="1" x14ac:dyDescent="0.25">
      <c r="D82" s="116" t="str">
        <v>GWPN2O</v>
      </c>
      <c r="E82" s="117" t="str">
        <v>Global warming potential for nitrous oxide (t CO2-e / t N2O)</v>
      </c>
      <c r="F82" s="118"/>
      <c r="G82" s="15">
        <f>Common_InputFunctions.Utility_LookupValueInTableNumber("N2O",Table_GWPData[Gas],Table_GWPData[CO2-e factor])</f>
        <v>265</v>
      </c>
    </row>
    <row r="83" spans="3:12" ht="20" customHeight="1" x14ac:dyDescent="0.25"/>
    <row r="84" spans="3:12" ht="20" customHeight="1" x14ac:dyDescent="0.25">
      <c r="D84" s="87" t="s">
        <v>436</v>
      </c>
      <c r="E84" s="87" t="e" cm="1">
        <f t="array" ref="E84">Common_Equations.Common_ConvertN2OToCO2e(G81,G82)</f>
        <v>#N/A</v>
      </c>
      <c r="F84" s="94" t="str" cm="1">
        <f t="array" ref="F84">Common_Equations.Common_ConvertN2OToCO2e_Unit()</f>
        <v>t CO2e</v>
      </c>
    </row>
    <row r="85" spans="3:12" ht="20" customHeight="1" x14ac:dyDescent="0.25"/>
    <row r="86" spans="3:12" ht="20" customHeight="1" x14ac:dyDescent="0.25"/>
    <row r="87" spans="3:12" ht="20" customHeight="1" x14ac:dyDescent="0.25">
      <c r="C87" s="170"/>
      <c r="D87" s="170"/>
      <c r="E87" s="170"/>
      <c r="F87" s="170"/>
      <c r="G87" s="170"/>
      <c r="H87" s="170"/>
      <c r="I87" s="170"/>
      <c r="J87" s="170"/>
      <c r="K87" s="170"/>
      <c r="L87" s="170"/>
    </row>
    <row r="88" spans="3:12" ht="20"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 customHeight="1" x14ac:dyDescent="0.25">
      <c r="D89" s="17" t="str" cm="1">
        <f t="array" ref="D89">Fertiliser_Equations_AtmosphericDeposition.VEERG_5_4_1_3__2_MassOfNitrogenVolatilisedFromOrganicFertiliser_Source()</f>
        <v>VEERG 2026: 5.4.1.3, Equation (2)</v>
      </c>
    </row>
    <row r="90" spans="3:12" ht="20" customHeight="1" x14ac:dyDescent="0.25">
      <c r="D90" s="103" t="s">
        <v>372</v>
      </c>
      <c r="E90" s="103" t="str" cm="1">
        <f t="array" aca="1" ref="E90" ca="1">Common_InputFunctions.Utility_DisplayFunctionName(F102)</f>
        <v>=Fertiliser_Equations_AtmosphericDeposition.VEERG_5_4_1_3__2_MassOfNitrogenVolatilisedFromOrganicFertiliser</v>
      </c>
    </row>
    <row r="91" spans="3:12" ht="20" customHeight="1" x14ac:dyDescent="0.25"/>
    <row r="92" spans="3:12" ht="20" customHeight="1" x14ac:dyDescent="0.25"/>
    <row r="93" spans="3:12" ht="20" customHeight="1" x14ac:dyDescent="0.25">
      <c r="D93" s="77" t="s">
        <v>374</v>
      </c>
      <c r="E93" s="1" t="str" cm="1">
        <f t="array" ref="E93">Fertiliser_Equations_AtmosphericDeposition.VEERG_5_4_1_3__2_MassOfNitrogenVolatilisedFromOrganicFertiliser_Variable()</f>
        <v>M_volorganicjf</v>
      </c>
    </row>
    <row r="94" spans="3:12" ht="20" customHeight="1" x14ac:dyDescent="0.25">
      <c r="D94" s="77" t="s">
        <v>121</v>
      </c>
      <c r="E94" s="9" t="str" cm="1">
        <f t="array" ref="E94">Fertiliser_Equations_AtmosphericDeposition.VEERG_5_4_1_3__2_MassOfNitrogenVolatilisedFromOrganicFertiliser_Unit()</f>
        <v>kg N</v>
      </c>
    </row>
    <row r="95" spans="3:12" ht="20" customHeight="1" x14ac:dyDescent="0.25"/>
    <row r="96" spans="3:12" ht="20" customHeight="1" x14ac:dyDescent="0.25">
      <c r="D96" s="105" t="str" cm="1">
        <f t="array" ref="D96:E97">_xlfn.CHOOSECOLS(Fertiliser_Equations_AtmosphericDeposition.VEERG_5_4_1_3__2_MassOfNitrogenVolatilisedFromOrganicFertiliser_Arguments(), 1, 2)</f>
        <v>MNSoil_jf</v>
      </c>
      <c r="E96" s="105" t="str">
        <v>mass of nitrogen in organic fertiliser type f applied to production system j</v>
      </c>
      <c r="F96" s="105"/>
      <c r="G96" s="105" t="str" cm="1">
        <f t="array" ref="G96:H97">_xlfn.CHOOSECOLS(Fertiliser_Equations_AtmosphericDeposition.VEERG_5_4_1_3__2_MassOfNitrogenVolatilisedFromOrganicFertiliser_Arguments(), 3,4)</f>
        <v>kg N</v>
      </c>
      <c r="H96" s="110" t="str">
        <v>Calculated from 5.2.1.1 (2)</v>
      </c>
      <c r="I96" s="111" t="str" cm="1">
        <f t="array" aca="1" ref="I96" ca="1">HYPERLINK(Common_InputFunctions.Utility_SourceHyperlink($D$99), $D$99)</f>
        <v>Table_M_vol_organic_j_f</v>
      </c>
    </row>
    <row r="97" spans="4:9" ht="20" customHeight="1" x14ac:dyDescent="0.25">
      <c r="D97" s="105" t="str">
        <v>FracGASM_soil</v>
      </c>
      <c r="E97" s="105" t="str">
        <v>fraction of organic fertiliser N that volatilises</v>
      </c>
      <c r="F97" s="105"/>
      <c r="G97" s="105" t="str">
        <v>(kg NH3-N + NOx-N)/kg N</v>
      </c>
      <c r="H97" s="110" t="str">
        <v>Constant</v>
      </c>
      <c r="I97" s="105">
        <f>Fertiliser_FracGASMSoil_Data</f>
        <v>0.21</v>
      </c>
    </row>
    <row r="98" spans="4:9" ht="20" customHeight="1" x14ac:dyDescent="0.25"/>
    <row r="99" spans="4:9" ht="20" customHeight="1" x14ac:dyDescent="0.25">
      <c r="D99" s="112" t="s">
        <v>707</v>
      </c>
    </row>
    <row r="100" spans="4:9" ht="20" customHeight="1" x14ac:dyDescent="0.25">
      <c r="D100" s="113" t="s">
        <v>708</v>
      </c>
    </row>
    <row r="101" spans="4:9" ht="20" customHeight="1" x14ac:dyDescent="0.25">
      <c r="D101" s="82" t="s">
        <v>681</v>
      </c>
      <c r="E101" s="166" t="s">
        <v>685</v>
      </c>
      <c r="F101" s="166" t="s">
        <v>709</v>
      </c>
    </row>
    <row r="102" spans="4:9" ht="20" customHeight="1" x14ac:dyDescent="0.25">
      <c r="D102" s="15" cm="1">
        <f t="array" ref="D102:D104">Table_Input_OrganicFertiliser[Organic fertiliser type (select)]</f>
        <v>0</v>
      </c>
      <c r="E102" s="15">
        <f>INDEX(Table_MNSoil_j_f,2,6)</f>
        <v>0</v>
      </c>
      <c r="F102" s="15" cm="1">
        <f t="array" ref="F102">Fertiliser_Equations_AtmosphericDeposition.VEERG_5_4_1_3__2_MassOfNitrogenVolatilisedFromOrganicFertiliser(E102,$I$97)</f>
        <v>0</v>
      </c>
      <c r="G102" s="16" t="str">
        <f>$E$94</f>
        <v>kg N</v>
      </c>
    </row>
    <row r="103" spans="4:9" ht="20" customHeight="1" x14ac:dyDescent="0.25">
      <c r="D103" s="15">
        <v>0</v>
      </c>
      <c r="E103" s="15">
        <f>INDEX(Table_MNSoil_j_f,3,6)</f>
        <v>0</v>
      </c>
      <c r="F103" s="15" cm="1">
        <f t="array" ref="F103">Fertiliser_Equations_AtmosphericDeposition.VEERG_5_4_1_3__2_MassOfNitrogenVolatilisedFromOrganicFertiliser(E103,$I$97)</f>
        <v>0</v>
      </c>
    </row>
    <row r="104" spans="4:9" ht="20" customHeight="1" x14ac:dyDescent="0.25">
      <c r="D104" s="15">
        <v>0</v>
      </c>
      <c r="E104" s="15">
        <f>INDEX(Table_MNSoil_j_f,4,6)</f>
        <v>0</v>
      </c>
      <c r="F104" s="15" cm="1">
        <f t="array" ref="F104">Fertiliser_Equations_AtmosphericDeposition.VEERG_5_4_1_3__2_MassOfNitrogenVolatilisedFromOrganicFertiliser(E104,$I$97)</f>
        <v>0</v>
      </c>
    </row>
    <row r="105" spans="4:9" ht="20" customHeight="1" x14ac:dyDescent="0.25">
      <c r="D105" s="15"/>
      <c r="E105" s="15">
        <f>'5.2.1.1-2 Organic Fert N2O'!I23</f>
        <v>0</v>
      </c>
      <c r="F105" s="15" cm="1">
        <f t="array" ref="F105">Fertiliser_Equations_AtmosphericDeposition.VEERG_5_4_1_3__2_MassOfNitrogenVolatilisedFromOrganicFertiliser(E105,$I$97)</f>
        <v>0</v>
      </c>
    </row>
    <row r="106" spans="4:9" ht="20" customHeight="1" x14ac:dyDescent="0.25">
      <c r="D106" s="15"/>
      <c r="E106" s="15">
        <f>'5.2.1.1-2 Organic Fert N2O'!I24</f>
        <v>0</v>
      </c>
      <c r="F106" s="15" cm="1">
        <f t="array" ref="F106">Fertiliser_Equations_AtmosphericDeposition.VEERG_5_4_1_3__2_MassOfNitrogenVolatilisedFromOrganicFertiliser(E106,$I$97)</f>
        <v>0</v>
      </c>
    </row>
    <row r="107" spans="4:9" ht="20" customHeight="1" x14ac:dyDescent="0.25">
      <c r="D107" s="15"/>
      <c r="E107" s="15">
        <f>'5.2.1.1-2 Organic Fert N2O'!I25</f>
        <v>0</v>
      </c>
      <c r="F107" s="15" cm="1">
        <f t="array" ref="F107">Fertiliser_Equations_AtmosphericDeposition.VEERG_5_4_1_3__2_MassOfNitrogenVolatilisedFromOrganicFertiliser(E107,$I$97)</f>
        <v>0</v>
      </c>
    </row>
    <row r="108" spans="4:9" ht="20" customHeight="1" x14ac:dyDescent="0.25">
      <c r="D108" s="15"/>
      <c r="E108" s="15">
        <f>'5.2.1.1-2 Organic Fert N2O'!I26</f>
        <v>0</v>
      </c>
      <c r="F108" s="15" cm="1">
        <f t="array" ref="F108">Fertiliser_Equations_AtmosphericDeposition.VEERG_5_4_1_3__2_MassOfNitrogenVolatilisedFromOrganicFertiliser(E108,$I$97)</f>
        <v>0</v>
      </c>
    </row>
    <row r="109" spans="4:9" ht="20" customHeight="1" x14ac:dyDescent="0.25">
      <c r="D109" s="15"/>
      <c r="E109" s="15">
        <f>'5.2.1.1-2 Organic Fert N2O'!I27</f>
        <v>0</v>
      </c>
      <c r="F109" s="15" cm="1">
        <f t="array" ref="F109">Fertiliser_Equations_AtmosphericDeposition.VEERG_5_4_1_3__2_MassOfNitrogenVolatilisedFromOrganicFertiliser(E109,$I$97)</f>
        <v>0</v>
      </c>
    </row>
    <row r="110" spans="4:9" ht="20" customHeight="1" x14ac:dyDescent="0.25">
      <c r="D110" s="15"/>
      <c r="E110" s="15">
        <f>'5.2.1.1-2 Organic Fert N2O'!I28</f>
        <v>0</v>
      </c>
      <c r="F110" s="15" cm="1">
        <f t="array" ref="F110">Fertiliser_Equations_AtmosphericDeposition.VEERG_5_4_1_3__2_MassOfNitrogenVolatilisedFromOrganicFertiliser(E110,$I$97)</f>
        <v>0</v>
      </c>
    </row>
    <row r="111" spans="4:9" ht="20" customHeight="1" x14ac:dyDescent="0.25">
      <c r="D111" s="15"/>
      <c r="E111" s="15">
        <f>'5.2.1.1-2 Organic Fert N2O'!I29</f>
        <v>0</v>
      </c>
      <c r="F111" s="15" cm="1">
        <f t="array" ref="F111">Fertiliser_Equations_AtmosphericDeposition.VEERG_5_4_1_3__2_MassOfNitrogenVolatilisedFromOrganicFertiliser(E111,$I$97)</f>
        <v>0</v>
      </c>
    </row>
    <row r="112" spans="4:9" ht="20" customHeight="1" x14ac:dyDescent="0.25">
      <c r="D112" s="15"/>
      <c r="E112" s="15">
        <f>'5.2.1.1-2 Organic Fert N2O'!I30</f>
        <v>0</v>
      </c>
      <c r="F112" s="15" cm="1">
        <f t="array" ref="F112">Fertiliser_Equations_AtmosphericDeposition.VEERG_5_4_1_3__2_MassOfNitrogenVolatilisedFromOrganicFertiliser(E112,$I$97)</f>
        <v>0</v>
      </c>
    </row>
    <row r="113" spans="3:12" ht="20" customHeight="1" x14ac:dyDescent="0.25"/>
    <row r="114" spans="3:12" ht="20" customHeight="1" x14ac:dyDescent="0.25"/>
    <row r="115" spans="3:12" ht="20" customHeight="1" x14ac:dyDescent="0.25">
      <c r="C115" s="170"/>
      <c r="D115" s="170"/>
      <c r="E115" s="170"/>
      <c r="F115" s="170"/>
      <c r="G115" s="170"/>
      <c r="H115" s="170"/>
      <c r="I115" s="170"/>
      <c r="J115" s="170"/>
      <c r="K115" s="170"/>
      <c r="L115" s="170"/>
    </row>
    <row r="116" spans="3:12" ht="20"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 customHeight="1" x14ac:dyDescent="0.25">
      <c r="D117" s="17" t="str" cm="1">
        <f t="array" ref="D117">Fertiliser_Equations_AtmosphericDeposition.VEERG_5_4_1_3__1_OrganicFertiliserAtmosphericDepositionN2OEmissions_Source()</f>
        <v>VEERG 2026: 5.4.1.3, Equation (1)</v>
      </c>
    </row>
    <row r="118" spans="3:12" ht="20" customHeight="1" x14ac:dyDescent="0.25">
      <c r="D118" s="103" t="s">
        <v>372</v>
      </c>
      <c r="E118" s="103" t="str" cm="1">
        <f t="array" aca="1" ref="E118" ca="1">Common_InputFunctions.Utility_DisplayFunctionName(F134)</f>
        <v>=Fertiliser_Equations_AtmosphericDeposition.VEERG_5_4_1_3__1_OrganicFertiliserAtmosphericDepositionN2OEmissions</v>
      </c>
    </row>
    <row r="119" spans="3:12" ht="20" customHeight="1" x14ac:dyDescent="0.25"/>
    <row r="120" spans="3:12" ht="20" customHeight="1" x14ac:dyDescent="0.25"/>
    <row r="121" spans="3:12" ht="20" customHeight="1" x14ac:dyDescent="0.25">
      <c r="D121" s="77" t="s">
        <v>374</v>
      </c>
      <c r="E121" s="1" t="str" cm="1">
        <f t="array" ref="E121">Fertiliser_Equations_AtmosphericDeposition.VEERG_5_4_1_3__1_OrganicFertiliserAtmosphericDepositionN2OEmissions_Variable()</f>
        <v>E_adorganic</v>
      </c>
    </row>
    <row r="122" spans="3:12" ht="20" customHeight="1" x14ac:dyDescent="0.25">
      <c r="D122" s="77" t="s">
        <v>121</v>
      </c>
      <c r="E122" s="9" t="str" cm="1">
        <f t="array" ref="E122">Fertiliser_Equations_AtmosphericDeposition.VEERG_5_4_1_3__1_OrganicFertiliserAtmosphericDepositionN2OEmissions_Unit()</f>
        <v>t N2O</v>
      </c>
    </row>
    <row r="123" spans="3:12" ht="20" customHeight="1" x14ac:dyDescent="0.25"/>
    <row r="124" spans="3:12" ht="20" customHeight="1" x14ac:dyDescent="0.25">
      <c r="D124" s="105" t="str" cm="1">
        <f t="array" ref="D124:E129">_xlfn.CHOOSECOLS(Fertiliser_Equations_AtmosphericDeposition.VEERG_5_4_1_3__1_OrganicFertiliserAtmosphericDepositionN2OEmissions_Arguments(), 1, 2)</f>
        <v>M_volorganicjf</v>
      </c>
      <c r="E124" s="106" t="str">
        <v>mass of nitrogen volatilised from organic fertiliser applied to production system</v>
      </c>
      <c r="F124" s="108"/>
      <c r="G124" s="105" t="str" cm="1">
        <f t="array" ref="G124:H129">_xlfn.CHOOSECOLS(Fertiliser_Equations_AtmosphericDeposition.VEERG_5_4_1_3__1_OrganicFertiliserAtmosphericDepositionN2OEmissions_Arguments(), 3,4)</f>
        <v>kg N</v>
      </c>
      <c r="H124" s="110" t="str">
        <v>Calculated from 5.4.1.3 (2)</v>
      </c>
      <c r="I124" s="111" t="str" cm="1">
        <f t="array" aca="1" ref="I124" ca="1">HYPERLINK(Common_InputFunctions.Utility_SourceHyperlink($D$99), $D$99)</f>
        <v>Table_M_vol_organic_j_f</v>
      </c>
    </row>
    <row r="125" spans="3:12" ht="20" customHeight="1" x14ac:dyDescent="0.25">
      <c r="D125" s="105" t="str">
        <v>EF_N2Oj</v>
      </c>
      <c r="E125" s="106" t="str">
        <v>emission factor for atmospheric deposition in production system j</v>
      </c>
      <c r="F125" s="108"/>
      <c r="G125" s="105" t="str">
        <v>kg N2O-N/kg N</v>
      </c>
      <c r="H125" s="110" t="str">
        <v>Constant</v>
      </c>
      <c r="I125" s="105" t="e">
        <f>Common_InputFunctions.Utility_LookupN2OEFFromProdIrrigationRainfall(I127,I128,I129,Table_SourceData_Common_EFN2O[Production system only],Table_SourceData_Common_EFN2O[Irrigation method],Table_SourceData_Common_EFN2O[Rainfall zone],Table_SourceData_Common_EFN2O[EFN2O])</f>
        <v>#N/A</v>
      </c>
    </row>
    <row r="126" spans="3:12" ht="20" customHeight="1" x14ac:dyDescent="0.25">
      <c r="D126" s="105" t="str">
        <v>C_N2O</v>
      </c>
      <c r="E126" s="106" t="str">
        <v>factor to convert elemental mass of nitrous oxide to molecular mass</v>
      </c>
      <c r="F126" s="108"/>
      <c r="G126" s="105" t="str">
        <v/>
      </c>
      <c r="H126" s="110" t="str">
        <v>Constant</v>
      </c>
      <c r="I126" s="116">
        <f>Common_InputFunctions.Utility_LookupValueInTableNumber("N2O",Table_GasToMolecularConversionFactor[Gas],Table_GasToMolecularConversionFactor[Conversion factor combined])</f>
        <v>1.5714285714285714</v>
      </c>
    </row>
    <row r="127" spans="3:12" ht="20" customHeight="1" x14ac:dyDescent="0.25">
      <c r="D127" s="105" t="str">
        <v>j</v>
      </c>
      <c r="E127" s="106" t="str">
        <v>Production system</v>
      </c>
      <c r="F127" s="108"/>
      <c r="G127" s="105" t="str">
        <v/>
      </c>
      <c r="H127" s="109" t="str">
        <v>Input</v>
      </c>
      <c r="I127" s="105">
        <f>X_Cell_Fertiliser_ProductionSystem</f>
        <v>0</v>
      </c>
    </row>
    <row r="128" spans="3:12" ht="20" customHeight="1" x14ac:dyDescent="0.25">
      <c r="D128" s="105" t="str">
        <v>ir</v>
      </c>
      <c r="E128" s="106" t="str">
        <v>irrigation method</v>
      </c>
      <c r="F128" s="108"/>
      <c r="G128" s="105" t="str">
        <v/>
      </c>
      <c r="H128" s="109" t="str">
        <v>Input</v>
      </c>
      <c r="I128" s="105">
        <f>X_Cell_Fertiliser_IrrigationMethod</f>
        <v>0</v>
      </c>
    </row>
    <row r="129" spans="4:9" ht="20" customHeight="1" x14ac:dyDescent="0.25">
      <c r="D129" s="105" t="str">
        <v>r</v>
      </c>
      <c r="E129" s="106" t="str">
        <v>rainfall region</v>
      </c>
      <c r="F129" s="108"/>
      <c r="G129" s="105" t="str">
        <v/>
      </c>
      <c r="H129" s="109" t="str">
        <v>Input</v>
      </c>
      <c r="I129" s="105" t="str">
        <f>X_Cell_Site_RainfallZone</f>
        <v>Low rainfall</v>
      </c>
    </row>
    <row r="130" spans="4:9" ht="20" customHeight="1" x14ac:dyDescent="0.25"/>
    <row r="131" spans="4:9" ht="20" customHeight="1" x14ac:dyDescent="0.25">
      <c r="D131" s="112" t="s">
        <v>710</v>
      </c>
    </row>
    <row r="132" spans="4:9" ht="20" customHeight="1" x14ac:dyDescent="0.25">
      <c r="D132" s="113" t="s">
        <v>711</v>
      </c>
    </row>
    <row r="133" spans="4:9" ht="20" customHeight="1" x14ac:dyDescent="0.25">
      <c r="D133" s="82" t="s">
        <v>681</v>
      </c>
      <c r="E133" s="166" t="s">
        <v>709</v>
      </c>
      <c r="F133" s="166" t="s">
        <v>712</v>
      </c>
    </row>
    <row r="134" spans="4:9" ht="20" customHeight="1" x14ac:dyDescent="0.25">
      <c r="D134" s="15" cm="1">
        <f t="array" ref="D134:D136">Table_Input_OrganicFertiliser[Organic fertiliser type (select)]</f>
        <v>0</v>
      </c>
      <c r="E134" s="15">
        <f>F102</f>
        <v>0</v>
      </c>
      <c r="F134" s="15" t="e" cm="1">
        <f t="array" ref="F134">Fertiliser_Equations_AtmosphericDeposition.VEERG_5_4_1_3__1_OrganicFertiliserAtmosphericDepositionN2OEmissions(E134,$I$125,$I$126)</f>
        <v>#N/A</v>
      </c>
    </row>
    <row r="135" spans="4:9" ht="20" customHeight="1" x14ac:dyDescent="0.25">
      <c r="D135" s="15">
        <v>0</v>
      </c>
      <c r="E135" s="15">
        <f t="shared" ref="E135:E144" si="1">F103</f>
        <v>0</v>
      </c>
      <c r="F135" s="15" t="e" cm="1">
        <f t="array" ref="F135">Fertiliser_Equations_AtmosphericDeposition.VEERG_5_4_1_3__1_OrganicFertiliserAtmosphericDepositionN2OEmissions(E135,$I$125,$I$126)</f>
        <v>#N/A</v>
      </c>
    </row>
    <row r="136" spans="4:9" ht="20" customHeight="1" x14ac:dyDescent="0.25">
      <c r="D136" s="15">
        <v>0</v>
      </c>
      <c r="E136" s="15">
        <f t="shared" si="1"/>
        <v>0</v>
      </c>
      <c r="F136" s="15" t="e" cm="1">
        <f t="array" ref="F136">Fertiliser_Equations_AtmosphericDeposition.VEERG_5_4_1_3__1_OrganicFertiliserAtmosphericDepositionN2OEmissions(E136,$I$125,$I$126)</f>
        <v>#N/A</v>
      </c>
    </row>
    <row r="137" spans="4:9" ht="20" customHeight="1" x14ac:dyDescent="0.25">
      <c r="D137" s="15"/>
      <c r="E137" s="15">
        <f t="shared" si="1"/>
        <v>0</v>
      </c>
      <c r="F137" s="15" t="e" cm="1">
        <f t="array" ref="F137">Fertiliser_Equations_AtmosphericDeposition.VEERG_5_4_1_3__1_OrganicFertiliserAtmosphericDepositionN2OEmissions(E137,$I$125,$I$126)</f>
        <v>#N/A</v>
      </c>
    </row>
    <row r="138" spans="4:9" ht="20" customHeight="1" x14ac:dyDescent="0.25">
      <c r="D138" s="15"/>
      <c r="E138" s="15">
        <f t="shared" si="1"/>
        <v>0</v>
      </c>
      <c r="F138" s="15" t="e" cm="1">
        <f t="array" ref="F138">Fertiliser_Equations_AtmosphericDeposition.VEERG_5_4_1_3__1_OrganicFertiliserAtmosphericDepositionN2OEmissions(E138,$I$125,$I$126)</f>
        <v>#N/A</v>
      </c>
    </row>
    <row r="139" spans="4:9" ht="20" customHeight="1" x14ac:dyDescent="0.25">
      <c r="D139" s="15"/>
      <c r="E139" s="15">
        <f t="shared" si="1"/>
        <v>0</v>
      </c>
      <c r="F139" s="15" t="e" cm="1">
        <f t="array" ref="F139">Fertiliser_Equations_AtmosphericDeposition.VEERG_5_4_1_3__1_OrganicFertiliserAtmosphericDepositionN2OEmissions(E139,$I$125,$I$126)</f>
        <v>#N/A</v>
      </c>
    </row>
    <row r="140" spans="4:9" ht="20" customHeight="1" x14ac:dyDescent="0.25">
      <c r="D140" s="15"/>
      <c r="E140" s="15">
        <f t="shared" si="1"/>
        <v>0</v>
      </c>
      <c r="F140" s="15" t="e" cm="1">
        <f t="array" ref="F140">Fertiliser_Equations_AtmosphericDeposition.VEERG_5_4_1_3__1_OrganicFertiliserAtmosphericDepositionN2OEmissions(E140,$I$125,$I$126)</f>
        <v>#N/A</v>
      </c>
    </row>
    <row r="141" spans="4:9" ht="20" customHeight="1" x14ac:dyDescent="0.25">
      <c r="D141" s="15"/>
      <c r="E141" s="15">
        <f t="shared" si="1"/>
        <v>0</v>
      </c>
      <c r="F141" s="15" t="e" cm="1">
        <f t="array" ref="F141">Fertiliser_Equations_AtmosphericDeposition.VEERG_5_4_1_3__1_OrganicFertiliserAtmosphericDepositionN2OEmissions(E141,$I$125,$I$126)</f>
        <v>#N/A</v>
      </c>
    </row>
    <row r="142" spans="4:9" ht="20" customHeight="1" x14ac:dyDescent="0.25">
      <c r="D142" s="15"/>
      <c r="E142" s="15">
        <f t="shared" si="1"/>
        <v>0</v>
      </c>
      <c r="F142" s="15" t="e" cm="1">
        <f t="array" ref="F142">Fertiliser_Equations_AtmosphericDeposition.VEERG_5_4_1_3__1_OrganicFertiliserAtmosphericDepositionN2OEmissions(E142,$I$125,$I$126)</f>
        <v>#N/A</v>
      </c>
    </row>
    <row r="143" spans="4:9" ht="20" customHeight="1" x14ac:dyDescent="0.25">
      <c r="D143" s="15"/>
      <c r="E143" s="15">
        <f t="shared" si="1"/>
        <v>0</v>
      </c>
      <c r="F143" s="15" t="e" cm="1">
        <f t="array" ref="F143">Fertiliser_Equations_AtmosphericDeposition.VEERG_5_4_1_3__1_OrganicFertiliserAtmosphericDepositionN2OEmissions(E143,$I$125,$I$126)</f>
        <v>#N/A</v>
      </c>
    </row>
    <row r="144" spans="4:9" ht="20" customHeight="1" x14ac:dyDescent="0.25">
      <c r="D144" s="15"/>
      <c r="E144" s="15">
        <f t="shared" si="1"/>
        <v>0</v>
      </c>
      <c r="F144" s="15" t="e" cm="1">
        <f t="array" ref="F144">Fertiliser_Equations_AtmosphericDeposition.VEERG_5_4_1_3__1_OrganicFertiliserAtmosphericDepositionN2OEmissions(E144,$I$125,$I$126)</f>
        <v>#N/A</v>
      </c>
    </row>
    <row r="145" spans="4:7" ht="20" customHeight="1" x14ac:dyDescent="0.25"/>
    <row r="146" spans="4:7" ht="20" customHeight="1" x14ac:dyDescent="0.25">
      <c r="D146" s="90" t="s">
        <v>713</v>
      </c>
      <c r="E146" s="91" t="e">
        <f>SUM(F134:F144)</f>
        <v>#N/A</v>
      </c>
      <c r="F146" s="95" t="str">
        <f>$E$122</f>
        <v>t N2O</v>
      </c>
    </row>
    <row r="147" spans="4:7" ht="20" customHeight="1" x14ac:dyDescent="0.25"/>
    <row r="148" spans="4:7" ht="20" customHeight="1" x14ac:dyDescent="0.25">
      <c r="D148" s="116" t="str" cm="1">
        <f t="array" ref="D148:E149">Common_Equations.Common_ConvertN2OToCO2e_Arguments()</f>
        <v>EN2O</v>
      </c>
      <c r="E148" s="117" t="str">
        <v>Nitrous oxide emissions (t N2O)</v>
      </c>
      <c r="F148" s="118"/>
      <c r="G148" s="15" t="e">
        <f>VEERG_5_4_1_3__1_OrganicFertiliserAtmosphericDepositionN2OEmissions_Result_Method1</f>
        <v>#N/A</v>
      </c>
    </row>
    <row r="149" spans="4:7" ht="20" customHeight="1" x14ac:dyDescent="0.25">
      <c r="D149" s="116" t="str">
        <v>GWPN2O</v>
      </c>
      <c r="E149" s="117" t="str">
        <v>Global warming potential for nitrous oxide (t CO2-e / t N2O)</v>
      </c>
      <c r="F149" s="118"/>
      <c r="G149" s="15">
        <f>Common_InputFunctions.Utility_LookupValueInTableNumber("N2O",Table_GWPData[Gas],Table_GWPData[CO2-e factor])</f>
        <v>265</v>
      </c>
    </row>
    <row r="150" spans="4:7" ht="20" customHeight="1" x14ac:dyDescent="0.25"/>
    <row r="151" spans="4:7" ht="20" customHeight="1" x14ac:dyDescent="0.25">
      <c r="D151" s="87" t="s">
        <v>436</v>
      </c>
      <c r="E151" s="87" t="e" cm="1">
        <f t="array" ref="E151">Common_Equations.Common_ConvertN2OToCO2e(G148,G149)</f>
        <v>#N/A</v>
      </c>
      <c r="F151" s="94" t="str" cm="1">
        <f t="array" ref="F151">Common_Equations.Common_ConvertN2OToCO2e_Unit()</f>
        <v>t CO2e</v>
      </c>
    </row>
    <row r="152" spans="4:7" ht="20" customHeight="1" x14ac:dyDescent="0.25"/>
    <row r="153" spans="4:7" ht="20" customHeight="1" x14ac:dyDescent="0.25"/>
    <row r="154" spans="4:7" ht="20" customHeight="1" x14ac:dyDescent="0.25"/>
    <row r="155" spans="4:7" ht="20" customHeight="1" x14ac:dyDescent="0.25"/>
    <row r="156" spans="4:7" ht="20" customHeight="1" x14ac:dyDescent="0.25"/>
    <row r="157" spans="4:7" ht="20" customHeight="1" x14ac:dyDescent="0.25"/>
    <row r="158" spans="4:7" ht="20" customHeight="1" x14ac:dyDescent="0.25"/>
    <row r="159" spans="4:7" ht="20" customHeight="1" x14ac:dyDescent="0.25"/>
    <row r="160" spans="4:7"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F2ABA-3557-4042-A53B-4CE4EC7E0FE8}">
  <sheetPr>
    <tabColor rgb="FF008000"/>
  </sheetPr>
  <dimension ref="A1:T1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714</v>
      </c>
    </row>
    <row r="2" spans="1:20" s="3" customFormat="1" ht="20" customHeight="1" x14ac:dyDescent="0.25">
      <c r="A2"/>
    </row>
    <row r="3" spans="1:20" ht="20" customHeight="1" x14ac:dyDescent="0.25">
      <c r="A3" s="5" t="str">
        <f>HYPERLINK("#'Home'!A1", "Home")</f>
        <v>Home</v>
      </c>
      <c r="C3" s="23"/>
      <c r="D3" s="23" t="s">
        <v>136</v>
      </c>
      <c r="E3" s="23"/>
      <c r="F3" s="23"/>
      <c r="G3" s="23"/>
      <c r="H3" s="23"/>
      <c r="I3" s="23"/>
      <c r="J3" s="23"/>
      <c r="K3" s="23"/>
      <c r="M3" s="23"/>
      <c r="N3" s="23" t="s">
        <v>137</v>
      </c>
      <c r="O3" s="23"/>
      <c r="P3" s="23"/>
      <c r="Q3" s="23"/>
      <c r="R3" s="23"/>
      <c r="S3" s="23"/>
      <c r="T3" s="23"/>
    </row>
    <row r="4" spans="1:20" ht="20" customHeight="1" x14ac:dyDescent="0.25">
      <c r="A4" s="5" t="str">
        <f>HYPERLINK("#'Results - Activity period'!A1", "Results - Activity period")</f>
        <v>Results - Activity period</v>
      </c>
    </row>
    <row r="5" spans="1:20" ht="20" customHeight="1" x14ac:dyDescent="0.25">
      <c r="A5" s="5" t="str">
        <f>HYPERLINK("#'Results - Product EI'!A1", "Results - Product Emissions Intensity")</f>
        <v>Results - Product Emissions Intensity</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 customHeight="1" x14ac:dyDescent="0.25">
      <c r="D6" s="17" t="str" cm="1">
        <f t="array" ref="D6">Fertiliser_Equations_LeachingAndRunoff.VEERG_5_5_1_1__2_MassOfNitrogenLeachedFromInorganicFertiliser_Source()</f>
        <v>VEERG 2026: 5.5, Equation (2)</v>
      </c>
    </row>
    <row r="7" spans="1:20" ht="20" customHeight="1" x14ac:dyDescent="0.25">
      <c r="D7" s="103" t="s">
        <v>372</v>
      </c>
      <c r="E7" s="103" t="str" cm="1">
        <f t="array" aca="1" ref="E7" ca="1">Common_InputFunctions.Utility_DisplayFunctionName(F23)</f>
        <v>=Fertiliser_Equations_LeachingAndRunoff.VEERG_5_5_1_1__2_MassOfNitrogenLeachedFromInorganicFertiliser</v>
      </c>
    </row>
    <row r="8" spans="1:20" ht="20" customHeight="1" x14ac:dyDescent="0.25">
      <c r="A8" s="7" t="s">
        <v>0</v>
      </c>
    </row>
    <row r="9" spans="1:20" ht="20" customHeight="1" x14ac:dyDescent="0.25">
      <c r="A9" s="5" t="str">
        <f>HYPERLINK("#'Input - Enterprise'!A1", "Enterprise")</f>
        <v>Enterprise</v>
      </c>
    </row>
    <row r="10" spans="1:20" ht="20" customHeight="1" x14ac:dyDescent="0.25">
      <c r="A10" s="5" t="str">
        <f>HYPERLINK("#'Input - Site'!A1", "Site")</f>
        <v>Site</v>
      </c>
      <c r="D10" s="77" t="s">
        <v>374</v>
      </c>
      <c r="E10" s="1" t="str" cm="1">
        <f t="array" ref="E10">Fertiliser_Equations_LeachingAndRunoff.VEERG_5_5_1_1__2_MassOfNitrogenLeachedFromInorganicFertiliser_Variable()</f>
        <v>M_leachinorganicj</v>
      </c>
    </row>
    <row r="11" spans="1:20" ht="20" customHeight="1" x14ac:dyDescent="0.25">
      <c r="A11" s="5" t="str">
        <f>HYPERLINK("#'Input - Pasture Beef'!A1", "Pasture Beef")</f>
        <v>Pasture Beef</v>
      </c>
      <c r="D11" s="77" t="s">
        <v>121</v>
      </c>
      <c r="E11" s="9" t="str" cm="1">
        <f t="array" ref="E11">Fertiliser_Equations_LeachingAndRunoff.VEERG_5_5_1_1__2_MassOfNitrogenLeachedFromInorganicFertiliser_Unit()</f>
        <v>kg N</v>
      </c>
    </row>
    <row r="12" spans="1:20" ht="20" customHeight="1" x14ac:dyDescent="0.25">
      <c r="A12" s="5" t="str">
        <f>HYPERLINK("#'Input - Livestock sales'!A1", "Livestock sales")</f>
        <v>Livestock sales</v>
      </c>
    </row>
    <row r="13" spans="1:20" ht="20" customHeight="1" x14ac:dyDescent="0.25">
      <c r="A13" s="5" t="str">
        <f>HYPERLINK("#'Input - Beef cattle purchases'!A1", "Beef cattle purchases")</f>
        <v>Beef cattle purchases</v>
      </c>
      <c r="D13" s="105" t="str" cm="1">
        <f t="array" ref="D13:E18">_xlfn.CHOOSECOLS(Fertiliser_Equations_LeachingAndRunoff.VEERG_5_5_1_1__2_MassOfNitrogenLeachedFromInorganicFertiliser_Arguments(), 1, 2)</f>
        <v>MN_jf</v>
      </c>
      <c r="E13" s="106" t="str">
        <v>mass of nitrogen in inorganic fertiliser</v>
      </c>
      <c r="F13" s="108"/>
      <c r="G13" s="105" t="str" cm="1">
        <f t="array" ref="G13:H18">_xlfn.CHOOSECOLS(Fertiliser_Equations_LeachingAndRunoff.VEERG_5_5_1_1__2_MassOfNitrogenLeachedFromInorganicFertiliser_Arguments(), 3,4)</f>
        <v>kg N</v>
      </c>
      <c r="H13" s="110" t="str">
        <v>Calculated from 5.1.1.1 (2)</v>
      </c>
      <c r="I13" s="111" t="str" cm="1">
        <f t="array" aca="1" ref="I13" ca="1">HYPERLINK(Common_InputFunctions.Utility_SourceHyperlink(D20), D20)</f>
        <v>Table_M_leach_inorganic_j</v>
      </c>
    </row>
    <row r="14" spans="1:20" ht="20" customHeight="1" x14ac:dyDescent="0.25">
      <c r="A14" s="5" t="str">
        <f>HYPERLINK("#'Input - Pasture'!A1", "Pasture")</f>
        <v>Pasture</v>
      </c>
      <c r="D14" s="105" t="str">
        <v>FracWETj</v>
      </c>
      <c r="E14" s="106" t="str">
        <v>fraction of N available for leaching and runoff</v>
      </c>
      <c r="F14" s="108"/>
      <c r="G14" s="105" t="str">
        <v>fraction</v>
      </c>
      <c r="H14" s="110" t="str">
        <v>Constant</v>
      </c>
      <c r="I14" s="105">
        <f>Common_InputFunctions.CommonCropping_GetFracWET(I16,I18,Table_SourceData_FracWET[Is in leaching zone],Table_SourceData_FracWET[FracWET],Table_SourceData_FracWETIrrigation[Irrigation type i],Table_SourceData_FracWETIrrigation[FracWET])</f>
        <v>0</v>
      </c>
    </row>
    <row r="15" spans="1:20" ht="20" customHeight="1" x14ac:dyDescent="0.25">
      <c r="A15" s="5" t="str">
        <f>HYPERLINK("#'Input - Fert Prod System'!A1", "Fert Prod System")</f>
        <v>Fert Prod System</v>
      </c>
      <c r="D15" s="105" t="str">
        <v>FracLEACH</v>
      </c>
      <c r="E15" s="106" t="str">
        <v>fraction of N that is lost through leaching and runoff</v>
      </c>
      <c r="F15" s="108"/>
      <c r="G15" s="105" t="str">
        <v>fraction</v>
      </c>
      <c r="H15" s="110" t="str">
        <v>Constant</v>
      </c>
      <c r="I15" s="105">
        <f>Fertiliser_FracLEACH_Data</f>
        <v>0.24</v>
      </c>
    </row>
    <row r="16" spans="1:20" ht="20" customHeight="1" x14ac:dyDescent="0.25">
      <c r="A16" s="5" t="str">
        <f>HYPERLINK("#'Input - Fertiliser'!A1", "Fertiliser")</f>
        <v>Fertiliser</v>
      </c>
      <c r="D16" s="105" t="str">
        <v>z</v>
      </c>
      <c r="E16" s="106" t="str">
        <v>location in leaching zone</v>
      </c>
      <c r="F16" s="108"/>
      <c r="G16" s="105" t="str">
        <v/>
      </c>
      <c r="H16" s="109" t="str">
        <v>Input</v>
      </c>
      <c r="I16" s="105">
        <f>X_Cell_Site_LeachingZone</f>
        <v>0</v>
      </c>
    </row>
    <row r="17" spans="1:9" ht="20" customHeight="1" x14ac:dyDescent="0.25">
      <c r="A17" s="5" t="str">
        <f>HYPERLINK("#'Input - Fuel'!A1", "Fuel")</f>
        <v>Fuel</v>
      </c>
      <c r="D17" s="105" t="str">
        <v>j</v>
      </c>
      <c r="E17" s="106" t="str">
        <v>production system</v>
      </c>
      <c r="F17" s="108"/>
      <c r="G17" s="105" t="str">
        <v/>
      </c>
      <c r="H17" s="109" t="str">
        <v>Input</v>
      </c>
      <c r="I17" s="105">
        <f>X_Cell_Fertiliser_ProductionSystem</f>
        <v>0</v>
      </c>
    </row>
    <row r="18" spans="1:9" ht="20" customHeight="1" x14ac:dyDescent="0.25">
      <c r="A18" s="5" t="str">
        <f>HYPERLINK("#'Input - Electricity'!A1", "Electricity")</f>
        <v>Electricity</v>
      </c>
      <c r="D18" s="105" t="str">
        <v>ir</v>
      </c>
      <c r="E18" s="106" t="str">
        <v>irrigation method</v>
      </c>
      <c r="F18" s="108"/>
      <c r="G18" s="105" t="str">
        <v/>
      </c>
      <c r="H18" s="109" t="str">
        <v>Input</v>
      </c>
      <c r="I18" s="105">
        <f>X_Cell_Fertiliser_IrrigationMethod</f>
        <v>0</v>
      </c>
    </row>
    <row r="19" spans="1:9" ht="20" customHeight="1" x14ac:dyDescent="0.25">
      <c r="A19" s="5" t="str">
        <f>HYPERLINK("#'Input - Common farm inputs'!A1", "Common farm inputs")</f>
        <v>Common farm inputs</v>
      </c>
    </row>
    <row r="20" spans="1:9" ht="20" customHeight="1" x14ac:dyDescent="0.25">
      <c r="A20" s="5" t="str">
        <f>HYPERLINK("#'Input - Crop pasture farm input'!A1", "Crop pasture farm input")</f>
        <v>Crop pasture farm input</v>
      </c>
      <c r="D20" s="112" t="s">
        <v>715</v>
      </c>
    </row>
    <row r="21" spans="1:9" ht="20" customHeight="1" x14ac:dyDescent="0.25">
      <c r="A21" s="5" t="str">
        <f>HYPERLINK("#'Input - Livestock farm Inputs'!A1", "Livestock farm Inputs")</f>
        <v>Livestock farm Inputs</v>
      </c>
      <c r="D21" s="113" t="s">
        <v>716</v>
      </c>
    </row>
    <row r="22" spans="1:9" ht="20" customHeight="1" x14ac:dyDescent="0.25">
      <c r="A22" s="5" t="str">
        <f>HYPERLINK("#'Input - Freight'!A1", "Freight")</f>
        <v>Freight</v>
      </c>
      <c r="D22" s="114" t="s">
        <v>645</v>
      </c>
      <c r="E22" s="114" t="s">
        <v>699</v>
      </c>
      <c r="F22" s="114" t="s">
        <v>717</v>
      </c>
    </row>
    <row r="23" spans="1:9" ht="20" customHeight="1" x14ac:dyDescent="0.25">
      <c r="A23" s="5" t="str">
        <f>HYPERLINK("#'Input - Solid waste'!A1", "Solid waste")</f>
        <v>Solid waste</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 customHeight="1" x14ac:dyDescent="0.25">
      <c r="A24" s="5" t="str">
        <f>HYPERLINK("#'Input - Manure sent off-site'!A1", "Manure sent off-site")</f>
        <v>Manure sent off-site</v>
      </c>
      <c r="D24" s="15" t="str">
        <v>Diammonium phosphate (DAP)</v>
      </c>
      <c r="E24" s="15">
        <f>INDEX(Table_MN_j_f,3,4)</f>
        <v>0</v>
      </c>
      <c r="F24" s="15" cm="1">
        <f t="array" ref="F24">Fertiliser_Equations_LeachingAndRunoff.VEERG_5_5_1_1__2_MassOfNitrogenLeachedFromInorganicFertiliser(E24, $I$14, $I$15)</f>
        <v>0</v>
      </c>
    </row>
    <row r="25" spans="1:9" ht="20" customHeight="1" x14ac:dyDescent="0.25">
      <c r="A25" s="5" t="str">
        <f>HYPERLINK("#'Input - Data quality'!A1", "Data quality")</f>
        <v>Data quality</v>
      </c>
      <c r="D25" s="15" t="str">
        <v>Urea</v>
      </c>
      <c r="E25" s="15">
        <f>INDEX(Table_MN_j_f,4,4)</f>
        <v>0</v>
      </c>
      <c r="F25" s="15" cm="1">
        <f t="array" ref="F25">Fertiliser_Equations_LeachingAndRunoff.VEERG_5_5_1_1__2_MassOfNitrogenLeachedFromInorganicFertiliser(E25, $I$14, $I$15)</f>
        <v>0</v>
      </c>
    </row>
    <row r="26" spans="1:9" ht="20" customHeight="1" x14ac:dyDescent="0.25">
      <c r="D26" s="15" t="str">
        <v>Sulphate of ammonia (SOA)</v>
      </c>
      <c r="E26" s="15">
        <f>INDEX(Table_MN_j_f,5,4)</f>
        <v>0</v>
      </c>
      <c r="F26" s="15" cm="1">
        <f t="array" ref="F26">Fertiliser_Equations_LeachingAndRunoff.VEERG_5_5_1_1__2_MassOfNitrogenLeachedFromInorganicFertiliser(E26, $I$14, $I$15)</f>
        <v>0</v>
      </c>
    </row>
    <row r="27" spans="1:9" ht="20" customHeight="1" x14ac:dyDescent="0.25">
      <c r="D27" s="15" t="str">
        <v>Urea-ammonium nitrate (UAN)</v>
      </c>
      <c r="E27" s="15">
        <f>INDEX(Table_MN_j_f,6,4)</f>
        <v>0</v>
      </c>
      <c r="F27" s="15" cm="1">
        <f t="array" ref="F27">Fertiliser_Equations_LeachingAndRunoff.VEERG_5_5_1_1__2_MassOfNitrogenLeachedFromInorganicFertiliser(E27, $I$14, $I$15)</f>
        <v>0</v>
      </c>
    </row>
    <row r="28" spans="1:9" ht="20" customHeight="1" x14ac:dyDescent="0.25">
      <c r="A28" s="6" t="s">
        <v>2</v>
      </c>
      <c r="D28" s="15" t="str">
        <v>Ammonium nitrate (AN)</v>
      </c>
      <c r="E28" s="15">
        <f>INDEX(Table_MN_j_f,7,4)</f>
        <v>0</v>
      </c>
      <c r="F28" s="15" cm="1">
        <f t="array" ref="F28">Fertiliser_Equations_LeachingAndRunoff.VEERG_5_5_1_1__2_MassOfNitrogenLeachedFromInorganicFertiliser(E28, $I$14, $I$15)</f>
        <v>0</v>
      </c>
    </row>
    <row r="29" spans="1:9" ht="20" customHeight="1" x14ac:dyDescent="0.25">
      <c r="A29" s="5" t="str">
        <f>HYPERLINK("#'3.2.1.1-2 Enteric Methane'!A1", "3.2.1.1-2 Enteric Methane")</f>
        <v>3.2.1.1-2 Enteric Methane</v>
      </c>
      <c r="D29" s="15" t="str">
        <v>Calcium ammonium nitrate (CAN)</v>
      </c>
      <c r="E29" s="15">
        <f>INDEX(Table_MN_j_f,8,4)</f>
        <v>0</v>
      </c>
      <c r="F29" s="15" cm="1">
        <f t="array" ref="F29">Fertiliser_Equations_LeachingAndRunoff.VEERG_5_5_1_1__2_MassOfNitrogenLeachedFromInorganicFertiliser(E29, $I$14, $I$15)</f>
        <v>0</v>
      </c>
    </row>
    <row r="30" spans="1:9" ht="20" customHeight="1" x14ac:dyDescent="0.25">
      <c r="A30" s="5" t="str">
        <f>HYPERLINK("#'4.2.1.1-2 Methane'!A1", "4.2.1.1-2 Manure methane")</f>
        <v>4.2.1.1-2 Manure methane</v>
      </c>
      <c r="D30" s="15" t="str">
        <v>Nitrogen - Ammoniacal</v>
      </c>
      <c r="E30" s="15">
        <f>INDEX(Table_MN_j_f,9,4)</f>
        <v>0</v>
      </c>
      <c r="F30" s="15" cm="1">
        <f t="array" ref="F30">Fertiliser_Equations_LeachingAndRunoff.VEERG_5_5_1_1__2_MassOfNitrogenLeachedFromInorganicFertiliser(E30, $I$14, $I$15)</f>
        <v>0</v>
      </c>
    </row>
    <row r="31" spans="1:9" ht="20" customHeight="1" x14ac:dyDescent="0.25">
      <c r="A31" s="5" t="str">
        <f>HYPERLINK("#'4.2.1.3-4 Soil direct N20'!A1", "4.2.1.3-4 Soil direct N2O")</f>
        <v>4.2.1.3-4 Soil direct N2O</v>
      </c>
      <c r="D31" s="15" t="str">
        <v>Nitrogen - Nitrate</v>
      </c>
      <c r="E31" s="15">
        <f>INDEX(Table_MN_j_f,10,4)</f>
        <v>0</v>
      </c>
      <c r="F31" s="15" cm="1">
        <f t="array" ref="F31">Fertiliser_Equations_LeachingAndRunoff.VEERG_5_5_1_1__2_MassOfNitrogenLeachedFromInorganicFertiliser(E31, $I$14, $I$15)</f>
        <v>0</v>
      </c>
    </row>
    <row r="32" spans="1:9" ht="20" customHeight="1" x14ac:dyDescent="0.25">
      <c r="A32" s="5" t="str">
        <f>HYPERLINK("#'4.2.1.5-6 Soil Atmos Dep'!A1", "4.2.1.5-6 Soil atm. deposition")</f>
        <v>4.2.1.5-6 Soil atm. deposition</v>
      </c>
      <c r="D32" s="15" t="str">
        <v>Nitrogen - Generic</v>
      </c>
      <c r="E32" s="15">
        <f>INDEX(Table_MN_j_f,11,4)</f>
        <v>0</v>
      </c>
      <c r="F32" s="15" cm="1">
        <f t="array" ref="F32">Fertiliser_Equations_LeachingAndRunoff.VEERG_5_5_1_1__2_MassOfNitrogenLeachedFromInorganicFertiliser(E32, $I$14, $I$15)</f>
        <v>0</v>
      </c>
    </row>
    <row r="33" spans="1:11" ht="20" customHeight="1" x14ac:dyDescent="0.25">
      <c r="A33" s="5" t="str">
        <f>HYPERLINK("#'4.2.1.7-8 Soil leach runoff'!A1", "4.2.1.7-8 Soil leach &amp; runoff")</f>
        <v>4.2.1.7-8 Soil leach &amp; runoff</v>
      </c>
      <c r="D33" s="15" t="str">
        <v>Phosphorus - Generic</v>
      </c>
      <c r="E33" s="15">
        <f>INDEX(Table_MN_j_f,12,4)</f>
        <v>0</v>
      </c>
      <c r="F33" s="15" cm="1">
        <f t="array" ref="F33">Fertiliser_Equations_LeachingAndRunoff.VEERG_5_5_1_1__2_MassOfNitrogenLeachedFromInorganicFertiliser(E33, $I$14, $I$15)</f>
        <v>0</v>
      </c>
    </row>
    <row r="34" spans="1:11" ht="20" customHeight="1" x14ac:dyDescent="0.25">
      <c r="A34" s="5" t="str">
        <f>HYPERLINK("#'5.1.1.1-2 Inorganic fert N2O'!A1", "5.1.1.1-2 Inorganic fert N2O")</f>
        <v>5.1.1.1-2 Inorganic fert N2O</v>
      </c>
      <c r="D34" s="15" t="str">
        <v>Potassium - Generic</v>
      </c>
      <c r="E34" s="15">
        <f>INDEX(Table_MN_j_f,13,4)</f>
        <v>0</v>
      </c>
      <c r="F34" s="15" cm="1">
        <f t="array" ref="F34">Fertiliser_Equations_LeachingAndRunoff.VEERG_5_5_1_1__2_MassOfNitrogenLeachedFromInorganicFertiliser(E34, $I$14, $I$15)</f>
        <v>0</v>
      </c>
    </row>
    <row r="35" spans="1:11" ht="20" customHeight="1" x14ac:dyDescent="0.25">
      <c r="A35" s="5" t="str">
        <f>HYPERLINK("#'5.1.1.3-4 Inorganic fert CO2'!A1", "5.1.1.3-4 Inorganic fert CO2")</f>
        <v>5.1.1.3-4 Inorganic fert CO2</v>
      </c>
      <c r="D35" s="15" t="str">
        <v>Sulfur - Generic</v>
      </c>
      <c r="E35" s="15">
        <f>INDEX(Table_MN_j_f,14,4)</f>
        <v>0</v>
      </c>
      <c r="F35" s="15" cm="1">
        <f t="array" ref="F35">Fertiliser_Equations_LeachingAndRunoff.VEERG_5_5_1_1__2_MassOfNitrogenLeachedFromInorganicFertiliser(E35, $I$14, $I$15)</f>
        <v>0</v>
      </c>
    </row>
    <row r="36" spans="1:11" ht="20" customHeight="1" x14ac:dyDescent="0.25">
      <c r="A36" s="5" t="str">
        <f>HYPERLINK("#'5.2.1.1-2 Organic Fert N2O'!A1", "5.2.1.1-2 Organic fert N2O")</f>
        <v>5.2.1.1-2 Organic fert N2O</v>
      </c>
      <c r="D36" s="15" t="str">
        <v>Zinc - Generic</v>
      </c>
      <c r="E36" s="15">
        <f>INDEX(Table_MN_j_f,15,4)</f>
        <v>0</v>
      </c>
      <c r="F36" s="15" cm="1">
        <f t="array" ref="F36">Fertiliser_Equations_LeachingAndRunoff.VEERG_5_5_1_1__2_MassOfNitrogenLeachedFromInorganicFertiliser(E36, $I$14, $I$15)</f>
        <v>0</v>
      </c>
    </row>
    <row r="37" spans="1:11" ht="20" customHeight="1" x14ac:dyDescent="0.25">
      <c r="A37" s="5" t="str">
        <f>HYPERLINK("#'5.3.1.1-2 Lime CO2'!A1", "5.3.1.1-2 Lime CO2")</f>
        <v>5.3.1.1-2 Lime CO2</v>
      </c>
      <c r="D37" s="15" t="str">
        <v>Muriate of potash (MOP)</v>
      </c>
      <c r="E37" s="15">
        <f>INDEX(Table_MN_j_f,16,4)</f>
        <v>0</v>
      </c>
      <c r="F37" s="15" cm="1">
        <f t="array" ref="F37">Fertiliser_Equations_LeachingAndRunoff.VEERG_5_5_1_1__2_MassOfNitrogenLeachedFromInorganicFertiliser(E37, $I$14, $I$15)</f>
        <v>0</v>
      </c>
    </row>
    <row r="38" spans="1:11" ht="20" customHeight="1" x14ac:dyDescent="0.25">
      <c r="A38" s="5" t="str">
        <f>HYPERLINK("#'5.4.1.1-4 Atmos deposition'!A1", "5.4.1.1-4 Atmos. deposition")</f>
        <v>5.4.1.1-4 Atmos. deposition</v>
      </c>
      <c r="D38" s="15" t="str">
        <v>Double superphosphate</v>
      </c>
      <c r="E38" s="15">
        <f>INDEX(Table_MN_j_f,17,4)</f>
        <v>0</v>
      </c>
      <c r="F38" s="15" cm="1">
        <f t="array" ref="F38">Fertiliser_Equations_LeachingAndRunoff.VEERG_5_5_1_1__2_MassOfNitrogenLeachedFromInorganicFertiliser(E38, $I$14, $I$15)</f>
        <v>0</v>
      </c>
    </row>
    <row r="39" spans="1:11" ht="20" customHeight="1" x14ac:dyDescent="0.25">
      <c r="A39" s="104" t="str">
        <f>HYPERLINK("#'5.5.1.1-2 Leaching and runoff'!A1", "5.5.1.1-2 Leaching &amp; runoff")</f>
        <v>5.5.1.1-2 Leaching &amp; runoff</v>
      </c>
      <c r="D39" s="15" t="str">
        <v>Single superphosphate (SSP)</v>
      </c>
      <c r="E39" s="15">
        <f>INDEX(Table_MN_j_f,18,4)</f>
        <v>0</v>
      </c>
      <c r="F39" s="15" cm="1">
        <f t="array" ref="F39">Fertiliser_Equations_LeachingAndRunoff.VEERG_5_5_1_1__2_MassOfNitrogenLeachedFromInorganicFertiliser(E39, $I$14, $I$15)</f>
        <v>0</v>
      </c>
    </row>
    <row r="40" spans="1:11" ht="20" customHeight="1" x14ac:dyDescent="0.25">
      <c r="A40" s="5" t="str">
        <f>HYPERLINK("#'6.2.1.1-2 Pasture residue N2O'!A1", "6.2.1.1-2 Pasture residue N2O")</f>
        <v>6.2.1.1-2 Pasture residue N2O</v>
      </c>
      <c r="D40" s="15" t="str">
        <v>Ammonia</v>
      </c>
      <c r="E40" s="15">
        <f>INDEX(Table_MN_j_f,19,4)</f>
        <v>0</v>
      </c>
      <c r="F40" s="15" cm="1">
        <f t="array" ref="F40">Fertiliser_Equations_LeachingAndRunoff.VEERG_5_5_1_1__2_MassOfNitrogenLeachedFromInorganicFertiliser(E40, $I$14, $I$15)</f>
        <v>0</v>
      </c>
    </row>
    <row r="41" spans="1:11" ht="20" customHeight="1" x14ac:dyDescent="0.25">
      <c r="A41" s="5" t="str">
        <f>HYPERLINK("#'6.3.1.1-2 Leach runoff pasture'!A1", "6.3.1.1-2 Leach &amp; runoff (pasture)")</f>
        <v>6.3.1.1-2 Leach &amp; runoff (pasture)</v>
      </c>
      <c r="D41" s="15" t="str">
        <v>Calcium nitrate</v>
      </c>
      <c r="E41" s="15">
        <f>INDEX(Table_MN_j_f,20,4)</f>
        <v>0</v>
      </c>
      <c r="F41" s="15" cm="1">
        <f t="array" ref="F41">Fertiliser_Equations_LeachingAndRunoff.VEERG_5_5_1_1__2_MassOfNitrogenLeachedFromInorganicFertiliser(E41, $I$14, $I$15)</f>
        <v>0</v>
      </c>
    </row>
    <row r="42" spans="1:11" ht="20" customHeight="1" x14ac:dyDescent="0.25">
      <c r="A42" s="5" t="str">
        <f>HYPERLINK("#'8.1.1.1-2 Transport fuel'!A1", "8.1.1.1-2 Transport fuel")</f>
        <v>8.1.1.1-2 Transport fuel</v>
      </c>
    </row>
    <row r="43" spans="1:11" ht="20" customHeight="1" x14ac:dyDescent="0.25">
      <c r="A43" s="5" t="str">
        <f>HYPERLINK("#'8.2.1.1-2 Stationary fuel'!A1", "8.2.1.1-2 Stationary fuel")</f>
        <v>8.2.1.1-2 Stationary fuel</v>
      </c>
      <c r="D43" s="93" t="s">
        <v>718</v>
      </c>
      <c r="E43" s="87">
        <f>SUM(F23:F41)</f>
        <v>0</v>
      </c>
      <c r="F43" s="94" t="str">
        <f>$E$11</f>
        <v>kg N</v>
      </c>
    </row>
    <row r="44" spans="1:11" ht="20" customHeight="1" x14ac:dyDescent="0.25">
      <c r="A44" s="5" t="str">
        <f>HYPERLINK("#'10.1.1-2 Solid waste treatment'!A1", "10.1.1.1-2 Solid waste")</f>
        <v>10.1.1.1-2 Solid waste</v>
      </c>
    </row>
    <row r="45" spans="1:11" ht="20" customHeight="1" x14ac:dyDescent="0.25">
      <c r="A45" s="5" t="str">
        <f>HYPERLINK("#'14.1.1-2 Purchased electricity'!A1", "14.1.1-2 Purchased electricity")</f>
        <v>14.1.1-2 Purchased electricity</v>
      </c>
      <c r="C45" s="175"/>
      <c r="D45" s="175"/>
      <c r="E45" s="175"/>
      <c r="F45" s="175"/>
      <c r="G45" s="175"/>
      <c r="H45" s="175"/>
      <c r="I45" s="175"/>
      <c r="J45" s="175"/>
      <c r="K45" s="175"/>
    </row>
    <row r="46" spans="1:11" ht="20" customHeight="1" x14ac:dyDescent="0.25">
      <c r="A46" s="5" t="str">
        <f>HYPERLINK("#'15 Scope 3'!A1", "15 Scope 3")</f>
        <v>15 Scope 3</v>
      </c>
    </row>
    <row r="47" spans="1:11" ht="20" customHeight="1" x14ac:dyDescent="0.25">
      <c r="A47" s="5" t="str">
        <f>HYPERLINK("#'Calcs - Manure sent off-site'!A1", "Calcs - Manure sent off-site")</f>
        <v>Calcs - Manure sent off-site</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 customHeight="1" x14ac:dyDescent="0.25">
      <c r="D48" s="17" t="str" cm="1">
        <f t="array" ref="D48">Fertiliser_Equations_LeachingAndRunoff.VEERG_5_5_1_1__3_MassOfNitrogenLeachedFromOrganicFertiliser_Source()</f>
        <v>VEERG 2026: 5.5, Equation (3)</v>
      </c>
    </row>
    <row r="49" spans="1:9" ht="20" customHeight="1" x14ac:dyDescent="0.25">
      <c r="D49" s="103" t="s">
        <v>372</v>
      </c>
      <c r="E49" s="103" t="str" cm="1">
        <f t="array" aca="1" ref="E49" ca="1">Common_InputFunctions.Utility_DisplayFunctionName(F65)</f>
        <v>=Fertiliser_Equations_LeachingAndRunoff.VEERG_5_5_1_1__3_MassOfNitrogenLeachedFromOrganicFertiliser</v>
      </c>
    </row>
    <row r="50" spans="1:9" ht="20" customHeight="1" x14ac:dyDescent="0.25">
      <c r="A50" s="85" t="s">
        <v>1</v>
      </c>
    </row>
    <row r="51" spans="1:9" ht="20" customHeight="1" x14ac:dyDescent="0.25">
      <c r="A51" s="5" t="str">
        <f>HYPERLINK("#'Constants - Pasture Beef'!A1", "Constants - Pasture Beef")</f>
        <v>Constants - Pasture Beef</v>
      </c>
    </row>
    <row r="52" spans="1:9" ht="20" customHeight="1" x14ac:dyDescent="0.25">
      <c r="A52" s="5" t="str">
        <f>HYPERLINK("#'Constants - Ag Residue'!A1", "Constants - Ag residue")</f>
        <v>Constants - Ag residue</v>
      </c>
      <c r="D52" s="77" t="s">
        <v>374</v>
      </c>
      <c r="E52" s="1" t="str" cm="1">
        <f t="array" ref="E52">Fertiliser_Equations_LeachingAndRunoff.VEERG_5_5_1_1__3_MassOfNitrogenLeachedFromOrganicFertiliser_Variable()</f>
        <v>M_leachorganicj</v>
      </c>
    </row>
    <row r="53" spans="1:9" ht="20" customHeight="1" x14ac:dyDescent="0.25">
      <c r="A53" s="5" t="str">
        <f>HYPERLINK("#'Constants - Common Livestock'!A1", "Constants - Common Livestock")</f>
        <v>Constants - Common Livestock</v>
      </c>
      <c r="D53" s="77" t="s">
        <v>121</v>
      </c>
      <c r="E53" s="9" t="str" cm="1">
        <f t="array" ref="E53">Fertiliser_Equations_LeachingAndRunoff.VEERG_5_5_1_1__3_MassOfNitrogenLeachedFromOrganicFertiliser_Unit()</f>
        <v>kg N</v>
      </c>
    </row>
    <row r="54" spans="1:9" ht="20" customHeight="1" x14ac:dyDescent="0.25">
      <c r="A54" s="5" t="str">
        <f>HYPERLINK("#'Constants - Electricity'!A1", "Constants - Electricity")</f>
        <v>Constants - Electricity</v>
      </c>
    </row>
    <row r="55" spans="1:9" ht="20" customHeight="1" x14ac:dyDescent="0.25">
      <c r="A55" s="5" t="str">
        <f>HYPERLINK("#'Constants - Fertiliser'!A1", "Constants - Fertiliser")</f>
        <v>Constants - Fertiliser</v>
      </c>
      <c r="D55" s="105" t="str" cm="1">
        <f t="array" ref="D55:E60">_xlfn.CHOOSECOLS(Fertiliser_Equations_LeachingAndRunoff.VEERG_5_5_1_1__3_MassOfNitrogenLeachedFromOrganicFertiliser_Arguments(), 1, 2)</f>
        <v>MNSoil_jf</v>
      </c>
      <c r="E55" s="106" t="str">
        <v>mass of nitrogen in organic fertiliser</v>
      </c>
      <c r="F55" s="108"/>
      <c r="G55" s="105" t="str" cm="1">
        <f t="array" ref="G55:H60">_xlfn.CHOOSECOLS(Fertiliser_Equations_LeachingAndRunoff.VEERG_5_5_1_1__3_MassOfNitrogenLeachedFromOrganicFertiliser_Arguments(), 3,4)</f>
        <v>kg N</v>
      </c>
      <c r="H55" s="110" t="str">
        <v>Calculated from 5.2.1.1 (2)</v>
      </c>
      <c r="I55" s="111" t="str" cm="1">
        <f t="array" aca="1" ref="I55" ca="1">HYPERLINK(Common_InputFunctions.Utility_SourceHyperlink(D62), D62)</f>
        <v>Table_M_leach_organic_j</v>
      </c>
    </row>
    <row r="56" spans="1:9" ht="20" customHeight="1" x14ac:dyDescent="0.25">
      <c r="A56" s="5" t="str">
        <f>HYPERLINK("#'Constants - Fuel'!A1", "Constants - Fuel")</f>
        <v>Constants - Fuel</v>
      </c>
      <c r="D56" s="105" t="str">
        <v>FracWETj</v>
      </c>
      <c r="E56" s="106" t="str">
        <v>fraction of N available for leaching and runoff</v>
      </c>
      <c r="F56" s="108"/>
      <c r="G56" s="105" t="str">
        <v>fraction</v>
      </c>
      <c r="H56" s="110" t="str">
        <v>Constant</v>
      </c>
      <c r="I56" s="105">
        <f>Common_InputFunctions.CommonCropping_GetFracWET(I58,I60,Table_SourceData_FracWET[Is in leaching zone],Table_SourceData_FracWET[FracWET],Table_SourceData_FracWETIrrigation[Irrigation type i],Table_SourceData_FracWETIrrigation[FracWET])</f>
        <v>0</v>
      </c>
    </row>
    <row r="57" spans="1:9" ht="20" customHeight="1" x14ac:dyDescent="0.25">
      <c r="A57" s="5" t="str">
        <f>HYPERLINK("#'Constants - Scope 3'!A1", "Constants - Scope 3")</f>
        <v>Constants - Scope 3</v>
      </c>
      <c r="D57" s="105" t="str">
        <v>FracLEACH</v>
      </c>
      <c r="E57" s="106" t="str">
        <v>fraction of N that is lost through leaching and runoff</v>
      </c>
      <c r="F57" s="108"/>
      <c r="G57" s="105" t="str">
        <v>fraction</v>
      </c>
      <c r="H57" s="110" t="str">
        <v>Constant</v>
      </c>
      <c r="I57" s="105">
        <f>Fertiliser_FracLEACH_Data</f>
        <v>0.24</v>
      </c>
    </row>
    <row r="58" spans="1:9" ht="20" customHeight="1" x14ac:dyDescent="0.25">
      <c r="A58" s="5" t="str">
        <f>HYPERLINK("#'Constants - Solid Waste'!A1", "Constants - Solid Waste")</f>
        <v>Constants - Solid Waste</v>
      </c>
      <c r="D58" s="105" t="str">
        <v>z</v>
      </c>
      <c r="E58" s="106" t="str">
        <v>location in leaching zone</v>
      </c>
      <c r="F58" s="108"/>
      <c r="G58" s="105" t="str">
        <v/>
      </c>
      <c r="H58" s="109" t="str">
        <v>Input</v>
      </c>
      <c r="I58" s="105">
        <f>X_Cell_Site_LeachingZone</f>
        <v>0</v>
      </c>
    </row>
    <row r="59" spans="1:9" ht="20" customHeight="1" x14ac:dyDescent="0.25">
      <c r="A59" s="5" t="str">
        <f>HYPERLINK("#'Constants - Common'!A1", "Constants - Common")</f>
        <v>Constants - Common</v>
      </c>
      <c r="D59" s="105" t="str">
        <v>j</v>
      </c>
      <c r="E59" s="106" t="str">
        <v>production system</v>
      </c>
      <c r="F59" s="108"/>
      <c r="G59" s="105" t="str">
        <v/>
      </c>
      <c r="H59" s="109" t="str">
        <v>Input</v>
      </c>
      <c r="I59" s="105">
        <f>X_Cell_Fertiliser_ProductionSystem</f>
        <v>0</v>
      </c>
    </row>
    <row r="60" spans="1:9" ht="20" customHeight="1" x14ac:dyDescent="0.25">
      <c r="A60" s="5" t="str">
        <f>HYPERLINK("#'Acknowledgements'!A1", "Acknowledgements")</f>
        <v>Acknowledgements</v>
      </c>
      <c r="D60" s="105" t="str">
        <v>ir</v>
      </c>
      <c r="E60" s="106" t="str">
        <v>irrigation method</v>
      </c>
      <c r="F60" s="108"/>
      <c r="G60" s="105" t="str">
        <v/>
      </c>
      <c r="H60" s="109" t="str">
        <v>Input</v>
      </c>
      <c r="I60" s="105">
        <f>X_Cell_Fertiliser_IrrigationMethod</f>
        <v>0</v>
      </c>
    </row>
    <row r="61" spans="1:9" ht="20" customHeight="1" x14ac:dyDescent="0.25"/>
    <row r="62" spans="1:9" ht="20" customHeight="1" x14ac:dyDescent="0.25">
      <c r="D62" s="112" t="s">
        <v>719</v>
      </c>
    </row>
    <row r="63" spans="1:9" ht="20" customHeight="1" x14ac:dyDescent="0.25">
      <c r="D63" s="113" t="s">
        <v>720</v>
      </c>
    </row>
    <row r="64" spans="1:9" ht="20" customHeight="1" x14ac:dyDescent="0.25">
      <c r="D64" s="82" t="s">
        <v>681</v>
      </c>
      <c r="E64" s="176" t="s">
        <v>685</v>
      </c>
      <c r="F64" s="114" t="s">
        <v>721</v>
      </c>
    </row>
    <row r="65" spans="3:11" ht="20" customHeight="1" x14ac:dyDescent="0.25">
      <c r="D65" s="15">
        <f>INDEX(Table_MNSoil_j_f,2,1)</f>
        <v>0</v>
      </c>
      <c r="E65" s="15">
        <f>INDEX(Table_MNSoil_j_f,2,6)</f>
        <v>0</v>
      </c>
      <c r="F65" s="15" cm="1">
        <f t="array" ref="F65">Fertiliser_Equations_LeachingAndRunoff.VEERG_5_5_1_1__3_MassOfNitrogenLeachedFromOrganicFertiliser(E65,$I$56, $I$57)</f>
        <v>0</v>
      </c>
    </row>
    <row r="66" spans="3:11" ht="20" customHeight="1" x14ac:dyDescent="0.25">
      <c r="D66" s="15">
        <f>INDEX(Table_MNSoil_j_f,3,1)</f>
        <v>0</v>
      </c>
      <c r="E66" s="15">
        <f>INDEX(Table_MNSoil_j_f,3,6)</f>
        <v>0</v>
      </c>
      <c r="F66" s="15" cm="1">
        <f t="array" ref="F66">Fertiliser_Equations_LeachingAndRunoff.VEERG_5_5_1_1__3_MassOfNitrogenLeachedFromOrganicFertiliser(E66,$I$56, $I$57)</f>
        <v>0</v>
      </c>
    </row>
    <row r="67" spans="3:11" ht="20" customHeight="1" x14ac:dyDescent="0.25">
      <c r="D67" s="15">
        <f>INDEX(Table_MNSoil_j_f,4,1)</f>
        <v>0</v>
      </c>
      <c r="E67" s="15">
        <f>INDEX(Table_MNSoil_j_f,4,6)</f>
        <v>0</v>
      </c>
      <c r="F67" s="15" cm="1">
        <f t="array" ref="F67">Fertiliser_Equations_LeachingAndRunoff.VEERG_5_5_1_1__3_MassOfNitrogenLeachedFromOrganicFertiliser(E67,$I$56, $I$57)</f>
        <v>0</v>
      </c>
    </row>
    <row r="68" spans="3:11" ht="20" customHeight="1" x14ac:dyDescent="0.25">
      <c r="D68" s="15">
        <f>'5.2.1.1-2 Organic Fert N2O'!D23</f>
        <v>0</v>
      </c>
      <c r="E68" s="15">
        <f>'5.2.1.1-2 Organic Fert N2O'!I23</f>
        <v>0</v>
      </c>
      <c r="F68" s="15" cm="1">
        <f t="array" ref="F68">Fertiliser_Equations_LeachingAndRunoff.VEERG_5_5_1_1__3_MassOfNitrogenLeachedFromOrganicFertiliser(E68,$I$56, $I$57)</f>
        <v>0</v>
      </c>
    </row>
    <row r="69" spans="3:11" ht="20" customHeight="1" x14ac:dyDescent="0.25">
      <c r="D69" s="15">
        <f>'5.2.1.1-2 Organic Fert N2O'!D24</f>
        <v>0</v>
      </c>
      <c r="E69" s="15">
        <f>'5.2.1.1-2 Organic Fert N2O'!I24</f>
        <v>0</v>
      </c>
      <c r="F69" s="15" cm="1">
        <f t="array" ref="F69">Fertiliser_Equations_LeachingAndRunoff.VEERG_5_5_1_1__3_MassOfNitrogenLeachedFromOrganicFertiliser(E69,$I$56, $I$57)</f>
        <v>0</v>
      </c>
    </row>
    <row r="70" spans="3:11" ht="20" customHeight="1" x14ac:dyDescent="0.25">
      <c r="D70" s="15">
        <f>'5.2.1.1-2 Organic Fert N2O'!D25</f>
        <v>0</v>
      </c>
      <c r="E70" s="15">
        <f>'5.2.1.1-2 Organic Fert N2O'!I25</f>
        <v>0</v>
      </c>
      <c r="F70" s="15" cm="1">
        <f t="array" ref="F70">Fertiliser_Equations_LeachingAndRunoff.VEERG_5_5_1_1__3_MassOfNitrogenLeachedFromOrganicFertiliser(E70,$I$56, $I$57)</f>
        <v>0</v>
      </c>
    </row>
    <row r="71" spans="3:11" ht="20" customHeight="1" x14ac:dyDescent="0.25">
      <c r="D71" s="15">
        <f>'5.2.1.1-2 Organic Fert N2O'!D26</f>
        <v>0</v>
      </c>
      <c r="E71" s="15">
        <f>'5.2.1.1-2 Organic Fert N2O'!I26</f>
        <v>0</v>
      </c>
      <c r="F71" s="15" cm="1">
        <f t="array" ref="F71">Fertiliser_Equations_LeachingAndRunoff.VEERG_5_5_1_1__3_MassOfNitrogenLeachedFromOrganicFertiliser(E71,$I$56, $I$57)</f>
        <v>0</v>
      </c>
    </row>
    <row r="72" spans="3:11" ht="20" customHeight="1" x14ac:dyDescent="0.25">
      <c r="D72" s="15">
        <f>'5.2.1.1-2 Organic Fert N2O'!D27</f>
        <v>0</v>
      </c>
      <c r="E72" s="15">
        <f>'5.2.1.1-2 Organic Fert N2O'!I27</f>
        <v>0</v>
      </c>
      <c r="F72" s="15" cm="1">
        <f t="array" ref="F72">Fertiliser_Equations_LeachingAndRunoff.VEERG_5_5_1_1__3_MassOfNitrogenLeachedFromOrganicFertiliser(E72,$I$56, $I$57)</f>
        <v>0</v>
      </c>
    </row>
    <row r="73" spans="3:11" ht="20" customHeight="1" x14ac:dyDescent="0.25">
      <c r="D73" s="15">
        <f>'5.2.1.1-2 Organic Fert N2O'!D28</f>
        <v>0</v>
      </c>
      <c r="E73" s="15">
        <f>'5.2.1.1-2 Organic Fert N2O'!I28</f>
        <v>0</v>
      </c>
      <c r="F73" s="15" cm="1">
        <f t="array" ref="F73">Fertiliser_Equations_LeachingAndRunoff.VEERG_5_5_1_1__3_MassOfNitrogenLeachedFromOrganicFertiliser(E73,$I$56, $I$57)</f>
        <v>0</v>
      </c>
    </row>
    <row r="74" spans="3:11" ht="20" customHeight="1" x14ac:dyDescent="0.25">
      <c r="D74" s="15">
        <f>'5.2.1.1-2 Organic Fert N2O'!D29</f>
        <v>0</v>
      </c>
      <c r="E74" s="15">
        <f>'5.2.1.1-2 Organic Fert N2O'!I29</f>
        <v>0</v>
      </c>
      <c r="F74" s="15" cm="1">
        <f t="array" ref="F74">Fertiliser_Equations_LeachingAndRunoff.VEERG_5_5_1_1__3_MassOfNitrogenLeachedFromOrganicFertiliser(E74,$I$56, $I$57)</f>
        <v>0</v>
      </c>
    </row>
    <row r="75" spans="3:11" ht="20" customHeight="1" x14ac:dyDescent="0.25">
      <c r="D75" s="15">
        <f>'5.2.1.1-2 Organic Fert N2O'!D30</f>
        <v>0</v>
      </c>
      <c r="E75" s="15">
        <f>'5.2.1.1-2 Organic Fert N2O'!I30</f>
        <v>0</v>
      </c>
      <c r="F75" s="15" cm="1">
        <f t="array" ref="F75">Fertiliser_Equations_LeachingAndRunoff.VEERG_5_5_1_1__3_MassOfNitrogenLeachedFromOrganicFertiliser(E75,$I$56, $I$57)</f>
        <v>0</v>
      </c>
    </row>
    <row r="76" spans="3:11" ht="20" customHeight="1" x14ac:dyDescent="0.25"/>
    <row r="77" spans="3:11" ht="20" customHeight="1" x14ac:dyDescent="0.25">
      <c r="D77" s="93" t="s">
        <v>722</v>
      </c>
      <c r="E77" s="87">
        <f>SUM(F65:F75)</f>
        <v>0</v>
      </c>
      <c r="F77" s="94" t="str">
        <f>$E$53</f>
        <v>kg N</v>
      </c>
    </row>
    <row r="78" spans="3:11" ht="20" customHeight="1" x14ac:dyDescent="0.25"/>
    <row r="79" spans="3:11" ht="20" customHeight="1" x14ac:dyDescent="0.25">
      <c r="C79" s="175"/>
      <c r="D79" s="175"/>
      <c r="E79" s="175"/>
      <c r="F79" s="175"/>
      <c r="G79" s="175"/>
      <c r="H79" s="175"/>
      <c r="I79" s="175"/>
      <c r="J79" s="175"/>
      <c r="K79" s="175"/>
    </row>
    <row r="80" spans="3:11" ht="20" customHeight="1" x14ac:dyDescent="0.25"/>
    <row r="81" spans="4:10" ht="20"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 customHeight="1" x14ac:dyDescent="0.25">
      <c r="D82" s="17" t="str" cm="1">
        <f t="array" ref="D82">Fertiliser_Equations_LeachingAndRunoff.VEERG_5_5_1_1__1_FertiliserLeachingAndRunoffN2OEmissions_Source()</f>
        <v>VEERG 2026: 5.5, Equation (1)</v>
      </c>
    </row>
    <row r="83" spans="4:10" ht="20" customHeight="1" x14ac:dyDescent="0.25">
      <c r="D83" s="103" t="s">
        <v>372</v>
      </c>
      <c r="E83" s="103" t="str">
        <f ca="1">Common_InputFunctions.Utility_DisplayFunctionName(VEERG_5_5_1_1__1_FertiliserLeachingAndRunoffN2OEmissions_result_Method1)</f>
        <v>=Fertiliser_Equations_LeachingAndRunoff.VEERG_5_5_1_1__1_FertiliserLeachingAndRunoffN2OEmissions</v>
      </c>
    </row>
    <row r="84" spans="4:10" ht="20" customHeight="1" x14ac:dyDescent="0.25"/>
    <row r="85" spans="4:10" ht="20" customHeight="1" x14ac:dyDescent="0.25"/>
    <row r="86" spans="4:10" ht="20" customHeight="1" x14ac:dyDescent="0.25">
      <c r="D86" s="77" t="s">
        <v>374</v>
      </c>
      <c r="E86" s="1" t="str" cm="1">
        <f t="array" ref="E86">Fertiliser_Equations_LeachingAndRunoff.VEERG_5_5_1_1__1_FertiliserLeachingAndRunoffN2OEmissions_Variable()</f>
        <v>E_fertleach</v>
      </c>
    </row>
    <row r="87" spans="4:10" ht="20" customHeight="1" x14ac:dyDescent="0.25">
      <c r="D87" s="77" t="s">
        <v>121</v>
      </c>
      <c r="E87" s="9" t="str" cm="1">
        <f t="array" ref="E87">Fertiliser_Equations_LeachingAndRunoff.VEERG_5_5_1_1__1_FertiliserLeachingAndRunoffN2OEmissions_Unit()</f>
        <v>t N2O</v>
      </c>
    </row>
    <row r="88" spans="4:10" ht="20" customHeight="1" x14ac:dyDescent="0.25"/>
    <row r="89" spans="4:10" ht="20" customHeight="1" x14ac:dyDescent="0.25">
      <c r="D89" s="105" t="str" cm="1">
        <f t="array" ref="D89:E92">_xlfn.CHOOSECOLS(Fertiliser_Equations_LeachingAndRunoff.VEERG_5_5_1_1__1_FertiliserLeachingAndRunoffN2OEmissions_Arguments(), 1, 2)</f>
        <v>M_leachinorganicj</v>
      </c>
      <c r="E89" s="106" t="str">
        <v>mass of nitrogen lost through leaching and runoff from inorganic fertiliser application in production system j</v>
      </c>
      <c r="F89" s="107"/>
      <c r="G89" s="108"/>
      <c r="H89" s="105" t="str" cm="1">
        <f t="array" ref="H89:I92">_xlfn.CHOOSECOLS(Fertiliser_Equations_LeachingAndRunoff.VEERG_5_5_1_1__1_FertiliserLeachingAndRunoffN2OEmissions_Arguments(), 3,4)</f>
        <v>kg N</v>
      </c>
      <c r="I89" s="110" t="str">
        <v>Calculated from 5.5.1.1 (2)</v>
      </c>
      <c r="J89" s="105">
        <f>$E$43</f>
        <v>0</v>
      </c>
    </row>
    <row r="90" spans="4:10" ht="20" customHeight="1" x14ac:dyDescent="0.25">
      <c r="D90" s="105" t="str">
        <v>M_leachorganicj</v>
      </c>
      <c r="E90" s="106" t="str">
        <v>mass of nitrogen lost through leaching and runoff from organic fertiliser application</v>
      </c>
      <c r="F90" s="107"/>
      <c r="G90" s="108"/>
      <c r="H90" s="105" t="str">
        <v>kg N</v>
      </c>
      <c r="I90" s="110" t="str">
        <v>Calculated from 5.5.1.1 (3)</v>
      </c>
      <c r="J90" s="105">
        <f>$E$77</f>
        <v>0</v>
      </c>
    </row>
    <row r="91" spans="4:10" ht="20" customHeight="1" x14ac:dyDescent="0.25">
      <c r="D91" s="105" t="str">
        <v>EF_leach</v>
      </c>
      <c r="E91" s="106" t="str">
        <v>emission factor for nitrogen leaching and runoff</v>
      </c>
      <c r="F91" s="107"/>
      <c r="G91" s="108"/>
      <c r="H91" s="105" t="str">
        <v>kg N2O-N/kg N</v>
      </c>
      <c r="I91" s="110" t="str">
        <v>Constant</v>
      </c>
      <c r="J91" s="105">
        <f>Fertiliser_EFLeach_Data</f>
        <v>1.0999999999999999E-2</v>
      </c>
    </row>
    <row r="92" spans="4:10" ht="20" customHeight="1" x14ac:dyDescent="0.25">
      <c r="D92" s="105" t="str">
        <v>C_N2O</v>
      </c>
      <c r="E92" s="106" t="str">
        <v>factor to convert elemental mass of nitrous oxide to molecular mass</v>
      </c>
      <c r="F92" s="107"/>
      <c r="G92" s="108"/>
      <c r="H92" s="105" t="str">
        <v/>
      </c>
      <c r="I92" s="110" t="str">
        <v>Constant</v>
      </c>
      <c r="J92" s="116">
        <f>Common_InputFunctions.Utility_LookupValueInTableNumber("N2O",Table_GasToMolecularConversionFactor[Gas],Table_GasToMolecularConversionFactor[Conversion factor combined])</f>
        <v>1.5714285714285714</v>
      </c>
    </row>
    <row r="93" spans="4:10" ht="20" customHeight="1" x14ac:dyDescent="0.25"/>
    <row r="94" spans="4:10" ht="20" customHeight="1" x14ac:dyDescent="0.25">
      <c r="D94" s="90" t="s">
        <v>723</v>
      </c>
      <c r="E94" s="91" cm="1">
        <f t="array" ref="E94">Fertiliser_Equations_LeachingAndRunoff.VEERG_5_5_1_1__1_FertiliserLeachingAndRunoffN2OEmissions(J89,J90,J91,J92)</f>
        <v>0</v>
      </c>
      <c r="F94" s="95" t="str">
        <f>$E$87</f>
        <v>t N2O</v>
      </c>
    </row>
    <row r="95" spans="4:10" ht="20" customHeight="1" x14ac:dyDescent="0.25"/>
    <row r="96" spans="4:10" ht="20" customHeight="1" x14ac:dyDescent="0.25">
      <c r="D96" s="116" t="str" cm="1">
        <f t="array" ref="D96:E97">Common_Equations.Common_ConvertN2OToCO2e_Arguments()</f>
        <v>EN2O</v>
      </c>
      <c r="E96" s="117" t="str">
        <v>Nitrous oxide emissions (t N2O)</v>
      </c>
      <c r="F96" s="118"/>
      <c r="G96" s="15">
        <f>VEERG_5_5_1_1__1_FertiliserLeachingAndRunoffN2OEmissions_result_Method1</f>
        <v>0</v>
      </c>
    </row>
    <row r="97" spans="4:7" ht="20" customHeight="1" x14ac:dyDescent="0.25">
      <c r="D97" s="116" t="str">
        <v>GWPN2O</v>
      </c>
      <c r="E97" s="117" t="str">
        <v>Global warming potential for nitrous oxide (t CO2-e / t N2O)</v>
      </c>
      <c r="F97" s="118"/>
      <c r="G97" s="15">
        <f>Common_InputFunctions.Utility_LookupValueInTableNumber("N2O",Table_GWPData[Gas],Table_GWPData[CO2-e factor])</f>
        <v>265</v>
      </c>
    </row>
    <row r="98" spans="4:7" ht="20" customHeight="1" x14ac:dyDescent="0.25"/>
    <row r="99" spans="4:7" ht="20" customHeight="1" x14ac:dyDescent="0.25">
      <c r="D99" s="87" t="s">
        <v>436</v>
      </c>
      <c r="E99" s="87" cm="1">
        <f t="array" ref="E99">Common_Equations.Common_ConvertN2OToCO2e(G96,G97)</f>
        <v>0</v>
      </c>
      <c r="F99" s="94" t="str" cm="1">
        <f t="array" ref="F99">Common_Equations.Common_ConvertN2OToCO2e_Unit()</f>
        <v>t CO2e</v>
      </c>
    </row>
    <row r="100" spans="4:7" ht="20" customHeight="1" x14ac:dyDescent="0.25"/>
    <row r="101" spans="4:7" ht="20" customHeight="1" x14ac:dyDescent="0.25"/>
    <row r="102" spans="4:7" ht="20" customHeight="1" x14ac:dyDescent="0.25"/>
    <row r="103" spans="4:7" ht="20" customHeight="1" x14ac:dyDescent="0.25"/>
    <row r="104" spans="4:7" ht="20" customHeight="1" x14ac:dyDescent="0.25"/>
    <row r="105" spans="4:7" ht="20" customHeight="1" x14ac:dyDescent="0.25"/>
    <row r="106" spans="4:7" ht="20" customHeight="1" x14ac:dyDescent="0.25"/>
    <row r="107" spans="4:7" ht="20" customHeight="1" x14ac:dyDescent="0.25"/>
    <row r="108" spans="4:7" ht="20" customHeight="1" x14ac:dyDescent="0.25"/>
    <row r="109" spans="4:7" ht="20" customHeight="1" x14ac:dyDescent="0.25"/>
    <row r="110" spans="4:7" ht="20" customHeight="1" x14ac:dyDescent="0.25"/>
    <row r="111" spans="4:7" ht="20" customHeight="1" x14ac:dyDescent="0.25"/>
    <row r="112" spans="4:7"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816E7-A45D-46A1-B0B2-8AF8609FE31F}">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1" customFormat="1" ht="30" customHeight="1" x14ac:dyDescent="0.35">
      <c r="A1" s="10" t="e" vm="1">
        <v>#VALUE!</v>
      </c>
      <c r="C1" s="21" t="s">
        <v>943</v>
      </c>
    </row>
    <row r="2" spans="1:21" s="3" customFormat="1" ht="20" customHeight="1" x14ac:dyDescent="0.25">
      <c r="A2"/>
    </row>
    <row r="3" spans="1:21" ht="20" customHeight="1" x14ac:dyDescent="0.25">
      <c r="A3" s="5" t="str">
        <f>HYPERLINK("#'Home'!A1", "Home")</f>
        <v>Home</v>
      </c>
      <c r="C3" s="23"/>
      <c r="D3" s="23" t="s">
        <v>136</v>
      </c>
      <c r="E3" s="23"/>
      <c r="F3" s="23"/>
      <c r="G3" s="23"/>
      <c r="H3" s="23"/>
      <c r="I3" s="23"/>
      <c r="J3" s="23"/>
      <c r="K3" s="23"/>
      <c r="M3" s="23"/>
      <c r="N3" s="23" t="s">
        <v>137</v>
      </c>
      <c r="O3" s="23"/>
      <c r="P3" s="23"/>
      <c r="Q3" s="23"/>
      <c r="R3" s="23"/>
      <c r="S3" s="23"/>
      <c r="T3" s="23"/>
      <c r="U3" s="23"/>
    </row>
    <row r="4" spans="1:21" ht="20" customHeight="1" x14ac:dyDescent="0.25">
      <c r="A4" s="5" t="str">
        <f>HYPERLINK("#'Results - Activity period'!A1", "Results - Activity period")</f>
        <v>Results - Activity period</v>
      </c>
    </row>
    <row r="5" spans="1:21" ht="20" customHeight="1" x14ac:dyDescent="0.25">
      <c r="A5" s="5" t="str">
        <f>HYPERLINK("#'Results - Product EI'!A1", "Results - Product Emissions Intensity")</f>
        <v>Results - Product Emissions Intensity</v>
      </c>
      <c r="D5" s="2" t="str" cm="1">
        <f t="array" ref="D5">AgResidue_Equations_PastureResidue.VEERG_6_2_1_1__2__MassOfNitrogenInPastureResidues_Title()</f>
        <v>Mass of nitrogen in pasture residues returned to the soil</v>
      </c>
    </row>
    <row r="6" spans="1:21" ht="20" customHeight="1" x14ac:dyDescent="0.25">
      <c r="D6" s="17" t="str" cm="1">
        <f t="array" ref="D6">AgResidue_Equations_PastureResidue.VEERG_6_2_1_1__2__MassOfNitrogenInPastureResidues_Source()</f>
        <v>VEERG 2026: 6.2.1.1, Equation (2)</v>
      </c>
    </row>
    <row r="7" spans="1:21" ht="20" customHeight="1" x14ac:dyDescent="0.25">
      <c r="D7" s="103" t="s">
        <v>372</v>
      </c>
      <c r="E7" s="103" t="str" cm="1">
        <f t="array" aca="1" ref="E7" ca="1">Common_InputFunctions.Utility_DisplayFunctionName(E21)</f>
        <v>=AgResidue_Equations_PastureResidue.VEERG_6_2_1_1__2__MassOfNitrogenInPastureResidues</v>
      </c>
    </row>
    <row r="8" spans="1:21" ht="20" customHeight="1" x14ac:dyDescent="0.25">
      <c r="A8" s="7" t="s">
        <v>0</v>
      </c>
    </row>
    <row r="9" spans="1:21" ht="20" customHeight="1" x14ac:dyDescent="0.25">
      <c r="A9" s="5" t="str">
        <f>HYPERLINK("#'Input - Enterprise'!A1", "Enterprise")</f>
        <v>Enterprise</v>
      </c>
    </row>
    <row r="10" spans="1:21" ht="20" customHeight="1" x14ac:dyDescent="0.25">
      <c r="A10" s="5" t="str">
        <f>HYPERLINK("#'Input - Site'!A1", "Site")</f>
        <v>Site</v>
      </c>
      <c r="D10" s="25" t="s">
        <v>374</v>
      </c>
      <c r="E10" s="1" t="str" cm="1">
        <f t="array" ref="E10">AgResidue_Equations_PastureResidue.VEERG_6_2_1_1__2__MassOfNitrogenInPastureResidues_Variable()</f>
        <v>Mp</v>
      </c>
    </row>
    <row r="11" spans="1:21" ht="20" customHeight="1" x14ac:dyDescent="0.25">
      <c r="A11" s="5" t="str">
        <f>HYPERLINK("#'Input - Pasture Beef'!A1", "Pasture Beef")</f>
        <v>Pasture Beef</v>
      </c>
      <c r="D11" s="25" t="s">
        <v>121</v>
      </c>
      <c r="E11" s="9" t="str" cm="1">
        <f t="array" ref="E11">AgResidue_Equations_PastureResidue.VEERG_6_2_1_1__2__MassOfNitrogenInPastureResidues_Unit()</f>
        <v>kg N</v>
      </c>
    </row>
    <row r="12" spans="1:21" ht="20" customHeight="1" x14ac:dyDescent="0.25">
      <c r="A12" s="5" t="str">
        <f>HYPERLINK("#'Input - Livestock sales'!A1", "Livestock sales")</f>
        <v>Livestock sales</v>
      </c>
    </row>
    <row r="13" spans="1:21" ht="20" customHeight="1" x14ac:dyDescent="0.25">
      <c r="A13" s="5" t="str">
        <f>HYPERLINK("#'Input - Beef cattle purchases'!A1", "Beef cattle purchases")</f>
        <v>Beef cattle purchases</v>
      </c>
      <c r="D13" s="105" t="str" cm="1">
        <f t="array" ref="D13:E19">_xlfn.CHOOSECOLS(AgResidue_Equations_PastureResidue.VEERG_6_2_1_1__2__MassOfNitrogenInPastureResidues_Arguments(), 1, 2)</f>
        <v>A_p</v>
      </c>
      <c r="E13" s="106" t="str">
        <v>area of pasture renewed or removed</v>
      </c>
      <c r="F13" s="107"/>
      <c r="G13" s="108"/>
      <c r="H13" s="105" t="str" cm="1">
        <f t="array" ref="H13:I19">_xlfn.CHOOSECOLS(AgResidue_Equations_PastureResidue.VEERG_6_2_1_1__2__MassOfNitrogenInPastureResidues_Arguments(), 3,4)</f>
        <v>ha</v>
      </c>
      <c r="I13" s="109" t="str">
        <v>Input</v>
      </c>
      <c r="J13" s="105">
        <f>X_Cell_Pasture_AreaRemovedOrRenewed</f>
        <v>0</v>
      </c>
      <c r="N13" s="105" t="str" cm="1">
        <f t="array" ref="N13:O19">_xlfn.CHOOSECOLS(AgResidue_Equations_PastureResidue.VEERG_6_2_1_1__2__MassOfNitrogenInPastureResidues_Arguments_Method2(), 1, 2)</f>
        <v>A_p</v>
      </c>
      <c r="O13" s="106" t="str">
        <v>area of pasture renewed or removed</v>
      </c>
      <c r="P13" s="107"/>
      <c r="Q13" s="108"/>
      <c r="R13" s="105" t="str" cm="1">
        <f t="array" ref="R13:S19">_xlfn.CHOOSECOLS(AgResidue_Equations_PastureResidue.VEERG_6_2_1_1__2__MassOfNitrogenInPastureResidues_Arguments_Method2(), 3,4)</f>
        <v>ha</v>
      </c>
      <c r="S13" s="109" t="str">
        <v>Input</v>
      </c>
      <c r="T13" s="105"/>
    </row>
    <row r="14" spans="1:21" ht="20" customHeight="1" x14ac:dyDescent="0.25">
      <c r="A14" s="5" t="str">
        <f>HYPERLINK("#'Input - Pasture'!A1", "Pasture")</f>
        <v>Pasture</v>
      </c>
      <c r="D14" s="105" t="str">
        <v>Y_p</v>
      </c>
      <c r="E14" s="106" t="str">
        <v>average yield of pasture crop</v>
      </c>
      <c r="F14" s="107"/>
      <c r="G14" s="108"/>
      <c r="H14" s="105" t="str">
        <v>t DM/ha</v>
      </c>
      <c r="I14" s="110" t="str">
        <v>Constant</v>
      </c>
      <c r="J14" s="105" cm="1">
        <f t="array" ref="J14">Common_InputFunctions.Utility_LookupValueInTableNumber($J$19,Table_SourceData_PastureAttributes[Pasture type],Table_SourceData_PastureAttributes[Average Yield (t DM ha) Yp])</f>
        <v>0</v>
      </c>
      <c r="N14" s="105" t="str">
        <v>Y_p</v>
      </c>
      <c r="O14" s="106" t="str">
        <v>average yield of pasture crop</v>
      </c>
      <c r="P14" s="107"/>
      <c r="Q14" s="108"/>
      <c r="R14" s="105" t="str">
        <v>t DM/ha</v>
      </c>
      <c r="S14" s="109" t="str">
        <v>Input</v>
      </c>
      <c r="T14" s="105" t="e">
        <f>X_Cell_Pasture_YieldPerHectare</f>
        <v>#N/A</v>
      </c>
    </row>
    <row r="15" spans="1:21" ht="20" customHeight="1" x14ac:dyDescent="0.25">
      <c r="A15" s="5" t="str">
        <f>HYPERLINK("#'Input - Fert Prod System'!A1", "Fert Prod System")</f>
        <v>Fert Prod System</v>
      </c>
      <c r="D15" s="105" t="str">
        <v>NC_AGp</v>
      </c>
      <c r="E15" s="106" t="str">
        <v>N content of above-ground pasture residue</v>
      </c>
      <c r="F15" s="107"/>
      <c r="G15" s="108"/>
      <c r="H15" s="105" t="str">
        <v>kg N/kg DM</v>
      </c>
      <c r="I15" s="110" t="str">
        <v>Constant</v>
      </c>
      <c r="J15" s="105" cm="1">
        <f t="array" ref="J15">Common_InputFunctions.Utility_LookupValueInTableNumber($J$19,Table_SourceData_PastureAttributes[Pasture type],Table_SourceData_PastureAttributes[N content Above-ground NCAGp])</f>
        <v>0</v>
      </c>
      <c r="N15" s="105" t="str">
        <v>NC_AGp</v>
      </c>
      <c r="O15" s="106" t="str">
        <v>N content of above-ground pasture residue</v>
      </c>
      <c r="P15" s="107"/>
      <c r="Q15" s="108"/>
      <c r="R15" s="105" t="str">
        <v>kg N/kg DM</v>
      </c>
      <c r="S15" s="110" t="str">
        <v>Constant</v>
      </c>
      <c r="T15" s="105"/>
    </row>
    <row r="16" spans="1:21" ht="20" customHeight="1" x14ac:dyDescent="0.25">
      <c r="A16" s="5" t="str">
        <f>HYPERLINK("#'Input - Fertiliser'!A1", "Fertiliser")</f>
        <v>Fertiliser</v>
      </c>
      <c r="D16" s="105" t="str">
        <v>R_BGp</v>
      </c>
      <c r="E16" s="106" t="str">
        <v>below-ground residue to above-ground residue ratio for pasture crop</v>
      </c>
      <c r="F16" s="107"/>
      <c r="G16" s="108"/>
      <c r="H16" s="105" t="str">
        <v/>
      </c>
      <c r="I16" s="110" t="str">
        <v>Constant</v>
      </c>
      <c r="J16" s="105" cm="1">
        <f t="array" ref="J16">Common_InputFunctions.Utility_LookupValueInTableNumber($J$19,Table_SourceData_PastureAttributes[Pasture type],Table_SourceData_PastureAttributes[Below-ground: above-ground residue ratio RBGp])</f>
        <v>0</v>
      </c>
      <c r="N16" s="105" t="str">
        <v>R_BGp</v>
      </c>
      <c r="O16" s="106" t="str">
        <v>below-ground residue to above-ground residue ratio for pasture crop</v>
      </c>
      <c r="P16" s="107"/>
      <c r="Q16" s="108"/>
      <c r="R16" s="105" t="str">
        <v/>
      </c>
      <c r="S16" s="110" t="str">
        <v>Constant</v>
      </c>
      <c r="T16" s="105"/>
    </row>
    <row r="17" spans="1:21" ht="20" customHeight="1" x14ac:dyDescent="0.25">
      <c r="A17" s="5" t="str">
        <f>HYPERLINK("#'Input - Fuel'!A1", "Fuel")</f>
        <v>Fuel</v>
      </c>
      <c r="D17" s="105" t="str">
        <v>NC_BGp</v>
      </c>
      <c r="E17" s="106" t="str">
        <v>N content of below-ground pasture crop residue</v>
      </c>
      <c r="F17" s="107"/>
      <c r="G17" s="108"/>
      <c r="H17" s="105" t="str">
        <v>kg N/kg DM</v>
      </c>
      <c r="I17" s="110" t="str">
        <v>Constant</v>
      </c>
      <c r="J17" s="105" cm="1">
        <f t="array" ref="J17">Common_InputFunctions.Utility_LookupValueInTableNumber($J$19,Table_SourceData_PastureAttributes[Pasture type],Table_SourceData_PastureAttributes[N content Below-ground NCBGp])</f>
        <v>0</v>
      </c>
      <c r="N17" s="105" t="str">
        <v>NC_BGp</v>
      </c>
      <c r="O17" s="106" t="str">
        <v>N content of below-ground pasture crop residue</v>
      </c>
      <c r="P17" s="107"/>
      <c r="Q17" s="108"/>
      <c r="R17" s="105" t="str">
        <v>kg N/kg DM</v>
      </c>
      <c r="S17" s="110" t="str">
        <v>Constant</v>
      </c>
      <c r="T17" s="105"/>
    </row>
    <row r="18" spans="1:21" ht="20" customHeight="1" x14ac:dyDescent="0.25">
      <c r="A18" s="5" t="str">
        <f>HYPERLINK("#'Input - Electricity'!A1", "Electricity")</f>
        <v>Electricity</v>
      </c>
      <c r="D18" s="105" t="str">
        <v>FFOD_p</v>
      </c>
      <c r="E18" s="106" t="str">
        <v>fraction of pasture yield that is removed</v>
      </c>
      <c r="F18" s="107"/>
      <c r="G18" s="108"/>
      <c r="H18" s="105" t="str">
        <v>fraction</v>
      </c>
      <c r="I18" s="110" t="str">
        <v>Constant</v>
      </c>
      <c r="J18" s="105" cm="1">
        <f t="array" ref="J18">Common_InputFunctions.Utility_LookupValueInTableNumber($J$19,Table_SourceData_PastureAttributes[Pasture type],Table_SourceData_PastureAttributes[Fraction of pasture yield that is removed FFODp])</f>
        <v>0</v>
      </c>
      <c r="N18" s="105" t="str">
        <v>FFOD_p</v>
      </c>
      <c r="O18" s="106" t="str">
        <v>fraction of pasture yield that is removed</v>
      </c>
      <c r="P18" s="107"/>
      <c r="Q18" s="108"/>
      <c r="R18" s="105" t="str">
        <v>fraction</v>
      </c>
      <c r="S18" s="110" t="str">
        <v>Constant</v>
      </c>
      <c r="T18" s="105"/>
    </row>
    <row r="19" spans="1:21" ht="20" customHeight="1" x14ac:dyDescent="0.25">
      <c r="A19" s="5" t="str">
        <f>HYPERLINK("#'Input - Common farm inputs'!A1", "Common farm inputs")</f>
        <v>Common farm inputs</v>
      </c>
      <c r="D19" s="105" t="str">
        <v>p</v>
      </c>
      <c r="E19" s="106" t="str">
        <v>Pasture type</v>
      </c>
      <c r="F19" s="107"/>
      <c r="G19" s="108"/>
      <c r="H19" s="105" t="str">
        <v/>
      </c>
      <c r="I19" s="109" t="str">
        <v>Input</v>
      </c>
      <c r="J19" s="105">
        <f>X_Cell_Pasture_PastureType</f>
        <v>0</v>
      </c>
      <c r="N19" s="105" t="str">
        <v>p</v>
      </c>
      <c r="O19" s="106" t="str">
        <v>Pasture type</v>
      </c>
      <c r="P19" s="107"/>
      <c r="Q19" s="108"/>
      <c r="R19" s="105" t="str">
        <v/>
      </c>
      <c r="S19" s="109" t="str">
        <v>Input</v>
      </c>
      <c r="T19" s="105"/>
    </row>
    <row r="20" spans="1:21" ht="20" customHeight="1" x14ac:dyDescent="0.25">
      <c r="A20" s="5" t="str">
        <f>HYPERLINK("#'Input - Crop pasture farm input'!A1", "Crop pasture farm input")</f>
        <v>Crop pasture farm input</v>
      </c>
    </row>
    <row r="21" spans="1:21" ht="20" customHeight="1" x14ac:dyDescent="0.25">
      <c r="A21" s="5" t="str">
        <f>HYPERLINK("#'Input - Livestock farm Inputs'!A1", "Livestock farm Inputs")</f>
        <v>Livestock farm Inputs</v>
      </c>
      <c r="D21" s="93" t="s">
        <v>944</v>
      </c>
      <c r="E21" s="87" cm="1">
        <f t="array" ref="E21">AgResidue_Equations_PastureResidue.VEERG_6_2_1_1__2__MassOfNitrogenInPastureResidues(J13,J14,J18,J15,J16,J17)</f>
        <v>0</v>
      </c>
      <c r="F21" s="94" t="str" cm="1">
        <f t="array" ref="F21">AgResidue_Equations_PastureResidue.VEERG_6_2_1_1__2__MassOfNitrogenInPastureResidues_Unit()</f>
        <v>kg N</v>
      </c>
      <c r="N21" s="93" t="s">
        <v>944</v>
      </c>
      <c r="O21" s="87" t="e" cm="1">
        <f t="array" ref="O21">AgResidue_Equations_PastureResidue.VEERG_6_2_1_1__2__MassOfNitrogenInPastureResidues(J13,T14,J18,J15,J16,J17)</f>
        <v>#N/A</v>
      </c>
      <c r="P21" s="94" t="str" cm="1">
        <f t="array" ref="P21">AgResidue_Equations_PastureResidue.VEERG_6_2_1_1__2__MassOfNitrogenInPastureResidues_Unit()</f>
        <v>kg N</v>
      </c>
    </row>
    <row r="22" spans="1:21" ht="20" customHeight="1" x14ac:dyDescent="0.25">
      <c r="A22" s="5" t="str">
        <f>HYPERLINK("#'Input - Freight'!A1", "Freight")</f>
        <v>Freight</v>
      </c>
    </row>
    <row r="23" spans="1:21" ht="20" customHeight="1" x14ac:dyDescent="0.25">
      <c r="A23" s="5" t="str">
        <f>HYPERLINK("#'Input - Solid waste'!A1", "Solid waste")</f>
        <v>Solid waste</v>
      </c>
    </row>
    <row r="24" spans="1:21" ht="20" customHeight="1" x14ac:dyDescent="0.25">
      <c r="A24" s="5" t="str">
        <f>HYPERLINK("#'Input - Manure sent off-site'!A1", "Manure sent off-site")</f>
        <v>Manure sent off-site</v>
      </c>
      <c r="C24" s="87"/>
      <c r="D24" s="87"/>
      <c r="E24" s="87"/>
      <c r="F24" s="87"/>
      <c r="G24" s="87"/>
      <c r="H24" s="87"/>
      <c r="I24" s="87"/>
      <c r="J24" s="87"/>
      <c r="K24" s="87"/>
      <c r="M24" s="87"/>
      <c r="N24" s="87"/>
      <c r="O24" s="87"/>
      <c r="P24" s="87"/>
      <c r="Q24" s="87"/>
      <c r="R24" s="87"/>
      <c r="S24" s="87"/>
      <c r="T24" s="87"/>
      <c r="U24" s="87"/>
    </row>
    <row r="25" spans="1:21" ht="20" customHeight="1" x14ac:dyDescent="0.25">
      <c r="A25" s="5" t="str">
        <f>HYPERLINK("#'Input - Data quality'!A1", "Data quality")</f>
        <v>Data quality</v>
      </c>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 customHeight="1" x14ac:dyDescent="0.25">
      <c r="D26" s="17" t="str" cm="1">
        <f t="array" ref="D26">AgResidue_Equations_PastureResidue.VEERG_6_2_1_1__1__NitrousOxideEmissionsFromPastureResidues_Source()</f>
        <v>VEERG 2026: 6.2.1.1, Equation (1)</v>
      </c>
      <c r="N26" s="17" t="str" cm="1">
        <f t="array" ref="N26">AgResidue_Equations_PastureResidue.VEERG_6_2_1_1__1__NitrousOxideEmissionsFromPastureResidues_Source()</f>
        <v>VEERG 2026: 6.2.1.1, Equation (1)</v>
      </c>
    </row>
    <row r="27" spans="1:21" ht="20" customHeight="1" x14ac:dyDescent="0.25">
      <c r="D27" s="103" t="s">
        <v>372</v>
      </c>
      <c r="E27" s="103" t="str">
        <f ca="1">Common_InputFunctions.Utility_DisplayFunctionName(VEERG_6_2_1_1__1__NitrousOxideEmissionsFromPastureResidues_Result_Method1)</f>
        <v>=AgResidue_Equations_PastureResidue.VEERG_6_2_1_1__1__NitrousOxideEmissionsFromPastureResidues</v>
      </c>
      <c r="N27" s="103" t="s">
        <v>372</v>
      </c>
      <c r="O27" s="103" t="str">
        <f ca="1">Common_InputFunctions.Utility_DisplayFunctionName(VEERG_6_2_1_1__1__NitrousOxideEmissionsFromPastureResidues_Result_Method2)</f>
        <v>=AgResidue_Equations_PastureResidue.VEERG_6_2_1_1__1__NitrousOxideEmissionsFromPastureResidues</v>
      </c>
    </row>
    <row r="28" spans="1:21" ht="20" customHeight="1" x14ac:dyDescent="0.25">
      <c r="A28" s="6" t="s">
        <v>2</v>
      </c>
    </row>
    <row r="29" spans="1:21" ht="20" customHeight="1" x14ac:dyDescent="0.25">
      <c r="A29" s="5" t="str">
        <f>HYPERLINK("#'3.2.1.1-2 Enteric Methane'!A1", "3.2.1.1-2 Enteric Methane")</f>
        <v>3.2.1.1-2 Enteric Methane</v>
      </c>
    </row>
    <row r="30" spans="1:21" ht="20" customHeight="1" x14ac:dyDescent="0.25">
      <c r="A30" s="5" t="str">
        <f>HYPERLINK("#'4.2.1.1-2 Methane'!A1", "4.2.1.1-2 Manure methane")</f>
        <v>4.2.1.1-2 Manure methane</v>
      </c>
      <c r="D30" s="25" t="s">
        <v>374</v>
      </c>
      <c r="E30" s="1" t="str" cm="1">
        <f t="array" ref="E30">AgResidue_Equations_PastureResidue.VEERG_6_2_1_1__1__NitrousOxideEmissionsFromPastureResidues_Variable()</f>
        <v>EN2O</v>
      </c>
      <c r="N30" s="25" t="s">
        <v>374</v>
      </c>
      <c r="O30" s="1" t="str" cm="1">
        <f t="array" ref="O30">AgResidue_Equations_PastureResidue.VEERG_6_2_1_1__1__NitrousOxideEmissionsFromPastureResidues_Variable()</f>
        <v>EN2O</v>
      </c>
    </row>
    <row r="31" spans="1:21" ht="20" customHeight="1" x14ac:dyDescent="0.25">
      <c r="A31" s="5" t="str">
        <f>HYPERLINK("#'4.2.1.3-4 Soil direct N20'!A1", "4.2.1.3-4 Soil direct N2O")</f>
        <v>4.2.1.3-4 Soil direct N2O</v>
      </c>
      <c r="D31" s="25" t="s">
        <v>121</v>
      </c>
      <c r="E31" s="9" t="str" cm="1">
        <f t="array" ref="E31">AgResidue_Equations_PastureResidue.VEERG_6_2_1_1__1__NitrousOxideEmissionsFromPastureResidues_Unit()</f>
        <v>t N2O</v>
      </c>
      <c r="N31" s="25" t="s">
        <v>121</v>
      </c>
      <c r="O31" s="9" t="str" cm="1">
        <f t="array" ref="O31">AgResidue_Equations_PastureResidue.VEERG_6_2_1_1__1__NitrousOxideEmissionsFromPastureResidues_Unit()</f>
        <v>t N2O</v>
      </c>
    </row>
    <row r="32" spans="1:21" ht="20" customHeight="1" x14ac:dyDescent="0.25">
      <c r="A32" s="5" t="str">
        <f>HYPERLINK("#'4.2.1.5-6 Soil Atmos Dep'!A1", "4.2.1.5-6 Soil atm. deposition")</f>
        <v>4.2.1.5-6 Soil atm. deposition</v>
      </c>
    </row>
    <row r="33" spans="1:20" ht="20" customHeight="1" x14ac:dyDescent="0.25">
      <c r="A33" s="5" t="str">
        <f>HYPERLINK("#'4.2.1.7-8 Soil leach runoff'!A1", "4.2.1.7-8 Soil leach &amp; runoff")</f>
        <v>4.2.1.7-8 Soil leach &amp; runoff</v>
      </c>
      <c r="D33" s="105" t="str" cm="1">
        <f t="array" ref="D33:E37">_xlfn.CHOOSECOLS(AgResidue_Equations_PastureResidue.VEERG_6_2_1_1__1__NitrousOxideEmissionsFromPastureResidues_Arguments(), 1, 2)</f>
        <v>M_p</v>
      </c>
      <c r="E33" s="106" t="str">
        <v>mass of nitrogen in pasture p residues returned to the soil</v>
      </c>
      <c r="F33" s="107"/>
      <c r="G33" s="108"/>
      <c r="H33" s="105" t="str" cm="1">
        <f t="array" ref="H33:I37">_xlfn.CHOOSECOLS(AgResidue_Equations_PastureResidue.VEERG_6_2_1_1__1__NitrousOxideEmissionsFromPastureResidues_Arguments(), 3,4)</f>
        <v>kg N</v>
      </c>
      <c r="I33" s="110" t="str">
        <v>Calculated from 6.2.1.1 (2)</v>
      </c>
      <c r="J33" s="105">
        <f>$E$21</f>
        <v>0</v>
      </c>
      <c r="N33" s="105" t="str" cm="1">
        <f t="array" ref="N33:O37">_xlfn.CHOOSECOLS(AgResidue_Equations_PastureResidue.VEERG_6_2_1_1__1__NitrousOxideEmissionsFromPastureResidues_Arguments(), 1, 2)</f>
        <v>M_p</v>
      </c>
      <c r="O33" s="106" t="str">
        <v>mass of nitrogen in pasture p residues returned to the soil</v>
      </c>
      <c r="P33" s="107"/>
      <c r="Q33" s="108"/>
      <c r="R33" s="105" t="str" cm="1">
        <f t="array" ref="R33:S37">_xlfn.CHOOSECOLS(AgResidue_Equations_PastureResidue.VEERG_6_2_1_1__1__NitrousOxideEmissionsFromPastureResidues_Arguments(), 3,4)</f>
        <v>kg N</v>
      </c>
      <c r="S33" s="110" t="str">
        <v>Calculated from 6.2.1.1 (2)</v>
      </c>
      <c r="T33" s="105" t="e">
        <f>$O$21</f>
        <v>#N/A</v>
      </c>
    </row>
    <row r="34" spans="1:20" ht="20" customHeight="1" x14ac:dyDescent="0.25">
      <c r="A34" s="5" t="str">
        <f>HYPERLINK("#'5.1.1.1-2 Inorganic fert N2O'!A1", "5.1.1.1-2 Inorganic fert N2O")</f>
        <v>5.1.1.1-2 Inorganic fert N2O</v>
      </c>
      <c r="D34" s="105" t="str">
        <v>EF_Ni</v>
      </c>
      <c r="E34" s="106" t="str">
        <v>emission factor for crop residues returned to the soil in climate zone i</v>
      </c>
      <c r="F34" s="107"/>
      <c r="G34" s="108"/>
      <c r="H34" s="105" t="str">
        <v>kg N2O-N/kg N</v>
      </c>
      <c r="I34" s="110" t="str">
        <v>Constant</v>
      </c>
      <c r="J34" s="105" cm="1">
        <f t="array" ref="J34">Common_InputFunctions.Utility_LookupValueInTableNumber(J37,Table_SourceData_N2OEFOrganicFert[Climate zone type i],Table_SourceData_N2OEFOrganicFert[EF i N2O])</f>
        <v>0</v>
      </c>
      <c r="N34" s="105" t="str">
        <v>EF_Ni</v>
      </c>
      <c r="O34" s="106" t="str">
        <v>emission factor for crop residues returned to the soil in climate zone i</v>
      </c>
      <c r="P34" s="107"/>
      <c r="Q34" s="108"/>
      <c r="R34" s="105" t="str">
        <v>kg N2O-N/kg N</v>
      </c>
      <c r="S34" s="110" t="str">
        <v>Constant</v>
      </c>
      <c r="T34" s="105"/>
    </row>
    <row r="35" spans="1:20" ht="20" customHeight="1" x14ac:dyDescent="0.25">
      <c r="A35" s="5" t="str">
        <f>HYPERLINK("#'5.1.1.3-4 Inorganic fert CO2'!A1", "5.1.1.3-4 Inorganic fert CO2")</f>
        <v>5.1.1.3-4 Inorganic fert CO2</v>
      </c>
      <c r="D35" s="105" t="str">
        <v>C_N2O</v>
      </c>
      <c r="E35" s="106" t="str">
        <v>factor to convert elemental mass of nitrous oxide to molecular mass</v>
      </c>
      <c r="F35" s="107"/>
      <c r="G35" s="108"/>
      <c r="H35" s="105" t="str">
        <v>dimensionless</v>
      </c>
      <c r="I35" s="110" t="str">
        <v>Constant</v>
      </c>
      <c r="J35" s="105">
        <f>Common_InputFunctions.Utility_LookupValueInTableNumber("N2O",Table_GasToMolecularConversionFactor[Gas],Table_GasToMolecularConversionFactor[Conversion factor combined])</f>
        <v>1.5714285714285714</v>
      </c>
      <c r="N35" s="105" t="str">
        <v>C_N2O</v>
      </c>
      <c r="O35" s="106" t="str">
        <v>factor to convert elemental mass of nitrous oxide to molecular mass</v>
      </c>
      <c r="P35" s="107"/>
      <c r="Q35" s="108"/>
      <c r="R35" s="105" t="str">
        <v>dimensionless</v>
      </c>
      <c r="S35" s="110" t="str">
        <v>Constant</v>
      </c>
      <c r="T35" s="105"/>
    </row>
    <row r="36" spans="1:20" ht="20" customHeight="1" x14ac:dyDescent="0.25">
      <c r="A36" s="5" t="str">
        <f>HYPERLINK("#'5.2.1.1-2 Organic Fert N2O'!A1", "5.2.1.1-2 Organic fert N2O")</f>
        <v>5.2.1.1-2 Organic fert N2O</v>
      </c>
      <c r="D36" s="105" t="str">
        <v>p</v>
      </c>
      <c r="E36" s="106" t="str">
        <v>Pasture type</v>
      </c>
      <c r="F36" s="107"/>
      <c r="G36" s="108"/>
      <c r="H36" s="105" t="str">
        <v/>
      </c>
      <c r="I36" s="109" t="str">
        <v>Input</v>
      </c>
      <c r="J36" s="105">
        <f>X_Cell_Pasture_PastureType</f>
        <v>0</v>
      </c>
      <c r="N36" s="105" t="str">
        <v>p</v>
      </c>
      <c r="O36" s="106" t="str">
        <v>Pasture type</v>
      </c>
      <c r="P36" s="107"/>
      <c r="Q36" s="108"/>
      <c r="R36" s="105" t="str">
        <v/>
      </c>
      <c r="S36" s="109" t="str">
        <v>Input</v>
      </c>
      <c r="T36" s="105"/>
    </row>
    <row r="37" spans="1:20" ht="20" customHeight="1" x14ac:dyDescent="0.25">
      <c r="A37" s="5" t="str">
        <f>HYPERLINK("#'5.3.1.1-2 Lime CO2'!A1", "5.3.1.1-2 Lime CO2")</f>
        <v>5.3.1.1-2 Lime CO2</v>
      </c>
      <c r="D37" s="105" t="str">
        <v>i</v>
      </c>
      <c r="E37" s="106" t="str">
        <v>Wet or dry climate zone</v>
      </c>
      <c r="F37" s="107"/>
      <c r="G37" s="108"/>
      <c r="H37" s="105" t="str">
        <v/>
      </c>
      <c r="I37" s="109" t="str">
        <v>Input</v>
      </c>
      <c r="J37" s="105" t="e">
        <f>X_Cell_Site_WetOrDryClimateZone</f>
        <v>#DIV/0!</v>
      </c>
      <c r="N37" s="105" t="str">
        <v>i</v>
      </c>
      <c r="O37" s="106" t="str">
        <v>Wet or dry climate zone</v>
      </c>
      <c r="P37" s="107"/>
      <c r="Q37" s="108"/>
      <c r="R37" s="105" t="str">
        <v/>
      </c>
      <c r="S37" s="109" t="str">
        <v>Input</v>
      </c>
      <c r="T37" s="105"/>
    </row>
    <row r="38" spans="1:20" ht="20" customHeight="1" x14ac:dyDescent="0.25">
      <c r="A38" s="5" t="str">
        <f>HYPERLINK("#'5.4.1.1-4 Atmos deposition'!A1", "5.4.1.1-4 Atmos. deposition")</f>
        <v>5.4.1.1-4 Atmos. deposition</v>
      </c>
    </row>
    <row r="39" spans="1:20" ht="20" customHeight="1" x14ac:dyDescent="0.25">
      <c r="A39" s="5" t="str">
        <f>HYPERLINK("#'5.5.1.1-2 Leaching and runoff'!A1", "5.5.1.1-2 Leaching &amp; runoff")</f>
        <v>5.5.1.1-2 Leaching &amp; runoff</v>
      </c>
    </row>
    <row r="40" spans="1:20" ht="20" customHeight="1" x14ac:dyDescent="0.25">
      <c r="A40" s="104" t="str">
        <f>HYPERLINK("#'6.2.1.1-2 Pasture residue N2O'!A1", "6.2.1.1-2 Pasture residue N2O")</f>
        <v>6.2.1.1-2 Pasture residue N2O</v>
      </c>
      <c r="D40" s="90" t="s">
        <v>660</v>
      </c>
      <c r="E40" s="91" cm="1">
        <f t="array" ref="E40">AgResidue_Equations_PastureResidue.VEERG_6_2_1_1__1__NitrousOxideEmissionsFromPastureResidues(J33,J34,J35)</f>
        <v>0</v>
      </c>
      <c r="F40" s="95" t="str" cm="1">
        <f t="array" ref="F40">AgResidue_Equations_PastureResidue.VEERG_6_2_1_1__1__NitrousOxideEmissionsFromPastureResidues_Unit()</f>
        <v>t N2O</v>
      </c>
      <c r="N40" s="90" t="s">
        <v>660</v>
      </c>
      <c r="O40" s="91" t="e" cm="1">
        <f t="array" ref="O40">AgResidue_Equations_PastureResidue.VEERG_6_2_1_1__1__NitrousOxideEmissionsFromPastureResidues(T33,J34,J35)</f>
        <v>#N/A</v>
      </c>
      <c r="P40" s="95" t="str" cm="1">
        <f t="array" ref="P40">AgResidue_Equations_PastureResidue.VEERG_6_2_1_1__1__NitrousOxideEmissionsFromPastureResidues_Unit()</f>
        <v>t N2O</v>
      </c>
    </row>
    <row r="41" spans="1:20" ht="20" customHeight="1" x14ac:dyDescent="0.25">
      <c r="A41" s="5" t="str">
        <f>HYPERLINK("#'6.3.1.1-2 Leach runoff pasture'!A1", "6.3.1.1-2 Leach &amp; runoff (pasture)")</f>
        <v>6.3.1.1-2 Leach &amp; runoff (pasture)</v>
      </c>
    </row>
    <row r="42" spans="1:20" ht="20" customHeight="1" x14ac:dyDescent="0.25">
      <c r="A42" s="5" t="str">
        <f>HYPERLINK("#'8.1.1.1-2 Transport fuel'!A1", "8.1.1.1-2 Transport fuel")</f>
        <v>8.1.1.1-2 Transport fuel</v>
      </c>
      <c r="D42" s="116" t="str" cm="1">
        <f t="array" ref="D42:E43">Common_Equations.Common_ConvertN2OToCO2e_Arguments()</f>
        <v>EN2O</v>
      </c>
      <c r="E42" s="117" t="str">
        <v>Nitrous oxide emissions (t N2O)</v>
      </c>
      <c r="F42" s="162"/>
      <c r="G42" s="116">
        <f>VEERG_6_2_1_1__1__NitrousOxideEmissionsFromPastureResidues_Result_Method1</f>
        <v>0</v>
      </c>
      <c r="N42" s="116" t="str" cm="1">
        <f t="array" ref="N42:O43">Common_Equations.Common_ConvertN2OToCO2e_Arguments()</f>
        <v>EN2O</v>
      </c>
      <c r="O42" s="117" t="str">
        <v>Nitrous oxide emissions (t N2O)</v>
      </c>
      <c r="P42" s="162"/>
      <c r="Q42" s="116" t="e">
        <f>VEERG_6_2_1_1__1__NitrousOxideEmissionsFromPastureResidues_Result_Method2</f>
        <v>#N/A</v>
      </c>
    </row>
    <row r="43" spans="1:20" ht="20" customHeight="1" x14ac:dyDescent="0.25">
      <c r="A43" s="5" t="str">
        <f>HYPERLINK("#'8.2.1.1-2 Stationary fuel'!A1", "8.2.1.1-2 Stationary fuel")</f>
        <v>8.2.1.1-2 Stationary fuel</v>
      </c>
      <c r="D43" s="116" t="str">
        <v>GWPN2O</v>
      </c>
      <c r="E43" s="117" t="str">
        <v>Global warming potential for nitrous oxide (t CO2-e / t N2O)</v>
      </c>
      <c r="F43" s="162"/>
      <c r="G43" s="15">
        <f>Common_InputFunctions.Utility_LookupValueInTableNumber("N2O",Table_GWPData[Gas],Table_GWPData[CO2-e factor])</f>
        <v>265</v>
      </c>
      <c r="N43" s="116" t="str">
        <v>GWPN2O</v>
      </c>
      <c r="O43" s="117" t="str">
        <v>Global warming potential for nitrous oxide (t CO2-e / t N2O)</v>
      </c>
      <c r="P43" s="162"/>
      <c r="Q43" s="15">
        <f>Common_InputFunctions.Utility_LookupValueInTableNumber("N2O",Table_GWPData[Gas],Table_GWPData[CO2-e factor])</f>
        <v>265</v>
      </c>
    </row>
    <row r="44" spans="1:20" ht="20" customHeight="1" x14ac:dyDescent="0.25">
      <c r="A44" s="5" t="str">
        <f>HYPERLINK("#'10.1.1-2 Solid waste treatment'!A1", "10.1.1.1-2 Solid waste")</f>
        <v>10.1.1.1-2 Solid waste</v>
      </c>
    </row>
    <row r="45" spans="1:20" ht="20" customHeight="1" x14ac:dyDescent="0.25">
      <c r="A45" s="5" t="str">
        <f>HYPERLINK("#'14.1.1-2 Purchased electricity'!A1", "14.1.1-2 Purchased electricity")</f>
        <v>14.1.1-2 Purchased electricity</v>
      </c>
      <c r="D45" s="1" t="s">
        <v>945</v>
      </c>
      <c r="E45" s="1" cm="1">
        <f t="array" ref="E45">Common_Equations.Common_ConvertN2OToCO2e(G42,G43)</f>
        <v>0</v>
      </c>
      <c r="F45" s="9" t="str" cm="1">
        <f t="array" ref="F45">Common_Equations.Common_ConvertN2OToCO2e_Unit()</f>
        <v>t CO2e</v>
      </c>
      <c r="N45" s="1" t="s">
        <v>945</v>
      </c>
      <c r="O45" s="1" t="e" cm="1">
        <f t="array" ref="O45">Common_Equations.Common_ConvertN2OToCO2e(Q42,Q43)</f>
        <v>#N/A</v>
      </c>
      <c r="P45" s="9" t="str" cm="1">
        <f t="array" ref="P45">Common_Equations.Common_ConvertN2OToCO2e_Unit()</f>
        <v>t CO2e</v>
      </c>
    </row>
    <row r="46" spans="1:20" ht="20" customHeight="1" x14ac:dyDescent="0.25">
      <c r="A46" s="5" t="str">
        <f>HYPERLINK("#'15 Scope 3'!A1", "15 Scope 3")</f>
        <v>15 Scope 3</v>
      </c>
    </row>
    <row r="47" spans="1:20" ht="20" customHeight="1" x14ac:dyDescent="0.25">
      <c r="A47" s="5" t="str">
        <f>HYPERLINK("#'Calcs - Manure sent off-site'!A1", "Calcs - Manure sent off-site")</f>
        <v>Calcs - Manure sent off-site</v>
      </c>
    </row>
    <row r="48" spans="1:20" ht="20" customHeight="1" x14ac:dyDescent="0.25"/>
    <row r="49" spans="1:1" ht="20" customHeight="1" x14ac:dyDescent="0.25"/>
    <row r="50" spans="1:1" ht="20" customHeight="1" x14ac:dyDescent="0.25">
      <c r="A50" s="85" t="s">
        <v>1</v>
      </c>
    </row>
    <row r="51" spans="1:1" ht="20" customHeight="1" x14ac:dyDescent="0.25">
      <c r="A51" s="5" t="str">
        <f>HYPERLINK("#'Constants - Pasture Beef'!A1", "Constants - Pasture Beef")</f>
        <v>Constants - Pasture Beef</v>
      </c>
    </row>
    <row r="52" spans="1:1" ht="20" customHeight="1" x14ac:dyDescent="0.25">
      <c r="A52" s="5" t="str">
        <f>HYPERLINK("#'Constants - Ag Residue'!A1", "Constants - Ag residue")</f>
        <v>Constants - Ag residue</v>
      </c>
    </row>
    <row r="53" spans="1:1" ht="20" customHeight="1" x14ac:dyDescent="0.25">
      <c r="A53" s="5" t="str">
        <f>HYPERLINK("#'Constants - Common Livestock'!A1", "Constants - Common Livestock")</f>
        <v>Constants - Common Livestock</v>
      </c>
    </row>
    <row r="54" spans="1:1" ht="20" customHeight="1" x14ac:dyDescent="0.25">
      <c r="A54" s="5" t="str">
        <f>HYPERLINK("#'Constants - Electricity'!A1", "Constants - Electricity")</f>
        <v>Constants - Electricity</v>
      </c>
    </row>
    <row r="55" spans="1:1" ht="20" customHeight="1" x14ac:dyDescent="0.25">
      <c r="A55" s="5" t="str">
        <f>HYPERLINK("#'Constants - Fertiliser'!A1", "Constants - Fertiliser")</f>
        <v>Constants - Fertiliser</v>
      </c>
    </row>
    <row r="56" spans="1:1" ht="20" customHeight="1" x14ac:dyDescent="0.25">
      <c r="A56" s="5" t="str">
        <f>HYPERLINK("#'Constants - Fuel'!A1", "Constants - Fuel")</f>
        <v>Constants - Fuel</v>
      </c>
    </row>
    <row r="57" spans="1:1" ht="20" customHeight="1" x14ac:dyDescent="0.25">
      <c r="A57" s="5" t="str">
        <f>HYPERLINK("#'Constants - Scope 3'!A1", "Constants - Scope 3")</f>
        <v>Constants - Scope 3</v>
      </c>
    </row>
    <row r="58" spans="1:1" ht="20" customHeight="1" x14ac:dyDescent="0.25">
      <c r="A58" s="5" t="str">
        <f>HYPERLINK("#'Constants - Solid Waste'!A1", "Constants - Solid Waste")</f>
        <v>Constants - Solid Waste</v>
      </c>
    </row>
    <row r="59" spans="1:1" ht="20" customHeight="1" x14ac:dyDescent="0.25">
      <c r="A59" s="5" t="str">
        <f>HYPERLINK("#'Constants - Common'!A1", "Constants - Common")</f>
        <v>Constants - Common</v>
      </c>
    </row>
    <row r="60" spans="1:1" ht="20" customHeight="1" x14ac:dyDescent="0.25">
      <c r="A60" s="5" t="str">
        <f>HYPERLINK("#'Acknowledgements'!A1", "Acknowledgements")</f>
        <v>Acknowledgements</v>
      </c>
    </row>
    <row r="61" spans="1:1" ht="20" customHeight="1" x14ac:dyDescent="0.25"/>
    <row r="62" spans="1:1" ht="20" customHeight="1" x14ac:dyDescent="0.25"/>
    <row r="63" spans="1:1" ht="20" customHeight="1" x14ac:dyDescent="0.25"/>
    <row r="64" spans="1:1"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0773-898B-4774-B53A-60CBB5765580}">
  <sheetPr>
    <tabColor rgb="FF008000"/>
  </sheetPr>
  <dimension ref="A1:T1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946</v>
      </c>
    </row>
    <row r="2" spans="1:20" s="3" customFormat="1" ht="20" customHeight="1" x14ac:dyDescent="0.25">
      <c r="A2"/>
    </row>
    <row r="3" spans="1:20" ht="20" customHeight="1" x14ac:dyDescent="0.25">
      <c r="A3" s="5" t="str">
        <f>HYPERLINK("#'Home'!A1", "Home")</f>
        <v>Home</v>
      </c>
      <c r="C3" s="23"/>
      <c r="D3" s="23" t="s">
        <v>136</v>
      </c>
      <c r="E3" s="23"/>
      <c r="F3" s="23"/>
      <c r="G3" s="23"/>
      <c r="H3" s="23"/>
      <c r="I3" s="23"/>
      <c r="J3" s="23"/>
      <c r="K3" s="23"/>
      <c r="M3" s="23"/>
      <c r="N3" s="23" t="s">
        <v>137</v>
      </c>
      <c r="O3" s="23"/>
      <c r="P3" s="23"/>
      <c r="Q3" s="23"/>
      <c r="R3" s="23"/>
      <c r="S3" s="23"/>
      <c r="T3" s="23"/>
    </row>
    <row r="4" spans="1:20" ht="20" customHeight="1" x14ac:dyDescent="0.25">
      <c r="A4" s="5" t="str">
        <f>HYPERLINK("#'Results - Activity period'!A1", "Results - Activity period")</f>
        <v>Results - Activity period</v>
      </c>
    </row>
    <row r="5" spans="1:20" ht="20" customHeight="1" x14ac:dyDescent="0.25">
      <c r="A5" s="5" t="str">
        <f>HYPERLINK("#'Results - Product EI'!A1", "Results - Product Emissions Intensity")</f>
        <v>Results - Product Emissions Intensity</v>
      </c>
      <c r="C5" s="8"/>
      <c r="D5" s="2" t="str" cm="1">
        <f t="array" ref="D5">AgResidue_Equations_Leaching.VEERG_6_3_1_1__2__MassOfNitrogenLostThroughLeachingAndRunoff_Title()</f>
        <v>Mass of nitrogen lost through leaching and runoff</v>
      </c>
      <c r="E5" s="8"/>
      <c r="F5" s="8"/>
      <c r="G5" s="8"/>
      <c r="H5" s="8"/>
      <c r="I5" s="8"/>
      <c r="J5" s="8"/>
      <c r="K5" s="8"/>
    </row>
    <row r="6" spans="1:20" ht="20" customHeight="1" x14ac:dyDescent="0.25">
      <c r="C6" s="8"/>
      <c r="D6" s="17" t="str" cm="1">
        <f t="array" ref="D6">AgResidue_Equations_Leaching.VEERG_6_3_1_1__2__MassOfNitrogenLostThroughLeachingAndRunoff_Source()</f>
        <v>VEERG 2026: 6.3.1.1, Equation (2)</v>
      </c>
      <c r="E6" s="8"/>
      <c r="F6" s="8"/>
      <c r="G6" s="8"/>
      <c r="H6" s="8"/>
      <c r="I6" s="8"/>
      <c r="J6" s="8"/>
      <c r="K6" s="8"/>
    </row>
    <row r="7" spans="1:20" ht="20" customHeight="1" x14ac:dyDescent="0.25">
      <c r="C7" s="8"/>
      <c r="D7" s="103" t="s">
        <v>372</v>
      </c>
      <c r="E7" s="103" t="str" cm="1">
        <f t="array" aca="1" ref="E7" ca="1">Common_InputFunctions.Utility_DisplayFunctionName(I25)</f>
        <v>=AgResidue_Equations_Leaching.VEERG_6_3_1_1__2__MassOfNitrogenLostThroughLeachingAndRunoff</v>
      </c>
      <c r="F7" s="103"/>
      <c r="G7" s="8"/>
      <c r="H7" s="8"/>
      <c r="I7" s="8"/>
      <c r="J7" s="8"/>
      <c r="K7" s="8"/>
    </row>
    <row r="8" spans="1:20" ht="20" customHeight="1" x14ac:dyDescent="0.25">
      <c r="A8" s="7" t="s">
        <v>0</v>
      </c>
      <c r="C8" s="8"/>
      <c r="F8" s="8"/>
      <c r="G8" s="8"/>
      <c r="H8" s="8"/>
      <c r="I8" s="8"/>
      <c r="J8" s="8"/>
      <c r="K8" s="8"/>
    </row>
    <row r="9" spans="1:20" ht="20" customHeight="1" x14ac:dyDescent="0.25">
      <c r="A9" s="5" t="str">
        <f>HYPERLINK("#'Input - Enterprise'!A1", "Enterprise")</f>
        <v>Enterprise</v>
      </c>
      <c r="C9" s="8"/>
      <c r="D9" s="8"/>
      <c r="E9" s="8"/>
      <c r="F9" s="8"/>
      <c r="G9" s="8"/>
      <c r="H9" s="8"/>
      <c r="I9" s="8"/>
      <c r="J9" s="8"/>
      <c r="K9" s="8"/>
    </row>
    <row r="10" spans="1:20" ht="20" customHeight="1" x14ac:dyDescent="0.25">
      <c r="A10" s="5" t="str">
        <f>HYPERLINK("#'Input - Site'!A1", "Site")</f>
        <v>Site</v>
      </c>
      <c r="C10" s="8"/>
      <c r="D10" s="233" t="s">
        <v>374</v>
      </c>
      <c r="E10" s="8" t="str" cm="1">
        <f t="array" ref="E10">AgResidue_Equations_Leaching.VEERG_6_3_1_1__2__MassOfNitrogenLostThroughLeachingAndRunoff_Variable()</f>
        <v>M_leachcp</v>
      </c>
      <c r="F10" s="8"/>
      <c r="G10" s="17"/>
      <c r="H10" s="8"/>
      <c r="I10" s="8"/>
      <c r="J10" s="8"/>
      <c r="K10" s="8"/>
    </row>
    <row r="11" spans="1:20" ht="20" customHeight="1" x14ac:dyDescent="0.25">
      <c r="A11" s="5" t="str">
        <f>HYPERLINK("#'Input - Pasture Beef'!A1", "Pasture Beef")</f>
        <v>Pasture Beef</v>
      </c>
      <c r="C11" s="8"/>
      <c r="D11" s="233" t="s">
        <v>121</v>
      </c>
      <c r="E11" s="9" t="str" cm="1">
        <f t="array" ref="E11">AgResidue_Equations_Leaching.VEERG_6_3_1_1__2__MassOfNitrogenLostThroughLeachingAndRunoff_Unit()</f>
        <v>kg N</v>
      </c>
      <c r="F11" s="8"/>
      <c r="G11" s="8"/>
      <c r="H11" s="8"/>
      <c r="I11" s="8"/>
      <c r="J11" s="8"/>
      <c r="K11" s="8"/>
    </row>
    <row r="12" spans="1:20" ht="20" customHeight="1" x14ac:dyDescent="0.25">
      <c r="A12" s="5" t="str">
        <f>HYPERLINK("#'Input - Livestock sales'!A1", "Livestock sales")</f>
        <v>Livestock sales</v>
      </c>
      <c r="C12" s="8"/>
      <c r="D12" s="8"/>
      <c r="E12" s="8"/>
      <c r="F12" s="8"/>
      <c r="G12" s="8"/>
      <c r="H12" s="8"/>
      <c r="I12" s="8"/>
      <c r="J12" s="8"/>
      <c r="K12" s="8"/>
    </row>
    <row r="13" spans="1:20" ht="20" customHeight="1" x14ac:dyDescent="0.25">
      <c r="A13" s="5" t="str">
        <f>HYPERLINK("#'Input - Beef cattle purchases'!A1", "Beef cattle purchases")</f>
        <v>Beef cattle purchases</v>
      </c>
      <c r="C13" s="8"/>
      <c r="D13" s="105" t="str" cm="1">
        <f t="array" ref="D13:E19">_xlfn.CHOOSECOLS(AgResidue_Equations_Leaching.VEERG_6_3_1_1__2__MassOfNitrogenLostThroughLeachingAndRunoff_Arguments(), 1,2)</f>
        <v>M_cp</v>
      </c>
      <c r="E13" s="106" t="str">
        <v>mass of nitrogen in crop residues c or pasture residues p applied to soils</v>
      </c>
      <c r="F13" s="107"/>
      <c r="G13" s="108"/>
      <c r="H13" s="105" t="str" cm="1">
        <f t="array" ref="H13:I19">_xlfn.CHOOSECOLS(AgResidue_Equations_Leaching.VEERG_6_3_1_1__2__MassOfNitrogenLostThroughLeachingAndRunoff_Arguments(), 3,4)</f>
        <v>kg N</v>
      </c>
      <c r="I13" s="110" t="str">
        <v>Calc from 6.1.1.1 (2) and 6.2.1.1 (2)</v>
      </c>
      <c r="J13" s="111" t="str" cm="1">
        <f t="array" aca="1" ref="J13" ca="1">HYPERLINK(Common_InputFunctions.Utility_SourceHyperlink($D$21), $D$21)</f>
        <v>M1_Table_M_leach_cp</v>
      </c>
      <c r="K13" s="8"/>
    </row>
    <row r="14" spans="1:20" ht="20" customHeight="1" x14ac:dyDescent="0.25">
      <c r="A14" s="5" t="str">
        <f>HYPERLINK("#'Input - Pasture'!A1", "Pasture")</f>
        <v>Pasture</v>
      </c>
      <c r="C14" s="8"/>
      <c r="D14" s="105" t="str">
        <v>FracWET_j</v>
      </c>
      <c r="E14" s="106" t="str">
        <v>fraction of N that is available for leaching and runoff from the leaching zone z and irrigation type ir</v>
      </c>
      <c r="F14" s="107"/>
      <c r="G14" s="108"/>
      <c r="H14" s="105" t="str">
        <v>fraction</v>
      </c>
      <c r="I14" s="110" t="str">
        <v>Constant</v>
      </c>
      <c r="J14" s="111" t="str" cm="1">
        <f t="array" aca="1" ref="J14" ca="1">HYPERLINK(Common_InputFunctions.Utility_SourceHyperlink($D$21), $D$21)</f>
        <v>M1_Table_M_leach_cp</v>
      </c>
      <c r="K14" s="8"/>
    </row>
    <row r="15" spans="1:20" ht="20" customHeight="1" x14ac:dyDescent="0.25">
      <c r="A15" s="5" t="str">
        <f>HYPERLINK("#'Input - Fert Prod System'!A1", "Fert Prod System")</f>
        <v>Fert Prod System</v>
      </c>
      <c r="C15" s="8"/>
      <c r="D15" s="105" t="str">
        <v>FracLEACH</v>
      </c>
      <c r="E15" s="106" t="str">
        <v>fraction of N that is lost through leaching and runoff</v>
      </c>
      <c r="F15" s="107"/>
      <c r="G15" s="108"/>
      <c r="H15" s="105" t="str">
        <v>fraction</v>
      </c>
      <c r="I15" s="110" t="str">
        <v>Constant</v>
      </c>
      <c r="J15" s="105">
        <f>'Constants - Common'!$E$164</f>
        <v>0.24</v>
      </c>
      <c r="K15" s="8"/>
    </row>
    <row r="16" spans="1:20" ht="20" customHeight="1" x14ac:dyDescent="0.25">
      <c r="A16" s="5" t="str">
        <f>HYPERLINK("#'Input - Fertiliser'!A1", "Fertiliser")</f>
        <v>Fertiliser</v>
      </c>
      <c r="C16" s="8"/>
      <c r="D16" s="105" t="str">
        <v>z</v>
      </c>
      <c r="E16" s="106" t="str">
        <v>Location in leaching zone</v>
      </c>
      <c r="F16" s="107"/>
      <c r="G16" s="108"/>
      <c r="H16" s="105" t="str">
        <v/>
      </c>
      <c r="I16" s="109" t="str">
        <v>Input</v>
      </c>
      <c r="J16" s="111" t="str" cm="1">
        <f t="array" aca="1" ref="J16" ca="1">HYPERLINK(Common_InputFunctions.Utility_SourceHyperlink($D$21), $D$21)</f>
        <v>M1_Table_M_leach_cp</v>
      </c>
      <c r="K16" s="8"/>
    </row>
    <row r="17" spans="1:20" ht="20" customHeight="1" x14ac:dyDescent="0.25">
      <c r="A17" s="5" t="str">
        <f>HYPERLINK("#'Input - Fuel'!A1", "Fuel")</f>
        <v>Fuel</v>
      </c>
      <c r="C17" s="8"/>
      <c r="D17" s="105" t="str">
        <v>c</v>
      </c>
      <c r="E17" s="106" t="str">
        <v>Crop residue type</v>
      </c>
      <c r="F17" s="107"/>
      <c r="G17" s="108"/>
      <c r="H17" s="105" t="str">
        <v/>
      </c>
      <c r="I17" s="109" t="str">
        <v>Input</v>
      </c>
      <c r="J17" s="105" t="s">
        <v>130</v>
      </c>
      <c r="K17" s="8"/>
    </row>
    <row r="18" spans="1:20" ht="20" customHeight="1" x14ac:dyDescent="0.25">
      <c r="A18" s="5" t="str">
        <f>HYPERLINK("#'Input - Electricity'!A1", "Electricity")</f>
        <v>Electricity</v>
      </c>
      <c r="C18" s="8"/>
      <c r="D18" s="105" t="str">
        <v>p</v>
      </c>
      <c r="E18" s="106" t="str">
        <v>Pasture residue type</v>
      </c>
      <c r="F18" s="107"/>
      <c r="G18" s="108"/>
      <c r="H18" s="105" t="str">
        <v/>
      </c>
      <c r="I18" s="109" t="str">
        <v>Input</v>
      </c>
      <c r="J18" s="105">
        <f>X_Cell_Pasture_PastureType</f>
        <v>0</v>
      </c>
      <c r="K18" s="8"/>
    </row>
    <row r="19" spans="1:20" ht="20" customHeight="1" x14ac:dyDescent="0.25">
      <c r="A19" s="5" t="str">
        <f>HYPERLINK("#'Input - Common farm inputs'!A1", "Common farm inputs")</f>
        <v>Common farm inputs</v>
      </c>
      <c r="C19" s="8"/>
      <c r="D19" s="105" t="str">
        <v>ir</v>
      </c>
      <c r="E19" s="106" t="str">
        <v>Irrigation type</v>
      </c>
      <c r="F19" s="107"/>
      <c r="G19" s="108"/>
      <c r="H19" s="105" t="str">
        <v/>
      </c>
      <c r="I19" s="109" t="str">
        <v>Input</v>
      </c>
      <c r="J19" s="111" t="str" cm="1">
        <f t="array" aca="1" ref="J19" ca="1">HYPERLINK(Common_InputFunctions.Utility_SourceHyperlink($D$21), $D$21)</f>
        <v>M1_Table_M_leach_cp</v>
      </c>
      <c r="K19" s="8"/>
    </row>
    <row r="20" spans="1:20" ht="20" customHeight="1" x14ac:dyDescent="0.25">
      <c r="A20" s="5" t="str">
        <f>HYPERLINK("#'Input - Crop pasture farm input'!A1", "Crop pasture farm input")</f>
        <v>Crop pasture farm input</v>
      </c>
      <c r="C20" s="8"/>
      <c r="D20" s="8"/>
      <c r="E20" s="8"/>
      <c r="F20" s="8"/>
      <c r="G20" s="8"/>
      <c r="H20" s="8"/>
      <c r="I20" s="8"/>
      <c r="J20" s="8"/>
      <c r="K20" s="8"/>
    </row>
    <row r="21" spans="1:20" ht="20" customHeight="1" x14ac:dyDescent="0.25">
      <c r="A21" s="5" t="str">
        <f>HYPERLINK("#'Input - Livestock farm Inputs'!A1", "Livestock farm Inputs")</f>
        <v>Livestock farm Inputs</v>
      </c>
      <c r="C21" s="8"/>
      <c r="D21" s="112" t="s">
        <v>947</v>
      </c>
      <c r="E21" s="8"/>
      <c r="F21" s="8"/>
      <c r="G21" s="8"/>
      <c r="H21" s="8"/>
      <c r="I21" s="8"/>
      <c r="J21" s="8"/>
      <c r="K21" s="8"/>
      <c r="N21" s="112" t="s">
        <v>948</v>
      </c>
      <c r="O21" s="8"/>
      <c r="P21" s="8"/>
      <c r="Q21" s="8"/>
      <c r="R21" s="8"/>
      <c r="S21" s="8"/>
    </row>
    <row r="22" spans="1:20" ht="20" customHeight="1" x14ac:dyDescent="0.25">
      <c r="A22" s="5" t="str">
        <f>HYPERLINK("#'Input - Freight'!A1", "Freight")</f>
        <v>Freight</v>
      </c>
      <c r="C22" s="8"/>
      <c r="D22" s="113" t="s">
        <v>949</v>
      </c>
      <c r="E22" s="8"/>
      <c r="F22" s="8"/>
      <c r="G22" s="8"/>
      <c r="H22" s="8"/>
      <c r="I22" s="8"/>
      <c r="J22" s="8"/>
      <c r="K22" s="8"/>
      <c r="N22" s="113" t="s">
        <v>950</v>
      </c>
      <c r="O22" s="8"/>
      <c r="P22" s="8"/>
      <c r="Q22" s="8"/>
      <c r="R22" s="8"/>
      <c r="S22" s="8"/>
    </row>
    <row r="23" spans="1:20" ht="20" customHeight="1" x14ac:dyDescent="0.25">
      <c r="A23" s="5" t="str">
        <f>HYPERLINK("#'Input - Solid waste'!A1", "Solid waste")</f>
        <v>Solid waste</v>
      </c>
      <c r="C23" s="8"/>
      <c r="D23" s="82" t="s">
        <v>951</v>
      </c>
      <c r="E23" s="114" t="s">
        <v>952</v>
      </c>
      <c r="F23" s="82" t="s">
        <v>953</v>
      </c>
      <c r="G23" s="82" t="s">
        <v>108</v>
      </c>
      <c r="H23" s="114" t="s">
        <v>954</v>
      </c>
      <c r="I23" s="114" t="s">
        <v>955</v>
      </c>
      <c r="J23" s="8"/>
      <c r="K23" s="8"/>
      <c r="N23" s="82" t="s">
        <v>951</v>
      </c>
      <c r="O23" s="114" t="s">
        <v>952</v>
      </c>
      <c r="P23" s="82" t="s">
        <v>953</v>
      </c>
      <c r="Q23" s="82" t="s">
        <v>108</v>
      </c>
      <c r="R23" s="114" t="s">
        <v>954</v>
      </c>
      <c r="S23" s="114" t="s">
        <v>955</v>
      </c>
    </row>
    <row r="24" spans="1:20" ht="20" customHeight="1" x14ac:dyDescent="0.25">
      <c r="A24" s="5" t="str">
        <f>HYPERLINK("#'Input - Manure sent off-site'!A1", "Manure sent off-site")</f>
        <v>Manure sent off-site</v>
      </c>
      <c r="D24" s="15" t="s">
        <v>734</v>
      </c>
      <c r="E24" s="15" t="s">
        <v>130</v>
      </c>
      <c r="F24" s="15" t="s">
        <v>130</v>
      </c>
      <c r="G24" s="15" t="s">
        <v>130</v>
      </c>
      <c r="H24" s="15" t="s">
        <v>130</v>
      </c>
      <c r="I24" s="15" t="s">
        <v>130</v>
      </c>
      <c r="N24" s="15"/>
      <c r="O24" s="15" t="s">
        <v>130</v>
      </c>
      <c r="P24" s="15"/>
      <c r="Q24" s="15"/>
      <c r="R24" s="15"/>
      <c r="S24" s="15" t="s">
        <v>130</v>
      </c>
    </row>
    <row r="25" spans="1:20" ht="20" customHeight="1" x14ac:dyDescent="0.25">
      <c r="A25" s="5" t="str">
        <f>HYPERLINK("#'Input - Data quality'!A1", "Data quality")</f>
        <v>Data quality</v>
      </c>
      <c r="D25" s="15" t="s">
        <v>174</v>
      </c>
      <c r="E25" s="15">
        <f>'6.2.1.1-2 Pasture residue N2O'!$E$21</f>
        <v>0</v>
      </c>
      <c r="F25" s="15">
        <f>X_Cell_Pasture_IrrigationMethod</f>
        <v>0</v>
      </c>
      <c r="G25" s="15">
        <f>X_Cell_Site_LeachingZone</f>
        <v>0</v>
      </c>
      <c r="H25" s="15">
        <f>CommonCropping_InputFunctions.CommonCropping_GetFracWET(G25,F25,Table_SourceData_FracWET[Is in leaching zone],Table_SourceData_FracWET[FracWET], Table_SourceData_FracWETIrrigation[Irrigation type i],Table_SourceData_FracWETIrrigation[FracWET])</f>
        <v>0</v>
      </c>
      <c r="I25" s="15" cm="1">
        <f t="array" ref="I25">AgResidue_Equations_Leaching.VEERG_6_3_1_1__2__MassOfNitrogenLostThroughLeachingAndRunoff(E25,H25,$J$15)</f>
        <v>0</v>
      </c>
      <c r="N25" s="15"/>
      <c r="O25" s="15" t="e">
        <f>'6.2.1.1-2 Pasture residue N2O'!$O$21</f>
        <v>#N/A</v>
      </c>
      <c r="P25" s="15"/>
      <c r="Q25" s="15"/>
      <c r="R25" s="15"/>
      <c r="S25" s="15" t="e" cm="1">
        <f t="array" ref="S25">AgResidue_Equations_Leaching.VEERG_6_3_1_1__2__MassOfNitrogenLostThroughLeachingAndRunoff(O25,H25,$J$15)</f>
        <v>#N/A</v>
      </c>
    </row>
    <row r="26" spans="1:20" ht="20" customHeight="1" x14ac:dyDescent="0.25"/>
    <row r="27" spans="1:20" ht="20" customHeight="1" x14ac:dyDescent="0.25">
      <c r="C27" s="234"/>
      <c r="D27" s="234"/>
      <c r="E27" s="234"/>
      <c r="F27" s="234"/>
      <c r="G27" s="234"/>
      <c r="H27" s="234"/>
      <c r="I27" s="234"/>
      <c r="J27" s="234"/>
      <c r="K27" s="234"/>
      <c r="M27" s="234"/>
      <c r="N27" s="234"/>
      <c r="O27" s="234"/>
      <c r="P27" s="234"/>
      <c r="Q27" s="234"/>
      <c r="R27" s="234"/>
      <c r="S27" s="234"/>
      <c r="T27" s="234"/>
    </row>
    <row r="28" spans="1:20" ht="20" customHeight="1" x14ac:dyDescent="0.25">
      <c r="A28" s="6" t="s">
        <v>2</v>
      </c>
      <c r="C28" s="8"/>
      <c r="D28" s="2" t="str" cm="1">
        <f t="array" ref="D28">AgResidue_Equations_Leaching.VEERG_6_3_1_1__1__LeachingAndRunoffEmissionsCropAndPastureResidue_Title()</f>
        <v>Nitrous oxide leaching and runoff emissions from crop and pasture residues returned to the soil</v>
      </c>
      <c r="E28" s="8"/>
      <c r="F28" s="235"/>
      <c r="G28" s="8"/>
      <c r="H28" s="8"/>
      <c r="I28" s="8"/>
      <c r="J28" s="8"/>
      <c r="K28" s="8"/>
    </row>
    <row r="29" spans="1:20" ht="20" customHeight="1" x14ac:dyDescent="0.25">
      <c r="A29" s="5" t="str">
        <f>HYPERLINK("#'3.2.1.1-2 Enteric Methane'!A1", "3.2.1.1-2 Enteric Methane")</f>
        <v>3.2.1.1-2 Enteric Methane</v>
      </c>
      <c r="C29" s="8"/>
      <c r="D29" s="17" t="str" cm="1">
        <f t="array" ref="D29">AgResidue_Equations_Leaching.VEERG_6_3_1_1__1__LeachingAndRunoffEmissionsCropAndPastureResidue_Source()</f>
        <v>VEERG 2026: 6.3.1.1, Equation (1)</v>
      </c>
      <c r="E29" s="8"/>
      <c r="F29" s="8"/>
      <c r="G29" s="8"/>
      <c r="H29" s="8"/>
      <c r="I29" s="8"/>
      <c r="J29" s="8"/>
      <c r="K29" s="8"/>
    </row>
    <row r="30" spans="1:20" ht="20" customHeight="1" x14ac:dyDescent="0.25">
      <c r="A30" s="5" t="str">
        <f>HYPERLINK("#'4.2.1.1-2 Methane'!A1", "4.2.1.1-2 Manure methane")</f>
        <v>4.2.1.1-2 Manure methane</v>
      </c>
      <c r="C30" s="8"/>
      <c r="D30" s="103" t="s">
        <v>372</v>
      </c>
      <c r="E30" s="103" t="str" cm="1">
        <f t="array" aca="1" ref="E30" ca="1">Common_InputFunctions.Utility_DisplayFunctionName(E46)</f>
        <v>=AgResidue_Equations_Leaching.VEERG_6_3_1_1__1__LeachingAndRunoffEmissionsCropAndPastureResidue</v>
      </c>
      <c r="F30" s="8"/>
      <c r="G30" s="8"/>
      <c r="H30" s="8"/>
      <c r="I30" s="8"/>
      <c r="J30" s="8"/>
      <c r="K30" s="8"/>
    </row>
    <row r="31" spans="1:20" ht="20" customHeight="1" x14ac:dyDescent="0.25">
      <c r="A31" s="5" t="str">
        <f>HYPERLINK("#'4.2.1.3-4 Soil direct N20'!A1", "4.2.1.3-4 Soil direct N2O")</f>
        <v>4.2.1.3-4 Soil direct N2O</v>
      </c>
      <c r="C31" s="8"/>
      <c r="D31" s="8"/>
      <c r="E31" s="8"/>
      <c r="F31" s="8"/>
      <c r="G31" s="8"/>
      <c r="H31" s="8"/>
      <c r="I31" s="8"/>
      <c r="J31" s="8"/>
      <c r="K31" s="8"/>
    </row>
    <row r="32" spans="1:20" ht="20" customHeight="1" x14ac:dyDescent="0.25">
      <c r="A32" s="5" t="str">
        <f>HYPERLINK("#'4.2.1.5-6 Soil Atmos Dep'!A1", "4.2.1.5-6 Soil atm. deposition")</f>
        <v>4.2.1.5-6 Soil atm. deposition</v>
      </c>
      <c r="C32" s="8"/>
      <c r="D32" s="8"/>
      <c r="E32" s="8"/>
      <c r="F32" s="17"/>
      <c r="G32" s="8"/>
      <c r="H32" s="8"/>
      <c r="I32" s="8"/>
      <c r="J32" s="8"/>
      <c r="K32" s="8"/>
    </row>
    <row r="33" spans="1:17" ht="20" customHeight="1" x14ac:dyDescent="0.25">
      <c r="A33" s="5" t="str">
        <f>HYPERLINK("#'4.2.1.7-8 Soil leach runoff'!A1", "4.2.1.7-8 Soil leach &amp; runoff")</f>
        <v>4.2.1.7-8 Soil leach &amp; runoff</v>
      </c>
      <c r="C33" s="8"/>
      <c r="D33" s="233" t="s">
        <v>374</v>
      </c>
      <c r="E33" s="8" t="str" cm="1">
        <f t="array" ref="E33">AgResidue_Equations_Leaching.VEERG_6_3_1_1__1__LeachingAndRunoffEmissionsCropAndPastureResidue_Variable()</f>
        <v>EN2O</v>
      </c>
      <c r="F33" s="8"/>
      <c r="G33" s="8"/>
      <c r="H33" s="8"/>
      <c r="I33" s="8"/>
      <c r="J33" s="8"/>
      <c r="K33" s="8"/>
    </row>
    <row r="34" spans="1:17" ht="20" customHeight="1" x14ac:dyDescent="0.25">
      <c r="A34" s="5" t="str">
        <f>HYPERLINK("#'5.1.1.1-2 Inorganic fert N2O'!A1", "5.1.1.1-2 Inorganic fert N2O")</f>
        <v>5.1.1.1-2 Inorganic fert N2O</v>
      </c>
      <c r="C34" s="8"/>
      <c r="D34" s="233" t="s">
        <v>121</v>
      </c>
      <c r="E34" s="9" t="str" cm="1">
        <f t="array" ref="E34">AgResidue_Equations_Leaching.VEERG_6_3_1_1__1__LeachingAndRunoffEmissionsCropAndPastureResidue_Unit()</f>
        <v>t N2O</v>
      </c>
      <c r="F34" s="8"/>
      <c r="G34" s="8"/>
      <c r="H34" s="8"/>
      <c r="I34" s="8"/>
      <c r="J34" s="8"/>
      <c r="K34" s="8"/>
    </row>
    <row r="35" spans="1:17" ht="20" customHeight="1" x14ac:dyDescent="0.25">
      <c r="A35" s="5" t="str">
        <f>HYPERLINK("#'5.1.1.3-4 Inorganic fert CO2'!A1", "5.1.1.3-4 Inorganic fert CO2")</f>
        <v>5.1.1.3-4 Inorganic fert CO2</v>
      </c>
      <c r="C35" s="8"/>
      <c r="D35" s="8"/>
      <c r="E35" s="8"/>
      <c r="F35" s="8"/>
      <c r="G35" s="8"/>
      <c r="H35" s="8"/>
      <c r="I35" s="8"/>
      <c r="J35" s="8"/>
      <c r="K35" s="8"/>
    </row>
    <row r="36" spans="1:17" ht="20" customHeight="1" x14ac:dyDescent="0.25">
      <c r="A36" s="5" t="str">
        <f>HYPERLINK("#'5.2.1.1-2 Organic Fert N2O'!A1", "5.2.1.1-2 Organic fert N2O")</f>
        <v>5.2.1.1-2 Organic fert N2O</v>
      </c>
      <c r="C36" s="8"/>
      <c r="D36" s="105" t="str" cm="1">
        <f t="array" ref="D36:E40">_xlfn.CHOOSECOLS(AgResidue_Equations_Leaching.VEERG_6_3_1_1__1__LeachingAndRunoffEmissionsCropAndPastureResidue_Arguments(),1,2)</f>
        <v>M_leachcp</v>
      </c>
      <c r="E36" s="106" t="str">
        <v>mass of nitrogen lost through leaching and runoff from the crop residue c or pasture residue p</v>
      </c>
      <c r="F36" s="107"/>
      <c r="G36" s="108"/>
      <c r="H36" s="105" t="str" cm="1">
        <f t="array" ref="H36:I40">_xlfn.CHOOSECOLS(AgResidue_Equations_Leaching.VEERG_6_3_1_1__1__LeachingAndRunoffEmissionsCropAndPastureResidue_Arguments(),3,4)</f>
        <v>kg N</v>
      </c>
      <c r="I36" s="110" t="str">
        <v>Calculated from 6.3.1.1 (2)</v>
      </c>
      <c r="J36" s="105" t="str" cm="1">
        <f t="array" aca="1" ref="J36" ca="1">HYPERLINK(Common_InputFunctions.Utility_SourceHyperlink($D$21), $D$21)</f>
        <v>M1_Table_M_leach_cp</v>
      </c>
      <c r="K36" s="8"/>
    </row>
    <row r="37" spans="1:17" ht="20" customHeight="1" x14ac:dyDescent="0.25">
      <c r="A37" s="5" t="str">
        <f>HYPERLINK("#'5.3.1.1-2 Lime CO2'!A1", "5.3.1.1-2 Lime CO2")</f>
        <v>5.3.1.1-2 Lime CO2</v>
      </c>
      <c r="C37" s="8"/>
      <c r="D37" s="105" t="str">
        <v>EF_leach</v>
      </c>
      <c r="E37" s="106" t="str">
        <v>emission factor for leaching and runoff</v>
      </c>
      <c r="F37" s="107"/>
      <c r="G37" s="108"/>
      <c r="H37" s="105" t="str">
        <v>kg N2O-N/kg N</v>
      </c>
      <c r="I37" s="110" t="str">
        <v>Constant</v>
      </c>
      <c r="J37" s="105">
        <f>'Constants - Common'!$E$170</f>
        <v>1.0999999999999999E-2</v>
      </c>
      <c r="K37" s="8"/>
    </row>
    <row r="38" spans="1:17" ht="20" customHeight="1" x14ac:dyDescent="0.25">
      <c r="A38" s="5" t="str">
        <f>HYPERLINK("#'5.4.1.1-4 Atmos deposition'!A1", "5.4.1.1-4 Atmos. deposition")</f>
        <v>5.4.1.1-4 Atmos. deposition</v>
      </c>
      <c r="C38" s="8"/>
      <c r="D38" s="105" t="str">
        <v>C_N2O</v>
      </c>
      <c r="E38" s="106" t="str">
        <v>factor to convert elemental mass of nitrous oxide to molecular mass</v>
      </c>
      <c r="F38" s="107"/>
      <c r="G38" s="108"/>
      <c r="H38" s="105" t="str">
        <v>dimensionless</v>
      </c>
      <c r="I38" s="110" t="str">
        <v>Constant</v>
      </c>
      <c r="J38" s="105">
        <f>Common_InputFunctions.Utility_LookupValueInTableNumber("N2O",Table_GasToMolecularConversionFactor[Gas],Table_GasToMolecularConversionFactor[Conversion factor combined])</f>
        <v>1.5714285714285714</v>
      </c>
      <c r="K38" s="8"/>
    </row>
    <row r="39" spans="1:17" ht="20" customHeight="1" x14ac:dyDescent="0.25">
      <c r="A39" s="5" t="str">
        <f>HYPERLINK("#'5.5.1.1-2 Leaching and runoff'!A1", "5.5.1.1-2 Leaching &amp; runoff")</f>
        <v>5.5.1.1-2 Leaching &amp; runoff</v>
      </c>
      <c r="C39" s="8"/>
      <c r="D39" s="105" t="str">
        <v>c</v>
      </c>
      <c r="E39" s="106" t="str">
        <v>Crop residue type</v>
      </c>
      <c r="F39" s="107"/>
      <c r="G39" s="108"/>
      <c r="H39" s="105" t="str">
        <v/>
      </c>
      <c r="I39" s="109" t="str">
        <v>Input</v>
      </c>
      <c r="J39" s="105" t="s">
        <v>130</v>
      </c>
      <c r="K39" s="8"/>
    </row>
    <row r="40" spans="1:17" ht="20" customHeight="1" x14ac:dyDescent="0.25">
      <c r="A40" s="5" t="str">
        <f>HYPERLINK("#'6.2.1.1-2 Pasture residue N2O'!A1", "6.2.1.1-2 Pasture residue N2O")</f>
        <v>6.2.1.1-2 Pasture residue N2O</v>
      </c>
      <c r="C40" s="8"/>
      <c r="D40" s="105" t="str">
        <v>p</v>
      </c>
      <c r="E40" s="106" t="str">
        <v>Pasture residue type</v>
      </c>
      <c r="F40" s="107"/>
      <c r="G40" s="108"/>
      <c r="H40" s="105" t="str">
        <v/>
      </c>
      <c r="I40" s="109" t="str">
        <v>Input</v>
      </c>
      <c r="J40" s="105">
        <f>X_Cell_Pasture_PastureType</f>
        <v>0</v>
      </c>
      <c r="K40" s="8"/>
    </row>
    <row r="41" spans="1:17" ht="20" customHeight="1" x14ac:dyDescent="0.25">
      <c r="A41" s="104" t="str">
        <f>HYPERLINK("#'6.3.1.1-2 Leach runoff pasture'!A1", "6.3.1.1-2 Leach &amp; runoff (pasture)")</f>
        <v>6.3.1.1-2 Leach &amp; runoff (pasture)</v>
      </c>
      <c r="C41" s="8"/>
      <c r="D41" s="8"/>
      <c r="E41" s="8"/>
      <c r="F41" s="8"/>
      <c r="G41" s="8"/>
      <c r="H41" s="8"/>
      <c r="I41" s="8"/>
      <c r="J41" s="8"/>
      <c r="K41" s="8"/>
    </row>
    <row r="42" spans="1:17" ht="20" customHeight="1" x14ac:dyDescent="0.25">
      <c r="A42" s="5" t="str">
        <f>HYPERLINK("#'8.1.1.1-2 Transport fuel'!A1", "8.1.1.1-2 Transport fuel")</f>
        <v>8.1.1.1-2 Transport fuel</v>
      </c>
      <c r="C42" s="8"/>
      <c r="D42" s="112" t="s">
        <v>655</v>
      </c>
      <c r="E42" s="8"/>
      <c r="F42" s="8"/>
      <c r="G42" s="8"/>
      <c r="H42" s="8"/>
      <c r="I42" s="8"/>
      <c r="J42" s="8"/>
      <c r="K42" s="8"/>
      <c r="N42" s="112" t="s">
        <v>655</v>
      </c>
      <c r="O42" s="8"/>
      <c r="P42" s="8"/>
      <c r="Q42" s="8"/>
    </row>
    <row r="43" spans="1:17" ht="20" customHeight="1" x14ac:dyDescent="0.25">
      <c r="A43" s="5" t="str">
        <f>HYPERLINK("#'8.2.1.1-2 Stationary fuel'!A1", "8.2.1.1-2 Stationary fuel")</f>
        <v>8.2.1.1-2 Stationary fuel</v>
      </c>
      <c r="C43" s="8"/>
      <c r="D43" s="113" t="s">
        <v>956</v>
      </c>
      <c r="E43" s="8"/>
      <c r="F43" s="8"/>
      <c r="G43" s="8"/>
      <c r="H43" s="8"/>
      <c r="I43" s="8"/>
      <c r="J43" s="8"/>
      <c r="K43" s="8"/>
      <c r="N43" s="113" t="s">
        <v>956</v>
      </c>
      <c r="O43" s="8"/>
      <c r="P43" s="8"/>
      <c r="Q43" s="8"/>
    </row>
    <row r="44" spans="1:17" ht="20" customHeight="1" x14ac:dyDescent="0.25">
      <c r="A44" s="5" t="str">
        <f>HYPERLINK("#'10.1.1-2 Solid waste treatment'!A1", "10.1.1.1-2 Solid waste")</f>
        <v>10.1.1.1-2 Solid waste</v>
      </c>
      <c r="C44" s="8"/>
      <c r="D44" s="114" t="s">
        <v>955</v>
      </c>
      <c r="E44" s="114" t="s">
        <v>957</v>
      </c>
      <c r="F44" s="8"/>
      <c r="G44" s="8"/>
      <c r="H44" s="8"/>
      <c r="I44" s="8"/>
      <c r="J44" s="8"/>
      <c r="K44" s="8"/>
      <c r="N44" s="114" t="s">
        <v>955</v>
      </c>
      <c r="O44" s="114" t="s">
        <v>957</v>
      </c>
      <c r="P44" s="8"/>
      <c r="Q44" s="8"/>
    </row>
    <row r="45" spans="1:17" ht="20" customHeight="1" x14ac:dyDescent="0.25">
      <c r="A45" s="5" t="str">
        <f>HYPERLINK("#'14.1.1-2 Purchased electricity'!A1", "14.1.1-2 Purchased electricity")</f>
        <v>14.1.1-2 Purchased electricity</v>
      </c>
      <c r="C45" s="8"/>
      <c r="D45" s="15" t="str">
        <f>I24</f>
        <v>N/A</v>
      </c>
      <c r="E45" s="15" t="s">
        <v>130</v>
      </c>
      <c r="F45" s="8"/>
      <c r="G45" s="8"/>
      <c r="H45" s="8"/>
      <c r="I45" s="8"/>
      <c r="J45" s="8"/>
      <c r="K45" s="8"/>
      <c r="N45" s="15" t="str">
        <f>S24</f>
        <v>N/A</v>
      </c>
      <c r="O45" s="15" t="s">
        <v>130</v>
      </c>
      <c r="P45" s="8"/>
      <c r="Q45" s="8"/>
    </row>
    <row r="46" spans="1:17" ht="20" customHeight="1" x14ac:dyDescent="0.25">
      <c r="A46" s="5" t="str">
        <f>HYPERLINK("#'15 Scope 3'!A1", "15 Scope 3")</f>
        <v>15 Scope 3</v>
      </c>
      <c r="C46" s="8"/>
      <c r="D46" s="15">
        <f>I25</f>
        <v>0</v>
      </c>
      <c r="E46" s="15" cm="1">
        <f t="array" ref="E46">AgResidue_Equations_Leaching.VEERG_6_3_1_1__1__LeachingAndRunoffEmissionsCropAndPastureResidue(D46,$J$37,$J$38)</f>
        <v>0</v>
      </c>
      <c r="F46" s="8"/>
      <c r="G46" s="8"/>
      <c r="H46" s="8"/>
      <c r="I46" s="8"/>
      <c r="J46" s="8"/>
      <c r="K46" s="8"/>
      <c r="N46" s="15" t="e">
        <f>S25</f>
        <v>#N/A</v>
      </c>
      <c r="O46" s="15" t="e" cm="1">
        <f t="array" ref="O46">AgResidue_Equations_Leaching.VEERG_6_3_1_1__1__LeachingAndRunoffEmissionsCropAndPastureResidue(N46,$J$37,$J$38)</f>
        <v>#N/A</v>
      </c>
      <c r="P46" s="8"/>
      <c r="Q46" s="8"/>
    </row>
    <row r="47" spans="1:17" ht="20" customHeight="1" x14ac:dyDescent="0.25">
      <c r="A47" s="5" t="str">
        <f>HYPERLINK("#'Calcs - Manure sent off-site'!A1", "Calcs - Manure sent off-site")</f>
        <v>Calcs - Manure sent off-site</v>
      </c>
      <c r="C47" s="8"/>
      <c r="F47" s="8"/>
      <c r="G47" s="8"/>
      <c r="H47" s="8"/>
      <c r="I47" s="8"/>
      <c r="J47" s="8"/>
      <c r="K47" s="8"/>
      <c r="P47" s="8"/>
      <c r="Q47" s="8"/>
    </row>
    <row r="48" spans="1:17" ht="20" customHeight="1" x14ac:dyDescent="0.4">
      <c r="C48" s="8"/>
      <c r="D48" s="236" t="s">
        <v>958</v>
      </c>
      <c r="E48" s="237">
        <f>SUM(E45:E46)</f>
        <v>0</v>
      </c>
      <c r="F48" s="95" t="str">
        <f>$E$34</f>
        <v>t N2O</v>
      </c>
      <c r="G48" s="8"/>
      <c r="H48" s="8"/>
      <c r="I48" s="8"/>
      <c r="J48" s="8"/>
      <c r="K48" s="8"/>
      <c r="N48" s="236" t="s">
        <v>958</v>
      </c>
      <c r="O48" s="237" t="e">
        <f>SUM(O45:O46)</f>
        <v>#N/A</v>
      </c>
      <c r="P48" s="95" t="str">
        <f>$E$34</f>
        <v>t N2O</v>
      </c>
      <c r="Q48" s="8"/>
    </row>
    <row r="49" spans="1:17" ht="20" customHeight="1" x14ac:dyDescent="0.25">
      <c r="D49" s="8"/>
      <c r="E49" s="8"/>
      <c r="F49" s="8"/>
      <c r="G49" s="8"/>
      <c r="N49" s="8"/>
      <c r="O49" s="8"/>
      <c r="P49" s="8"/>
      <c r="Q49" s="8"/>
    </row>
    <row r="50" spans="1:17" ht="20" customHeight="1" x14ac:dyDescent="0.25">
      <c r="A50" s="85" t="s">
        <v>1</v>
      </c>
      <c r="D50" s="116" t="str" cm="1">
        <f t="array" ref="D50:E51">Common_Equations.Common_ConvertN2OToCO2e_Arguments()</f>
        <v>EN2O</v>
      </c>
      <c r="E50" s="117" t="str">
        <v>Nitrous oxide emissions (t N2O)</v>
      </c>
      <c r="F50" s="118"/>
      <c r="G50" s="15">
        <f>VEERG_6_3_1_1__1__LeachingAndRunoffEmissionsCropAndPastureResidue_PastureOnly_Result_Method1</f>
        <v>0</v>
      </c>
      <c r="N50" s="116" t="str" cm="1">
        <f t="array" ref="N50:O51">Common_Equations.Common_ConvertN2OToCO2e_Arguments()</f>
        <v>EN2O</v>
      </c>
      <c r="O50" s="117" t="str">
        <v>Nitrous oxide emissions (t N2O)</v>
      </c>
      <c r="P50" s="118"/>
      <c r="Q50" s="15" t="e">
        <f>VEERG_6_3_1_1__1__LeachingAndRunoffEmissionsCropAndPastureResidue_PastureOnly_Result_Method2</f>
        <v>#N/A</v>
      </c>
    </row>
    <row r="51" spans="1:17" ht="20" customHeight="1" x14ac:dyDescent="0.25">
      <c r="A51" s="5" t="str">
        <f>HYPERLINK("#'Constants - Pasture Beef'!A1", "Constants - Pasture Beef")</f>
        <v>Constants - Pasture Beef</v>
      </c>
      <c r="D51" s="116" t="str">
        <v>GWPN2O</v>
      </c>
      <c r="E51" s="117" t="str">
        <v>Global warming potential for nitrous oxide (t CO2-e / t N2O)</v>
      </c>
      <c r="F51" s="118"/>
      <c r="G51" s="15">
        <f>Common_InputFunctions.Utility_LookupValueInTableNumber("N2O",Table_GWPData[Gas],Table_GWPData[CO2-e factor])</f>
        <v>265</v>
      </c>
      <c r="H51" s="8"/>
      <c r="I51" s="8"/>
      <c r="N51" s="116" t="str">
        <v>GWPN2O</v>
      </c>
      <c r="O51" s="117" t="str">
        <v>Global warming potential for nitrous oxide (t CO2-e / t N2O)</v>
      </c>
      <c r="P51" s="118"/>
      <c r="Q51" s="15">
        <f>Common_InputFunctions.Utility_LookupValueInTableNumber("N2O",Table_GWPData[Gas],Table_GWPData[CO2-e factor])</f>
        <v>265</v>
      </c>
    </row>
    <row r="52" spans="1:17" ht="20" customHeight="1" x14ac:dyDescent="0.25">
      <c r="A52" s="5" t="str">
        <f>HYPERLINK("#'Constants - Ag Residue'!A1", "Constants - Ag residue")</f>
        <v>Constants - Ag residue</v>
      </c>
      <c r="H52" s="8"/>
      <c r="I52" s="8"/>
    </row>
    <row r="53" spans="1:17" ht="20" customHeight="1" x14ac:dyDescent="0.25">
      <c r="A53" s="5" t="str">
        <f>HYPERLINK("#'Constants - Common Livestock'!A1", "Constants - Common Livestock")</f>
        <v>Constants - Common Livestock</v>
      </c>
      <c r="D53" s="87" t="s">
        <v>436</v>
      </c>
      <c r="E53" s="87" cm="1">
        <f t="array" ref="E53">Common_Equations.Common_ConvertN2OToCO2e(G50,G51)</f>
        <v>0</v>
      </c>
      <c r="F53" s="94" t="str" cm="1">
        <f t="array" ref="F53">Common_Equations.Common_ConvertN2OToCO2e_Unit()</f>
        <v>t CO2e</v>
      </c>
      <c r="I53" s="8"/>
      <c r="N53" s="87" t="s">
        <v>436</v>
      </c>
      <c r="O53" s="87" t="e" cm="1">
        <f t="array" ref="O53">Common_Equations.Common_ConvertN2OToCO2e(Q50,Q51)</f>
        <v>#N/A</v>
      </c>
      <c r="P53" s="94" t="str" cm="1">
        <f t="array" ref="P53">Common_Equations.Common_ConvertN2OToCO2e_Unit()</f>
        <v>t CO2e</v>
      </c>
    </row>
    <row r="54" spans="1:17" ht="20" customHeight="1" x14ac:dyDescent="0.25">
      <c r="A54" s="5" t="str">
        <f>HYPERLINK("#'Constants - Electricity'!A1", "Constants - Electricity")</f>
        <v>Constants - Electricity</v>
      </c>
      <c r="I54" s="8"/>
    </row>
    <row r="55" spans="1:17" ht="20" customHeight="1" x14ac:dyDescent="0.25">
      <c r="A55" s="5" t="str">
        <f>HYPERLINK("#'Constants - Fertiliser'!A1", "Constants - Fertiliser")</f>
        <v>Constants - Fertiliser</v>
      </c>
    </row>
    <row r="56" spans="1:17" ht="20" customHeight="1" x14ac:dyDescent="0.25">
      <c r="A56" s="5" t="str">
        <f>HYPERLINK("#'Constants - Fuel'!A1", "Constants - Fuel")</f>
        <v>Constants - Fuel</v>
      </c>
    </row>
    <row r="57" spans="1:17" ht="20" customHeight="1" x14ac:dyDescent="0.25">
      <c r="A57" s="5" t="str">
        <f>HYPERLINK("#'Constants - Scope 3'!A1", "Constants - Scope 3")</f>
        <v>Constants - Scope 3</v>
      </c>
    </row>
    <row r="58" spans="1:17" ht="20" customHeight="1" x14ac:dyDescent="0.25">
      <c r="A58" s="5" t="str">
        <f>HYPERLINK("#'Constants - Solid Waste'!A1", "Constants - Solid Waste")</f>
        <v>Constants - Solid Waste</v>
      </c>
    </row>
    <row r="59" spans="1:17" ht="20" customHeight="1" x14ac:dyDescent="0.25">
      <c r="A59" s="5" t="str">
        <f>HYPERLINK("#'Constants - Common'!A1", "Constants - Common")</f>
        <v>Constants - Common</v>
      </c>
    </row>
    <row r="60" spans="1:17" ht="20" customHeight="1" x14ac:dyDescent="0.25">
      <c r="A60" s="5" t="str">
        <f>HYPERLINK("#'Acknowledgements'!A1", "Acknowledgements")</f>
        <v>Acknowledgements</v>
      </c>
      <c r="H60" s="8"/>
      <c r="I60" s="8"/>
    </row>
    <row r="61" spans="1:17" ht="20" customHeight="1" x14ac:dyDescent="0.25">
      <c r="H61" s="8"/>
      <c r="I61" s="8"/>
    </row>
    <row r="62" spans="1:17" ht="20" customHeight="1" x14ac:dyDescent="0.25"/>
    <row r="63" spans="1:17" ht="20" customHeight="1" x14ac:dyDescent="0.25"/>
    <row r="64" spans="1:17"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7F93-35F1-404E-9C25-B31A020AC579}">
  <sheetPr>
    <tabColor rgb="FF008000"/>
  </sheetPr>
  <dimension ref="A1:R342"/>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1" customFormat="1" ht="30" customHeight="1" x14ac:dyDescent="0.35">
      <c r="A1" s="10" t="e" vm="1">
        <v>#VALUE!</v>
      </c>
      <c r="C1" s="21" t="s">
        <v>820</v>
      </c>
    </row>
    <row r="2" spans="1:18" s="3" customFormat="1" ht="20" customHeight="1" x14ac:dyDescent="0.25">
      <c r="A2"/>
    </row>
    <row r="3" spans="1:18" ht="20" customHeight="1" x14ac:dyDescent="0.25">
      <c r="A3" s="5" t="str">
        <f>HYPERLINK("#'Home'!A1", "Home")</f>
        <v>Home</v>
      </c>
      <c r="C3" s="23"/>
      <c r="D3" s="23" t="s">
        <v>136</v>
      </c>
      <c r="E3" s="23"/>
      <c r="F3" s="23"/>
      <c r="G3" s="23"/>
      <c r="H3" s="23"/>
      <c r="I3" s="23"/>
      <c r="J3" s="23"/>
      <c r="K3" s="23"/>
      <c r="L3" s="23"/>
      <c r="M3" s="23"/>
      <c r="N3" s="23"/>
      <c r="O3" s="23"/>
      <c r="P3" s="23"/>
      <c r="Q3" s="23"/>
      <c r="R3" s="23"/>
    </row>
    <row r="4" spans="1:18" ht="20" customHeight="1" x14ac:dyDescent="0.25">
      <c r="A4" s="5" t="str">
        <f>HYPERLINK("#'Results - Activity period'!A1", "Results - Activity period")</f>
        <v>Results - Activity period</v>
      </c>
    </row>
    <row r="5" spans="1:18" ht="20" customHeight="1" x14ac:dyDescent="0.25">
      <c r="A5" s="5" t="str">
        <f>HYPERLINK("#'Results - Product EI'!A1", "Results - Product Emissions Intensity")</f>
        <v>Results - Product Emissions Intensity</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68"/>
      <c r="P5" s="168"/>
      <c r="Q5" s="168"/>
    </row>
    <row r="6" spans="1:18" ht="20" customHeight="1" x14ac:dyDescent="0.25">
      <c r="D6" s="17" t="str" cm="1">
        <f t="array" ref="D6">Fuel_Equations.VEERG_8_1_1_1__1_FuelCombustionTransport_Source()</f>
        <v>VEERG 2026: 8.1.1.1, Equation (1)</v>
      </c>
      <c r="K6" s="17" t="str" cm="1">
        <f t="array" ref="K6">Scope3_Equations.VEERG_15_11_1_1__2_UpstreamTransportFuelEmissions_Source()</f>
        <v>VEERG 2026: 15.11.1.1, Equation (2)</v>
      </c>
      <c r="O6" s="168"/>
      <c r="P6" s="168"/>
      <c r="Q6" s="168"/>
    </row>
    <row r="7" spans="1:18" ht="20" customHeight="1" x14ac:dyDescent="0.25">
      <c r="D7" s="103" t="s">
        <v>372</v>
      </c>
      <c r="E7" s="103" t="str" cm="1">
        <f t="array" aca="1" ref="E7" ca="1">Common_InputFunctions.Utility_DisplayFunctionName(N25)</f>
        <v>=Fuel_Equations.VEERG_8_1_1_1__1_FuelCombustionTransport</v>
      </c>
      <c r="K7" s="103" t="s">
        <v>372</v>
      </c>
      <c r="L7" s="103" t="str" cm="1">
        <f t="array" aca="1" ref="L7" ca="1">Common_InputFunctions.Utility_DisplayFunctionName(Q25)</f>
        <v>=Scope3_Equations.VEERG_15_11_1_1__2_UpstreamTransportFuelEmissions</v>
      </c>
      <c r="O7" s="168"/>
      <c r="P7" s="168"/>
      <c r="Q7" s="168"/>
    </row>
    <row r="8" spans="1:18" ht="20" customHeight="1" x14ac:dyDescent="0.25">
      <c r="A8" s="7" t="s">
        <v>0</v>
      </c>
      <c r="E8" s="103"/>
      <c r="L8" s="103"/>
      <c r="O8" s="168"/>
      <c r="P8" s="168"/>
      <c r="Q8" s="168"/>
    </row>
    <row r="9" spans="1:18" ht="20" customHeight="1" x14ac:dyDescent="0.25">
      <c r="A9" s="5" t="str">
        <f>HYPERLINK("#'Input - Enterprise'!A1", "Enterprise")</f>
        <v>Enterprise</v>
      </c>
      <c r="G9" s="17"/>
      <c r="O9" s="168"/>
      <c r="P9" s="168"/>
      <c r="Q9" s="168"/>
    </row>
    <row r="10" spans="1:18" ht="20" customHeight="1" x14ac:dyDescent="0.25">
      <c r="A10" s="5" t="str">
        <f>HYPERLINK("#'Input - Site'!A1", "Site")</f>
        <v>Site</v>
      </c>
      <c r="O10" s="168"/>
      <c r="P10" s="168"/>
      <c r="Q10" s="168"/>
    </row>
    <row r="11" spans="1:18" ht="20" customHeight="1" x14ac:dyDescent="0.25">
      <c r="A11" s="5" t="str">
        <f>HYPERLINK("#'Input - Pasture Beef'!A1", "Pasture Beef")</f>
        <v>Pasture Beef</v>
      </c>
      <c r="D11" s="77" t="s">
        <v>374</v>
      </c>
      <c r="E11" s="1" t="str" cm="1">
        <f t="array" ref="E11">Fuel_Equations.VEERG_8_1_1_1__1_FuelCombustionTransport_Variable()</f>
        <v>E_g</v>
      </c>
      <c r="K11" s="77" t="s">
        <v>374</v>
      </c>
      <c r="L11" s="1" t="str" cm="1">
        <f t="array" ref="L11">Scope3_Equations.VEERG_15_11_1_1__2_UpstreamTransportFuelEmissions_Variable()</f>
        <v>E_WTTtransq</v>
      </c>
      <c r="O11" s="168"/>
      <c r="P11" s="168"/>
      <c r="Q11" s="168"/>
    </row>
    <row r="12" spans="1:18" ht="20" customHeight="1" x14ac:dyDescent="0.25">
      <c r="A12" s="5" t="str">
        <f>HYPERLINK("#'Input - Livestock sales'!A1", "Livestock sales")</f>
        <v>Livestock sales</v>
      </c>
      <c r="D12" s="77" t="s">
        <v>121</v>
      </c>
      <c r="E12" s="9" t="str" cm="1">
        <f t="array" ref="E12">Fuel_Equations.VEERG_8_1_1_1__1_FuelCombustionTransport_Unit()</f>
        <v>t CO2-e</v>
      </c>
      <c r="K12" s="77" t="s">
        <v>121</v>
      </c>
      <c r="L12" s="9" t="str" cm="1">
        <f t="array" ref="L12">Scope3_Equations.VEERG_15_11_1_1__2_UpstreamTransportFuelEmissions_Unit()</f>
        <v>t CO2e</v>
      </c>
    </row>
    <row r="13" spans="1:18" ht="20" customHeight="1" x14ac:dyDescent="0.25">
      <c r="A13" s="5" t="str">
        <f>HYPERLINK("#'Input - Beef cattle purchases'!A1", "Beef cattle purchases")</f>
        <v>Beef cattle purchases</v>
      </c>
    </row>
    <row r="14" spans="1:18" ht="20" customHeight="1" x14ac:dyDescent="0.25">
      <c r="A14" s="5" t="str">
        <f>HYPERLINK("#'Input - Pasture'!A1", "Pasture")</f>
        <v>Pasture</v>
      </c>
      <c r="D14" s="105" t="str" cm="1">
        <f t="array" ref="D14:E20">_xlfn.CHOOSECOLS(Fuel_Equations.VEERG_8_1_1_1__1_FuelCombustionTransport_Arguments(), 1,2)</f>
        <v>Q_Transtq</v>
      </c>
      <c r="E14" s="106" t="str">
        <v>Amount of fuel type q combusted for transport energy purposes</v>
      </c>
      <c r="F14" s="108"/>
      <c r="G14" s="105" t="str" cm="1">
        <f t="array" ref="G14:H20">_xlfn.CHOOSECOLS(Fuel_Equations.VEERG_8_1_1_1__1_FuelCombustionTransport_Arguments(), 3,4)</f>
        <v>Varies based on fuel type: kL, m3, GJ</v>
      </c>
      <c r="H14" s="109" t="str">
        <v>Input</v>
      </c>
      <c r="I14" s="111" t="str" cm="1">
        <f t="array" aca="1" ref="I14" ca="1">HYPERLINK(Common_InputFunctions.Utility_SourceHyperlink($D$22), $D$22)</f>
        <v>Table_E_g</v>
      </c>
      <c r="K14" s="105" t="str" cm="1">
        <f t="array" ref="K14:L16">_xlfn.CHOOSECOLS(Scope3_Equations.VEERG_15_11_1_1__2_UpstreamTransportFuelEmissions_Arguments(),1,2)</f>
        <v>Q_Transq</v>
      </c>
      <c r="L14" s="105" t="str">
        <v>amount of fuel q combusted for transport energy purposes</v>
      </c>
      <c r="M14" s="105"/>
      <c r="N14" s="105" t="str" cm="1">
        <f t="array" ref="N14:O16">_xlfn.CHOOSECOLS(Scope3_Equations.VEERG_15_11_1_1__2_UpstreamTransportFuelEmissions_Arguments(),3,4)</f>
        <v>kL</v>
      </c>
      <c r="O14" s="109" t="str">
        <v>Input</v>
      </c>
      <c r="P14" s="111" t="str" cm="1">
        <f t="array" aca="1" ref="P14" ca="1">HYPERLINK(Common_InputFunctions.Utility_SourceHyperlink($D$22), $D$22)</f>
        <v>Table_E_g</v>
      </c>
      <c r="Q14" s="168"/>
    </row>
    <row r="15" spans="1:18" ht="20" customHeight="1" x14ac:dyDescent="0.25">
      <c r="A15" s="5" t="str">
        <f>HYPERLINK("#'Input - Fert Prod System'!A1", "Fert Prod System")</f>
        <v>Fert Prod System</v>
      </c>
      <c r="D15" s="105" t="str">
        <v>EC_Transq</v>
      </c>
      <c r="E15" s="106" t="str">
        <v>Energy content factor for transport energy purposes</v>
      </c>
      <c r="F15" s="108"/>
      <c r="G15" s="105" t="str">
        <v>GJ / unit of fuel</v>
      </c>
      <c r="H15" s="110" t="str">
        <v>Constant</v>
      </c>
      <c r="I15" s="111" t="str" cm="1">
        <f t="array" aca="1" ref="I15" ca="1">HYPERLINK(Common_InputFunctions.Utility_SourceHyperlink($D$22), $D$22)</f>
        <v>Table_E_g</v>
      </c>
      <c r="K15" s="105" t="str">
        <v>EC_Transq</v>
      </c>
      <c r="L15" s="105" t="str">
        <v>energy content factor for transport energy purposes</v>
      </c>
      <c r="M15" s="105"/>
      <c r="N15" s="105" t="str">
        <v>GJ/kL or GJ/m3</v>
      </c>
      <c r="O15" s="110" t="str">
        <v>Constant</v>
      </c>
      <c r="P15" s="111" t="str" cm="1">
        <f t="array" aca="1" ref="P15" ca="1">HYPERLINK(Common_InputFunctions.Utility_SourceHyperlink($D$22), $D$22)</f>
        <v>Table_E_g</v>
      </c>
      <c r="Q15" s="168"/>
    </row>
    <row r="16" spans="1:18" ht="20" customHeight="1" x14ac:dyDescent="0.25">
      <c r="A16" s="5" t="str">
        <f>HYPERLINK("#'Input - Fertiliser'!A1", "Fertiliser")</f>
        <v>Fertiliser</v>
      </c>
      <c r="D16" s="105" t="str">
        <v>EF_Trans1tqg</v>
      </c>
      <c r="E16" s="106" t="str">
        <v>Scope 1 emission factor for transport energy purposes for each greenhouse gas</v>
      </c>
      <c r="F16" s="108"/>
      <c r="G16" s="105" t="str">
        <v>kg CO2e / GJ</v>
      </c>
      <c r="H16" s="110" t="str">
        <v>Constant</v>
      </c>
      <c r="I16" s="111" t="str" cm="1">
        <f t="array" aca="1" ref="I16" ca="1">HYPERLINK(Common_InputFunctions.Utility_SourceHyperlink($D$22), $D$22)</f>
        <v>Table_E_g</v>
      </c>
      <c r="K16" s="105" t="str">
        <v>EF_Trans3q</v>
      </c>
      <c r="L16" s="105" t="str">
        <v>scope 3 emission factor for transport energy purposes</v>
      </c>
      <c r="M16" s="105"/>
      <c r="N16" s="105" t="str">
        <v>kg CO2e/GJ</v>
      </c>
      <c r="O16" s="110" t="str">
        <v>Constant</v>
      </c>
      <c r="P16" s="111" t="str" cm="1">
        <f t="array" aca="1" ref="P16" ca="1">HYPERLINK(Common_InputFunctions.Utility_SourceHyperlink($D$22), $D$22)</f>
        <v>Table_E_g</v>
      </c>
      <c r="Q16" s="168"/>
    </row>
    <row r="17" spans="1:17" ht="20" customHeight="1" x14ac:dyDescent="0.25">
      <c r="A17" s="5" t="str">
        <f>HYPERLINK("#'Input - Fuel'!A1", "Fuel")</f>
        <v>Fuel</v>
      </c>
      <c r="D17" s="105" t="str">
        <v>q</v>
      </c>
      <c r="E17" s="106" t="str">
        <v>Fuel type</v>
      </c>
      <c r="F17" s="108"/>
      <c r="G17" s="105" t="str">
        <v/>
      </c>
      <c r="H17" s="110" t="str">
        <v>Constant</v>
      </c>
      <c r="I17" s="111"/>
      <c r="J17" s="168"/>
      <c r="P17" s="168"/>
      <c r="Q17" s="168"/>
    </row>
    <row r="18" spans="1:17" ht="20" customHeight="1" x14ac:dyDescent="0.25">
      <c r="A18" s="5" t="str">
        <f>HYPERLINK("#'Input - Electricity'!A1", "Electricity")</f>
        <v>Electricity</v>
      </c>
      <c r="D18" s="105" t="str">
        <v>Trans</v>
      </c>
      <c r="E18" s="106" t="str">
        <v>Transport combustion</v>
      </c>
      <c r="F18" s="108"/>
      <c r="G18" s="105" t="str">
        <v/>
      </c>
      <c r="H18" s="110" t="str">
        <v>Constant</v>
      </c>
      <c r="I18" s="111"/>
      <c r="J18" s="168"/>
      <c r="L18" s="168"/>
      <c r="M18" s="168"/>
      <c r="N18" s="168"/>
      <c r="O18" s="168"/>
      <c r="P18" s="168"/>
      <c r="Q18" s="168"/>
    </row>
    <row r="19" spans="1:17" ht="20" customHeight="1" x14ac:dyDescent="0.25">
      <c r="A19" s="5" t="str">
        <f>HYPERLINK("#'Input - Common farm inputs'!A1", "Common farm inputs")</f>
        <v>Common farm inputs</v>
      </c>
      <c r="D19" s="105" t="str">
        <v>g</v>
      </c>
      <c r="E19" s="106" t="str">
        <v>Greenhouse gas</v>
      </c>
      <c r="F19" s="108"/>
      <c r="G19" s="105" t="str">
        <v/>
      </c>
      <c r="H19" s="110" t="str">
        <v>Constant</v>
      </c>
      <c r="I19" s="111"/>
      <c r="J19" s="168"/>
      <c r="L19" s="168"/>
      <c r="M19" s="168"/>
      <c r="N19" s="168"/>
      <c r="O19" s="168"/>
      <c r="P19" s="168"/>
      <c r="Q19" s="168"/>
    </row>
    <row r="20" spans="1:17" ht="20" customHeight="1" x14ac:dyDescent="0.25">
      <c r="A20" s="5" t="str">
        <f>HYPERLINK("#'Input - Crop pasture farm input'!A1", "Crop pasture farm input")</f>
        <v>Crop pasture farm input</v>
      </c>
      <c r="D20" s="105" t="str">
        <v>1</v>
      </c>
      <c r="E20" s="106" t="str">
        <v>Scope 1</v>
      </c>
      <c r="F20" s="108"/>
      <c r="G20" s="105" t="str">
        <v/>
      </c>
      <c r="H20" s="110" t="str">
        <v>Constant</v>
      </c>
      <c r="I20" s="111"/>
      <c r="J20" s="168"/>
      <c r="L20" s="168"/>
      <c r="M20" s="168"/>
      <c r="N20" s="168"/>
      <c r="O20" s="168"/>
      <c r="P20" s="168"/>
      <c r="Q20" s="168"/>
    </row>
    <row r="21" spans="1:17" ht="20" customHeight="1" x14ac:dyDescent="0.25">
      <c r="A21" s="5" t="str">
        <f>HYPERLINK("#'Input - Livestock farm Inputs'!A1", "Livestock farm Inputs")</f>
        <v>Livestock farm Inputs</v>
      </c>
      <c r="O21" s="168"/>
      <c r="P21" s="168"/>
      <c r="Q21" s="168"/>
    </row>
    <row r="22" spans="1:17" ht="20" customHeight="1" x14ac:dyDescent="0.25">
      <c r="A22" s="5" t="str">
        <f>HYPERLINK("#'Input - Freight'!A1", "Freight")</f>
        <v>Freight</v>
      </c>
      <c r="D22" s="112" t="s">
        <v>821</v>
      </c>
    </row>
    <row r="23" spans="1:17" ht="20" customHeight="1" x14ac:dyDescent="0.25">
      <c r="A23" s="5" t="str">
        <f>HYPERLINK("#'Input - Solid waste'!A1", "Solid waste")</f>
        <v>Solid waste</v>
      </c>
      <c r="D23" s="113" t="s">
        <v>822</v>
      </c>
    </row>
    <row r="24" spans="1:17" ht="20" customHeight="1" x14ac:dyDescent="0.25">
      <c r="A24" s="5" t="str">
        <f>HYPERLINK("#'Input - Manure sent off-site'!A1", "Manure sent off-site")</f>
        <v>Manure sent off-site</v>
      </c>
      <c r="D24" s="114" t="s">
        <v>823</v>
      </c>
      <c r="E24" s="114" t="s">
        <v>824</v>
      </c>
      <c r="F24" s="114" t="s">
        <v>825</v>
      </c>
      <c r="G24" s="114" t="s">
        <v>826</v>
      </c>
      <c r="H24" s="114" t="s">
        <v>827</v>
      </c>
      <c r="I24" s="114" t="s">
        <v>828</v>
      </c>
      <c r="J24" s="114" t="s">
        <v>829</v>
      </c>
      <c r="K24" s="114" t="s">
        <v>830</v>
      </c>
      <c r="L24" s="82" t="s">
        <v>831</v>
      </c>
      <c r="M24" s="114" t="s">
        <v>832</v>
      </c>
      <c r="N24" s="114" t="s">
        <v>833</v>
      </c>
      <c r="O24" s="114" t="s">
        <v>834</v>
      </c>
      <c r="P24" s="114" t="s">
        <v>835</v>
      </c>
      <c r="Q24" s="114" t="s">
        <v>836</v>
      </c>
    </row>
    <row r="25" spans="1:17" ht="20" customHeight="1" x14ac:dyDescent="0.25">
      <c r="A25" s="5" t="str">
        <f>HYPERLINK("#'Input - Data quality'!A1", "Data quality")</f>
        <v>Data quality</v>
      </c>
      <c r="D25" s="25" t="str">
        <f>Table_FuelTypesPerUse[[#Headers],[Cars and light commercial vehicles]]</f>
        <v>Cars and light commercial vehicles</v>
      </c>
      <c r="E25" s="192" t="str">
        <f>'Constants - Fuel'!$E$10</f>
        <v>Gasoline</v>
      </c>
      <c r="F25" s="192"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93" cm="1">
        <f t="array" ref="N25">Fuel_Equations.VEERG_8_1_1_1__1_FuelCombustionTransport($L25,$G25,$H25)</f>
        <v>0</v>
      </c>
      <c r="O25" s="193" cm="1">
        <f t="array" ref="O25">Fuel_Equations.VEERG_8_1_1_1__1_FuelCombustionTransport($L25,$G25,$I25)</f>
        <v>0</v>
      </c>
      <c r="P25" s="193" cm="1">
        <f t="array" ref="P25">Fuel_Equations.VEERG_8_1_1_1__1_FuelCombustionTransport($L25,$G25,$J25)</f>
        <v>0</v>
      </c>
      <c r="Q25" s="193" cm="1">
        <f t="array" ref="Q25">Scope3_Equations.VEERG_15_11_1_1__2_UpstreamTransportFuelEmissions(L25,G25,K25)</f>
        <v>0</v>
      </c>
    </row>
    <row r="26" spans="1:17" ht="20" customHeight="1" x14ac:dyDescent="0.25">
      <c r="D26" s="194" t="str">
        <f t="shared" ref="D26:D32" si="0">$D$25</f>
        <v>Cars and light commercial vehicles</v>
      </c>
      <c r="E26" s="192" t="str">
        <f>'Constants - Fuel'!$E$11</f>
        <v>Diesel oil</v>
      </c>
      <c r="F26" s="192"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193" cm="1">
        <f t="array" ref="N26">Fuel_Equations.VEERG_8_1_1_1__1_FuelCombustionTransport($L26,$G26,$H26)</f>
        <v>0</v>
      </c>
      <c r="O26" s="193" cm="1">
        <f t="array" ref="O26">Fuel_Equations.VEERG_8_1_1_1__1_FuelCombustionTransport($L26,$G26,$I26)</f>
        <v>0</v>
      </c>
      <c r="P26" s="193" cm="1">
        <f t="array" ref="P26">Fuel_Equations.VEERG_8_1_1_1__1_FuelCombustionTransport($L26,$G26,$J26)</f>
        <v>0</v>
      </c>
      <c r="Q26" s="193" cm="1">
        <f t="array" ref="Q26">Scope3_Equations.VEERG_15_11_1_1__2_UpstreamTransportFuelEmissions(L26,G26,K26)</f>
        <v>0</v>
      </c>
    </row>
    <row r="27" spans="1:17" ht="20" customHeight="1" x14ac:dyDescent="0.25">
      <c r="D27" s="194" t="str">
        <f t="shared" si="0"/>
        <v>Cars and light commercial vehicles</v>
      </c>
      <c r="E27" s="192" t="str">
        <f>'Constants - Fuel'!$E$12</f>
        <v>Liquefied petroleum gas (LPG)</v>
      </c>
      <c r="F27" s="192"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93" cm="1">
        <f t="array" ref="N27">Fuel_Equations.VEERG_8_1_1_1__1_FuelCombustionTransport($L27,$G27,$H27)</f>
        <v>0</v>
      </c>
      <c r="O27" s="193" cm="1">
        <f t="array" ref="O27">Fuel_Equations.VEERG_8_1_1_1__1_FuelCombustionTransport($L27,$G27,$I27)</f>
        <v>0</v>
      </c>
      <c r="P27" s="193" cm="1">
        <f t="array" ref="P27">Fuel_Equations.VEERG_8_1_1_1__1_FuelCombustionTransport($L27,$G27,$J27)</f>
        <v>0</v>
      </c>
      <c r="Q27" s="193" cm="1">
        <f t="array" ref="Q27">Scope3_Equations.VEERG_15_11_1_1__2_UpstreamTransportFuelEmissions(L27,G27,K27)</f>
        <v>0</v>
      </c>
    </row>
    <row r="28" spans="1:17" ht="20" customHeight="1" x14ac:dyDescent="0.25">
      <c r="A28" s="6" t="s">
        <v>2</v>
      </c>
      <c r="D28" s="194" t="str">
        <f t="shared" si="0"/>
        <v>Cars and light commercial vehicles</v>
      </c>
      <c r="E28" s="192" t="str">
        <f>'Constants - Fuel'!$E$13</f>
        <v>Fuel oil</v>
      </c>
      <c r="F28" s="192"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93" cm="1">
        <f t="array" ref="N28">Fuel_Equations.VEERG_8_1_1_1__1_FuelCombustionTransport($L28,$G28,$H28)</f>
        <v>0</v>
      </c>
      <c r="O28" s="193" cm="1">
        <f t="array" ref="O28">Fuel_Equations.VEERG_8_1_1_1__1_FuelCombustionTransport($L28,$G28,$I28)</f>
        <v>0</v>
      </c>
      <c r="P28" s="193" cm="1">
        <f t="array" ref="P28">Fuel_Equations.VEERG_8_1_1_1__1_FuelCombustionTransport($L28,$G28,$J28)</f>
        <v>0</v>
      </c>
      <c r="Q28" s="193" cm="1">
        <f t="array" ref="Q28">Scope3_Equations.VEERG_15_11_1_1__2_UpstreamTransportFuelEmissions(L28,G28,K28)</f>
        <v>0</v>
      </c>
    </row>
    <row r="29" spans="1:17" ht="20" customHeight="1" x14ac:dyDescent="0.25">
      <c r="A29" s="5" t="str">
        <f>HYPERLINK("#'3.2.1.1-2 Enteric Methane'!A1", "3.2.1.1-2 Enteric Methane")</f>
        <v>3.2.1.1-2 Enteric Methane</v>
      </c>
      <c r="D29" s="194" t="str">
        <f t="shared" si="0"/>
        <v>Cars and light commercial vehicles</v>
      </c>
      <c r="E29" s="192" t="str">
        <f>'Constants - Fuel'!$E$14</f>
        <v>Ethanol</v>
      </c>
      <c r="F29" s="192"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93" cm="1">
        <f t="array" ref="N29">Fuel_Equations.VEERG_8_1_1_1__1_FuelCombustionTransport($L29,$G29,$H29)</f>
        <v>0</v>
      </c>
      <c r="O29" s="193" cm="1">
        <f t="array" ref="O29">Fuel_Equations.VEERG_8_1_1_1__1_FuelCombustionTransport($L29,$G29,$I29)</f>
        <v>0</v>
      </c>
      <c r="P29" s="193" cm="1">
        <f t="array" ref="P29">Fuel_Equations.VEERG_8_1_1_1__1_FuelCombustionTransport($L29,$G29,$J29)</f>
        <v>0</v>
      </c>
      <c r="Q29" s="193" cm="1">
        <f t="array" ref="Q29">Scope3_Equations.VEERG_15_11_1_1__2_UpstreamTransportFuelEmissions(L29,G29,IF(ISNUMBER(K29),K29,0))</f>
        <v>0</v>
      </c>
    </row>
    <row r="30" spans="1:17" ht="20" customHeight="1" x14ac:dyDescent="0.25">
      <c r="A30" s="5" t="str">
        <f>HYPERLINK("#'4.2.1.1-2 Methane'!A1", "4.2.1.1-2 Manure methane")</f>
        <v>4.2.1.1-2 Manure methane</v>
      </c>
      <c r="D30" s="194" t="str">
        <f t="shared" si="0"/>
        <v>Cars and light commercial vehicles</v>
      </c>
      <c r="E30" s="192" t="str">
        <f>'Constants - Fuel'!$E$15</f>
        <v>Biodiesel</v>
      </c>
      <c r="F30" s="192"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93" cm="1">
        <f t="array" ref="N30">Fuel_Equations.VEERG_8_1_1_1__1_FuelCombustionTransport($L30,$G30,$H30)</f>
        <v>0</v>
      </c>
      <c r="O30" s="193" cm="1">
        <f t="array" ref="O30">Fuel_Equations.VEERG_8_1_1_1__1_FuelCombustionTransport($L30,$G30,$I30)</f>
        <v>0</v>
      </c>
      <c r="P30" s="193" cm="1">
        <f t="array" ref="P30">Fuel_Equations.VEERG_8_1_1_1__1_FuelCombustionTransport($L30,$G30,$J30)</f>
        <v>0</v>
      </c>
      <c r="Q30" s="193" cm="1">
        <f t="array" ref="Q30">Scope3_Equations.VEERG_15_11_1_1__2_UpstreamTransportFuelEmissions(L30,G30,IF(ISNUMBER(K30),K30,0))</f>
        <v>0</v>
      </c>
    </row>
    <row r="31" spans="1:17" ht="20" customHeight="1" x14ac:dyDescent="0.25">
      <c r="A31" s="5" t="str">
        <f>HYPERLINK("#'4.2.1.3-4 Soil direct N20'!A1", "4.2.1.3-4 Soil direct N2O")</f>
        <v>4.2.1.3-4 Soil direct N2O</v>
      </c>
      <c r="D31" s="194" t="str">
        <f t="shared" si="0"/>
        <v>Cars and light commercial vehicles</v>
      </c>
      <c r="E31" s="192" t="str">
        <f>'Constants - Fuel'!$E$16</f>
        <v>Renewable diesel</v>
      </c>
      <c r="F31" s="192"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72" cm="1">
        <f t="array" ref="L31">Fuel_InputFunctions.Fuel_TotalConsumption(Table_Input_Fuel[Amount consumed], Table_Input_Fuel[Fuel use (select)], D31, Table_Input_Fuel[Fuel type (select)],F31)</f>
        <v>0</v>
      </c>
      <c r="M31" s="172" t="str" cm="1">
        <f t="array" ref="M31">Common_InputFunctions.Utility_LookupValueInTable(F31,Table_FuelTypes_Units[Fuel type],Table_FuelTypes_Units[Unit])</f>
        <v>kL</v>
      </c>
      <c r="N31" s="193" cm="1">
        <f t="array" ref="N31">Fuel_Equations.VEERG_8_1_1_1__1_FuelCombustionTransport($L31,$G31,$H31)</f>
        <v>0</v>
      </c>
      <c r="O31" s="193" cm="1">
        <f t="array" ref="O31">Fuel_Equations.VEERG_8_1_1_1__1_FuelCombustionTransport($L31,$G31,$I31)</f>
        <v>0</v>
      </c>
      <c r="P31" s="193" cm="1">
        <f t="array" ref="P31">Fuel_Equations.VEERG_8_1_1_1__1_FuelCombustionTransport($L31,$G31,$J31)</f>
        <v>0</v>
      </c>
      <c r="Q31" s="193" cm="1">
        <f t="array" ref="Q31">Scope3_Equations.VEERG_15_11_1_1__2_UpstreamTransportFuelEmissions(L31,G31,IF(ISNUMBER(K31),K31,0))</f>
        <v>0</v>
      </c>
    </row>
    <row r="32" spans="1:17" ht="20" customHeight="1" x14ac:dyDescent="0.25">
      <c r="A32" s="5" t="str">
        <f>HYPERLINK("#'4.2.1.5-6 Soil Atmos Dep'!A1", "4.2.1.5-6 Soil atm. deposition")</f>
        <v>4.2.1.5-6 Soil atm. deposition</v>
      </c>
      <c r="D32" s="194" t="str">
        <f t="shared" si="0"/>
        <v>Cars and light commercial vehicles</v>
      </c>
      <c r="E32" s="192" t="str">
        <f>'Constants - Fuel'!$E$17</f>
        <v>Other biofuels</v>
      </c>
      <c r="F32" s="192"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90" t="str" cm="1">
        <f t="array" ref="K32">IFERROR(_xlfn.XLOOKUP(1, (Table_Fuel_EFs_Transport[Fuel combusted]=$E32)*(Table_Fuel_EFs_Transport[Transport type]=$D$25), Table_Fuel_EFs_Transport[Scope 3 Emission Factor (kg CO2 - e / GJ)]), 0)</f>
        <v>NE</v>
      </c>
      <c r="L32" s="195" cm="1">
        <f t="array" ref="L32">Fuel_InputFunctions.Fuel_TotalConsumption(Table_Input_Fuel[Amount consumed], Table_Input_Fuel[Fuel use (select)], D32, Table_Input_Fuel[Fuel type (select)],F32)</f>
        <v>0</v>
      </c>
      <c r="M32" s="172" t="str" cm="1">
        <f t="array" ref="M32">Common_InputFunctions.Utility_LookupValueInTable(F32,Table_FuelTypes_Units[Fuel type],Table_FuelTypes_Units[Unit])</f>
        <v>kL</v>
      </c>
      <c r="N32" s="196" cm="1">
        <f t="array" ref="N32">Fuel_Equations.VEERG_8_1_1_1__1_FuelCombustionTransport($L32,$G32,$H32)</f>
        <v>0</v>
      </c>
      <c r="O32" s="196" cm="1">
        <f t="array" ref="O32">Fuel_Equations.VEERG_8_1_1_1__1_FuelCombustionTransport($L32,$G32,$I32)</f>
        <v>0</v>
      </c>
      <c r="P32" s="196" cm="1">
        <f t="array" ref="P32">Fuel_Equations.VEERG_8_1_1_1__1_FuelCombustionTransport($L32,$G32,$J32)</f>
        <v>0</v>
      </c>
      <c r="Q32" s="193" cm="1">
        <f t="array" ref="Q32">Scope3_Equations.VEERG_15_11_1_1__2_UpstreamTransportFuelEmissions(L32,G32,IF(ISNUMBER(K32),K32,0))</f>
        <v>0</v>
      </c>
    </row>
    <row r="33" spans="1:17" ht="20" customHeight="1" x14ac:dyDescent="0.25">
      <c r="A33" s="5" t="str">
        <f>HYPERLINK("#'4.2.1.7-8 Soil leach runoff'!A1", "4.2.1.7-8 Soil leach &amp; runoff")</f>
        <v>4.2.1.7-8 Soil leach &amp; runoff</v>
      </c>
      <c r="D33" s="197" t="str">
        <f>Table_FuelTypesPerUse[[#Headers],[Off-road Agriculture and forestry equipment]]</f>
        <v>Off-road Agriculture and forestry equipment</v>
      </c>
      <c r="E33" s="198" t="str">
        <f>'Constants - Fuel'!$E$11</f>
        <v>Diesel oil</v>
      </c>
      <c r="F33" s="198" t="str">
        <f>'Constants - Fuel'!H131</f>
        <v>Diesel</v>
      </c>
      <c r="G33" s="199" cm="1">
        <f t="array" ref="G33">IFERROR(_xlfn.XLOOKUP(1, (Table_Fuel_EFs_Transport[Fuel combusted]=$E33)*(Table_Fuel_EFs_Transport[Transport type]=$D$33), Table_Fuel_EFs_Transport[Energy Content Factor (GJ per unit of fuel)]), 0)</f>
        <v>38.6</v>
      </c>
      <c r="H33" s="199" cm="1">
        <f t="array" ref="H33">IFERROR(_xlfn.XLOOKUP(1, (Table_Fuel_EFs_Transport[Fuel combusted]=$E33)*(Table_Fuel_EFs_Transport[Transport type]=$D$33), Table_Fuel_EFs_Transport[Scope 1 Emission Factor (kg CO2 - e / GJ) CO2]), 0)</f>
        <v>69.900000000000006</v>
      </c>
      <c r="I33" s="199" cm="1">
        <f t="array" ref="I33">IFERROR(_xlfn.XLOOKUP(1, (Table_Fuel_EFs_Transport[Fuel combusted]=$E33)*(Table_Fuel_EFs_Transport[Transport type]=$D$33), Table_Fuel_EFs_Transport[Scope 1 Emission Factor (kg CO2 - e / GJ) CH4]), 0)</f>
        <v>0.3</v>
      </c>
      <c r="J33" s="199" cm="1">
        <f t="array" ref="J33">IFERROR(_xlfn.XLOOKUP(1, (Table_Fuel_EFs_Transport[Fuel combusted]=$E33)*(Table_Fuel_EFs_Transport[Transport type]=$D$33), Table_Fuel_EFs_Transport[Scope 1 Emission Factor (kg CO2 - e / GJ) N2O]), 0)</f>
        <v>0.5</v>
      </c>
      <c r="K33" s="200" cm="1">
        <f t="array" ref="K33">IFERROR(_xlfn.XLOOKUP(1, (Table_Fuel_EFs_Transport[Fuel combusted]=$E33)*(Table_Fuel_EFs_Transport[Transport type]=$D$25), Table_Fuel_EFs_Transport[Scope 3 Emission Factor (kg CO2 - e / GJ)]), 0)</f>
        <v>17.3</v>
      </c>
      <c r="L33" s="201" cm="1">
        <f t="array" ref="L33">Fuel_InputFunctions.Fuel_TotalConsumption(Table_Input_Fuel[Amount consumed], Table_Input_Fuel[Fuel use (select)], D33, Table_Input_Fuel[Fuel type (select)],F33)</f>
        <v>0</v>
      </c>
      <c r="M33" s="202" t="str" cm="1">
        <f t="array" ref="M33">Common_InputFunctions.Utility_LookupValueInTable(F33,Table_FuelTypes_Units[Fuel type],Table_FuelTypes_Units[Unit])</f>
        <v>kL</v>
      </c>
      <c r="N33" s="203" cm="1">
        <f t="array" ref="N33">Fuel_Equations.VEERG_8_1_1_1__1_FuelCombustionTransport($L33,$G33,$H33)</f>
        <v>0</v>
      </c>
      <c r="O33" s="203" cm="1">
        <f t="array" ref="O33">Fuel_Equations.VEERG_8_1_1_1__1_FuelCombustionTransport($L33,$G33,$I33)</f>
        <v>0</v>
      </c>
      <c r="P33" s="203" cm="1">
        <f t="array" ref="P33">Fuel_Equations.VEERG_8_1_1_1__1_FuelCombustionTransport($L33,$G33,$J33)</f>
        <v>0</v>
      </c>
      <c r="Q33" s="204" cm="1">
        <f t="array" ref="Q33">Scope3_Equations.VEERG_15_11_1_1__2_UpstreamTransportFuelEmissions(L33,G33,K33)</f>
        <v>0</v>
      </c>
    </row>
    <row r="34" spans="1:17" ht="20" customHeight="1" x14ac:dyDescent="0.25">
      <c r="A34" s="5" t="str">
        <f>HYPERLINK("#'5.1.1.1-2 Inorganic fert N2O'!A1", "5.1.1.1-2 Inorganic fert N2O")</f>
        <v>5.1.1.1-2 Inorganic fert N2O</v>
      </c>
      <c r="D34" s="197" t="str">
        <f>Table_FuelTypesPerUse[[#Headers],[Aviation]]</f>
        <v>Aviation</v>
      </c>
      <c r="E34" s="198" t="str">
        <f>'Constants - Fuel'!$E$28</f>
        <v>Gasoline for use as fuel in an aircraft</v>
      </c>
      <c r="F34" s="198" t="str">
        <f>'Constants - Fuel'!$F$131</f>
        <v>Avgas</v>
      </c>
      <c r="G34" s="205" cm="1">
        <f t="array" ref="G34">IFERROR(_xlfn.XLOOKUP(1, (Table_Fuel_EFs_Transport[Fuel combusted]=$E34)*(Table_Fuel_EFs_Transport[Transport type]=$D$34), Table_Fuel_EFs_Transport[Energy Content Factor (GJ per unit of fuel)]), 0)</f>
        <v>33.1</v>
      </c>
      <c r="H34" s="205" cm="1">
        <f t="array" ref="H34">IFERROR(_xlfn.XLOOKUP(1, (Table_Fuel_EFs_Transport[Fuel combusted]=$E34)*(Table_Fuel_EFs_Transport[Transport type]=$D$34), Table_Fuel_EFs_Transport[Scope 1 Emission Factor (kg CO2 - e / GJ) CO2]), 0)</f>
        <v>67</v>
      </c>
      <c r="I34" s="205" cm="1">
        <f t="array" ref="I34">IFERROR(_xlfn.XLOOKUP(1, (Table_Fuel_EFs_Transport[Fuel combusted]=$E34)*(Table_Fuel_EFs_Transport[Transport type]=$D$34), Table_Fuel_EFs_Transport[Scope 1 Emission Factor (kg CO2 - e / GJ) CH4]), 0)</f>
        <v>0.06</v>
      </c>
      <c r="J34" s="205" cm="1">
        <f t="array" ref="J34">IFERROR(_xlfn.XLOOKUP(1, (Table_Fuel_EFs_Transport[Fuel combusted]=$E34)*(Table_Fuel_EFs_Transport[Transport type]=$D$34), Table_Fuel_EFs_Transport[Scope 1 Emission Factor (kg CO2 - e / GJ) N2O]), 0)</f>
        <v>0.6</v>
      </c>
      <c r="K34" s="205" cm="1">
        <f t="array" ref="K34">IFERROR(_xlfn.XLOOKUP(1, (Table_Fuel_EFs_Transport[Fuel combusted]=$E34)*(Table_Fuel_EFs_Transport[Transport type]=$D$25), Table_Fuel_EFs_Transport[Scope 3 Emission Factor (kg CO2 - e / GJ)]), 0)</f>
        <v>0</v>
      </c>
      <c r="L34" s="202" cm="1">
        <f t="array" ref="L34">Fuel_InputFunctions.Fuel_TotalConsumption(Table_Input_Fuel[Amount consumed], Table_Input_Fuel[Fuel use (select)], D34, Table_Input_Fuel[Fuel type (select)],F34)</f>
        <v>0</v>
      </c>
      <c r="M34" s="202" t="str" cm="1">
        <f t="array" ref="M34">Common_InputFunctions.Utility_LookupValueInTable(F34,Table_FuelTypes_Units[Fuel type],Table_FuelTypes_Units[Unit])</f>
        <v>kL</v>
      </c>
      <c r="N34" s="203" cm="1">
        <f t="array" ref="N34">Fuel_Equations.VEERG_8_1_1_1__1_FuelCombustionTransport($L34,$G34,$H34)</f>
        <v>0</v>
      </c>
      <c r="O34" s="203" cm="1">
        <f t="array" ref="O34">Fuel_Equations.VEERG_8_1_1_1__1_FuelCombustionTransport($L34,$G34,$I34)</f>
        <v>0</v>
      </c>
      <c r="P34" s="203" cm="1">
        <f t="array" ref="P34">Fuel_Equations.VEERG_8_1_1_1__1_FuelCombustionTransport($L34,$G34,$J34)</f>
        <v>0</v>
      </c>
      <c r="Q34" s="203" cm="1">
        <f t="array" ref="Q34">Scope3_Equations.VEERG_15_11_1_1__2_UpstreamTransportFuelEmissions(L34,G34,K34)</f>
        <v>0</v>
      </c>
    </row>
    <row r="35" spans="1:17" ht="20" customHeight="1" x14ac:dyDescent="0.25">
      <c r="A35" s="5" t="str">
        <f>HYPERLINK("#'5.1.1.3-4 Inorganic fert CO2'!A1", "5.1.1.3-4 Inorganic fert CO2")</f>
        <v>5.1.1.3-4 Inorganic fert CO2</v>
      </c>
      <c r="D35" s="194" t="str">
        <f>$D$34</f>
        <v>Aviation</v>
      </c>
      <c r="E35" s="192" t="str">
        <f>'Constants - Fuel'!$E$29</f>
        <v>Kerosene for use as fuel in an aircraft</v>
      </c>
      <c r="F35" s="192"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72" cm="1">
        <f t="array" ref="L35">Fuel_InputFunctions.Fuel_TotalConsumption(Table_Input_Fuel[Amount consumed], Table_Input_Fuel[Fuel use (select)], D35, Table_Input_Fuel[Fuel type (select)],F35)</f>
        <v>0</v>
      </c>
      <c r="M35" s="172" t="str" cm="1">
        <f t="array" ref="M35">Common_InputFunctions.Utility_LookupValueInTable(F35,Table_FuelTypes_Units[Fuel type],Table_FuelTypes_Units[Unit])</f>
        <v>kL</v>
      </c>
      <c r="N35" s="193" cm="1">
        <f t="array" ref="N35">Fuel_Equations.VEERG_8_1_1_1__1_FuelCombustionTransport($L35,$G35,$H35)</f>
        <v>0</v>
      </c>
      <c r="O35" s="193" cm="1">
        <f t="array" ref="O35">Fuel_Equations.VEERG_8_1_1_1__1_FuelCombustionTransport($L35,$G35,$I35)</f>
        <v>0</v>
      </c>
      <c r="P35" s="193" cm="1">
        <f t="array" ref="P35">Fuel_Equations.VEERG_8_1_1_1__1_FuelCombustionTransport($L35,$G35,$J35)</f>
        <v>0</v>
      </c>
      <c r="Q35" s="193" cm="1">
        <f t="array" ref="Q35">Scope3_Equations.VEERG_15_11_1_1__2_UpstreamTransportFuelEmissions(L35,G35,K35)</f>
        <v>0</v>
      </c>
    </row>
    <row r="36" spans="1:17" ht="20" customHeight="1" x14ac:dyDescent="0.25">
      <c r="A36" s="5" t="str">
        <f>HYPERLINK("#'5.2.1.1-2 Organic Fert N2O'!A1", "5.2.1.1-2 Organic fert N2O")</f>
        <v>5.2.1.1-2 Organic fert N2O</v>
      </c>
      <c r="D36" s="194" t="str">
        <f>$D$34</f>
        <v>Aviation</v>
      </c>
      <c r="E36" s="192" t="str">
        <f>'Constants - Fuel'!$E$30</f>
        <v>Renewable aviation kerosene</v>
      </c>
      <c r="F36" s="192" t="str">
        <f>'Constants - Fuel'!$F$133</f>
        <v>Renewable aviation kerosene</v>
      </c>
      <c r="G36" s="190" cm="1">
        <f t="array" ref="G36">IFERROR(_xlfn.XLOOKUP(1, (Table_Fuel_EFs_Transport[Fuel combusted]=$E36)*(Table_Fuel_EFs_Transport[Transport type]=$D$34), Table_Fuel_EFs_Transport[Energy Content Factor (GJ per unit of fuel)]), 0)</f>
        <v>36.799999999999997</v>
      </c>
      <c r="H36" s="190" cm="1">
        <f t="array" ref="H36">IFERROR(_xlfn.XLOOKUP(1, (Table_Fuel_EFs_Transport[Fuel combusted]=$E36)*(Table_Fuel_EFs_Transport[Transport type]=$D$34), Table_Fuel_EFs_Transport[Scope 1 Emission Factor (kg CO2 - e / GJ) CO2]), 0)</f>
        <v>0</v>
      </c>
      <c r="I36" s="190" cm="1">
        <f t="array" ref="I36">IFERROR(_xlfn.XLOOKUP(1, (Table_Fuel_EFs_Transport[Fuel combusted]=$E36)*(Table_Fuel_EFs_Transport[Transport type]=$D$34), Table_Fuel_EFs_Transport[Scope 1 Emission Factor (kg CO2 - e / GJ) CH4]), 0)</f>
        <v>0.01</v>
      </c>
      <c r="J36" s="190" cm="1">
        <f t="array" ref="J36">IFERROR(_xlfn.XLOOKUP(1, (Table_Fuel_EFs_Transport[Fuel combusted]=$E36)*(Table_Fuel_EFs_Transport[Transport type]=$D$34), Table_Fuel_EFs_Transport[Scope 1 Emission Factor (kg CO2 - e / GJ) N2O]), 0)</f>
        <v>0.6</v>
      </c>
      <c r="K36" s="190" cm="1">
        <f t="array" ref="K36">IFERROR(_xlfn.XLOOKUP(1, (Table_Fuel_EFs_Transport[Fuel combusted]=$E36)*(Table_Fuel_EFs_Transport[Transport type]=$D$25), Table_Fuel_EFs_Transport[Scope 3 Emission Factor (kg CO2 - e / GJ)]), 0)</f>
        <v>0</v>
      </c>
      <c r="L36" s="195" cm="1">
        <f t="array" ref="L36">Fuel_InputFunctions.Fuel_TotalConsumption(Table_Input_Fuel[Amount consumed], Table_Input_Fuel[Fuel use (select)], D36, Table_Input_Fuel[Fuel type (select)],F36)</f>
        <v>0</v>
      </c>
      <c r="M36" s="172" t="str" cm="1">
        <f t="array" ref="M36">Common_InputFunctions.Utility_LookupValueInTable(F36,Table_FuelTypes_Units[Fuel type],Table_FuelTypes_Units[Unit])</f>
        <v>kL</v>
      </c>
      <c r="N36" s="193" cm="1">
        <f t="array" ref="N36">Fuel_Equations.VEERG_8_1_1_1__1_FuelCombustionTransport($L36,$G36,$H36)</f>
        <v>0</v>
      </c>
      <c r="O36" s="193" cm="1">
        <f t="array" ref="O36">Fuel_Equations.VEERG_8_1_1_1__1_FuelCombustionTransport($L36,$G36,$I36)</f>
        <v>0</v>
      </c>
      <c r="P36" s="193" cm="1">
        <f t="array" ref="P36">Fuel_Equations.VEERG_8_1_1_1__1_FuelCombustionTransport($L36,$G36,$J36)</f>
        <v>0</v>
      </c>
      <c r="Q36" s="196" cm="1">
        <f t="array" ref="Q36">Scope3_Equations.VEERG_15_11_1_1__2_UpstreamTransportFuelEmissions(L36,G36,K36)</f>
        <v>0</v>
      </c>
    </row>
    <row r="37" spans="1:17" ht="20" customHeight="1" x14ac:dyDescent="0.25">
      <c r="A37" s="5" t="str">
        <f>HYPERLINK("#'5.3.1.1-2 Lime CO2'!A1", "5.3.1.1-2 Lime CO2")</f>
        <v>5.3.1.1-2 Lime CO2</v>
      </c>
      <c r="D37" s="197" t="str">
        <f>Table_FuelTypesPerUse[[#Headers],[Vessels]]</f>
        <v>Vessels</v>
      </c>
      <c r="E37" s="198" t="str">
        <f>'Constants - Fuel'!$E$10</f>
        <v>Gasoline</v>
      </c>
      <c r="F37" s="198" t="str">
        <f>'Constants - Fuel'!$I$131</f>
        <v>Petrol</v>
      </c>
      <c r="G37" s="205" cm="1">
        <f t="array" ref="G37">IFERROR(_xlfn.XLOOKUP(1, (Table_Fuel_EFs_Transport[Fuel combusted]=$E37)*(Table_Fuel_EFs_Transport[Transport type]=$D$37), Table_Fuel_EFs_Transport[Energy Content Factor (GJ per unit of fuel)]), 0)</f>
        <v>34.200000000000003</v>
      </c>
      <c r="H37" s="205" cm="1">
        <f t="array" ref="H37">IFERROR(_xlfn.XLOOKUP(1, (Table_Fuel_EFs_Transport[Fuel combusted]=$E37)*(Table_Fuel_EFs_Transport[Transport type]=$D$37), Table_Fuel_EFs_Transport[Scope 1 Emission Factor (kg CO2 - e / GJ) CO2]), 0)</f>
        <v>67.400000000000006</v>
      </c>
      <c r="I37" s="205" cm="1">
        <f t="array" ref="I37">IFERROR(_xlfn.XLOOKUP(1, (Table_Fuel_EFs_Transport[Fuel combusted]=$E37)*(Table_Fuel_EFs_Transport[Transport type]=$D$37), Table_Fuel_EFs_Transport[Scope 1 Emission Factor (kg CO2 - e / GJ) CH4]), 0)</f>
        <v>10.1</v>
      </c>
      <c r="J37" s="205" cm="1">
        <f t="array" ref="J37">IFERROR(_xlfn.XLOOKUP(1, (Table_Fuel_EFs_Transport[Fuel combusted]=$E37)*(Table_Fuel_EFs_Transport[Transport type]=$D$37), Table_Fuel_EFs_Transport[Scope 1 Emission Factor (kg CO2 - e / GJ) N2O]), 0)</f>
        <v>0.3</v>
      </c>
      <c r="K37" s="205" cm="1">
        <f t="array" ref="K37">IFERROR(_xlfn.XLOOKUP(1, (Table_Fuel_EFs_Transport[Fuel combusted]=$E37)*(Table_Fuel_EFs_Transport[Transport type]=$D$25), Table_Fuel_EFs_Transport[Scope 3 Emission Factor (kg CO2 - e / GJ)]), 0)</f>
        <v>17.2</v>
      </c>
      <c r="L37" s="202" cm="1">
        <f t="array" ref="L37">Fuel_InputFunctions.Fuel_TotalConsumption(Table_Input_Fuel[Amount consumed], Table_Input_Fuel[Fuel use (select)], D37, Table_Input_Fuel[Fuel type (select)],F37)</f>
        <v>0</v>
      </c>
      <c r="M37" s="206" t="str" cm="1">
        <f t="array" ref="M37">Common_InputFunctions.Utility_LookupValueInTable(F37,Table_FuelTypes_Units[Fuel type],Table_FuelTypes_Units[Unit])</f>
        <v>kL</v>
      </c>
      <c r="N37" s="203" cm="1">
        <f t="array" ref="N37">Fuel_Equations.VEERG_8_1_1_1__1_FuelCombustionTransport($L37,$G37,$H37)</f>
        <v>0</v>
      </c>
      <c r="O37" s="203" cm="1">
        <f t="array" ref="O37">Fuel_Equations.VEERG_8_1_1_1__1_FuelCombustionTransport($L37,$G37,$I37)</f>
        <v>0</v>
      </c>
      <c r="P37" s="203" cm="1">
        <f t="array" ref="P37">Fuel_Equations.VEERG_8_1_1_1__1_FuelCombustionTransport($L37,$G37,$J37)</f>
        <v>0</v>
      </c>
      <c r="Q37" s="203" cm="1">
        <f t="array" ref="Q37">Scope3_Equations.VEERG_15_11_1_1__2_UpstreamTransportFuelEmissions(L37,G37,K37)</f>
        <v>0</v>
      </c>
    </row>
    <row r="38" spans="1:17" ht="20" customHeight="1" x14ac:dyDescent="0.25">
      <c r="A38" s="5" t="str">
        <f>HYPERLINK("#'5.4.1.1-4 Atmos deposition'!A1", "5.4.1.1-4 Atmos. deposition")</f>
        <v>5.4.1.1-4 Atmos. deposition</v>
      </c>
      <c r="D38" s="194" t="str">
        <f>$D$37</f>
        <v>Vessels</v>
      </c>
      <c r="E38" s="192" t="str">
        <f>'Constants - Fuel'!$E$11</f>
        <v>Diesel oil</v>
      </c>
      <c r="F38" s="192"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72" cm="1">
        <f t="array" ref="L38">Fuel_InputFunctions.Fuel_TotalConsumption(Table_Input_Fuel[Amount consumed], Table_Input_Fuel[Fuel use (select)], D38, Table_Input_Fuel[Fuel type (select)],F38)</f>
        <v>0</v>
      </c>
      <c r="M38" s="172" t="str" cm="1">
        <f t="array" ref="M38">Common_InputFunctions.Utility_LookupValueInTable(F38,Table_FuelTypes_Units[Fuel type],Table_FuelTypes_Units[Unit])</f>
        <v>kL</v>
      </c>
      <c r="N38" s="193" cm="1">
        <f t="array" ref="N38">Fuel_Equations.VEERG_8_1_1_1__1_FuelCombustionTransport($L38,$G38,$H38)</f>
        <v>0</v>
      </c>
      <c r="O38" s="193" cm="1">
        <f t="array" ref="O38">Fuel_Equations.VEERG_8_1_1_1__1_FuelCombustionTransport($L38,$G38,$I38)</f>
        <v>0</v>
      </c>
      <c r="P38" s="193" cm="1">
        <f t="array" ref="P38">Fuel_Equations.VEERG_8_1_1_1__1_FuelCombustionTransport($L38,$G38,$J38)</f>
        <v>0</v>
      </c>
      <c r="Q38" s="193" cm="1">
        <f t="array" ref="Q38">Scope3_Equations.VEERG_15_11_1_1__2_UpstreamTransportFuelEmissions(L38,G38,K38)</f>
        <v>0</v>
      </c>
    </row>
    <row r="39" spans="1:17" ht="20" customHeight="1" x14ac:dyDescent="0.25">
      <c r="A39" s="5" t="str">
        <f>HYPERLINK("#'5.5.1.1-2 Leaching and runoff'!A1", "5.5.1.1-2 Leaching &amp; runoff")</f>
        <v>5.5.1.1-2 Leaching &amp; runoff</v>
      </c>
      <c r="D39" s="194" t="str">
        <f>$D$37</f>
        <v>Vessels</v>
      </c>
      <c r="E39" s="192" t="str">
        <f>'Constants - Fuel'!E33</f>
        <v>Fuel Oil</v>
      </c>
      <c r="F39" s="192"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kL</v>
      </c>
      <c r="N39" s="193" cm="1">
        <f t="array" ref="N39">Fuel_Equations.VEERG_8_1_1_1__1_FuelCombustionTransport($L39,$G39,$H39)</f>
        <v>0</v>
      </c>
      <c r="O39" s="193" cm="1">
        <f t="array" ref="O39">Fuel_Equations.VEERG_8_1_1_1__1_FuelCombustionTransport($L39,$G39,$I39)</f>
        <v>0</v>
      </c>
      <c r="P39" s="193" cm="1">
        <f t="array" ref="P39">Fuel_Equations.VEERG_8_1_1_1__1_FuelCombustionTransport($L39,$G39,$J39)</f>
        <v>0</v>
      </c>
      <c r="Q39" s="193" cm="1">
        <f t="array" ref="Q39">Scope3_Equations.VEERG_15_11_1_1__2_UpstreamTransportFuelEmissions(L39,G39,K39)</f>
        <v>0</v>
      </c>
    </row>
    <row r="40" spans="1:17" ht="20" customHeight="1" x14ac:dyDescent="0.25">
      <c r="A40" s="5" t="str">
        <f>HYPERLINK("#'6.2.1.1-2 Pasture residue N2O'!A1", "6.2.1.1-2 Pasture residue N2O")</f>
        <v>6.2.1.1-2 Pasture residue N2O</v>
      </c>
      <c r="H40" s="168"/>
      <c r="I40" s="168"/>
      <c r="J40" s="168"/>
      <c r="L40" s="168"/>
      <c r="M40" s="168"/>
      <c r="N40" s="168"/>
      <c r="O40" s="168"/>
      <c r="P40" s="168"/>
      <c r="Q40" s="168"/>
    </row>
    <row r="41" spans="1:17" ht="20" customHeight="1" x14ac:dyDescent="0.25">
      <c r="A41" s="5" t="str">
        <f>HYPERLINK("#'6.3.1.1-2 Leach runoff pasture'!A1", "6.3.1.1-2 Leach &amp; runoff (pasture)")</f>
        <v>6.3.1.1-2 Leach &amp; runoff (pasture)</v>
      </c>
      <c r="H41" s="168"/>
      <c r="I41" s="168"/>
      <c r="J41" s="168"/>
      <c r="L41" s="168"/>
      <c r="M41" s="168"/>
      <c r="N41" s="168"/>
      <c r="O41" s="168"/>
      <c r="P41" s="168"/>
      <c r="Q41" s="168"/>
    </row>
    <row r="42" spans="1:17" ht="20" customHeight="1" x14ac:dyDescent="0.25">
      <c r="A42" s="104" t="str">
        <f>HYPERLINK("#'8.1.1.1-2 Transport fuel'!A1", "8.1.1.1-2 Transport fuel")</f>
        <v>8.1.1.1-2 Transport fuel</v>
      </c>
      <c r="D42" s="207" t="str">
        <f>"Total scope 1 - " &amp; D25</f>
        <v>Total scope 1 - Cars and light commercial vehicles</v>
      </c>
      <c r="E42" s="208"/>
      <c r="F42" s="209"/>
    </row>
    <row r="43" spans="1:17" ht="20" customHeight="1" x14ac:dyDescent="0.25">
      <c r="A43" s="5" t="str">
        <f>HYPERLINK("#'8.2.1.1-2 Stationary fuel'!A1", "8.2.1.1-2 Stationary fuel")</f>
        <v>8.2.1.1-2 Stationary fuel</v>
      </c>
      <c r="D43" s="25" t="s">
        <v>837</v>
      </c>
      <c r="E43" s="210">
        <f>SUM(N25:N32)+N("Partial sum")</f>
        <v>0</v>
      </c>
      <c r="F43" s="16" t="str">
        <f>$E$12</f>
        <v>t CO2-e</v>
      </c>
    </row>
    <row r="44" spans="1:17" ht="20" customHeight="1" x14ac:dyDescent="0.25">
      <c r="A44" s="5" t="str">
        <f>HYPERLINK("#'10.1.1-2 Solid waste treatment'!A1", "10.1.1.1-2 Solid waste")</f>
        <v>10.1.1.1-2 Solid waste</v>
      </c>
      <c r="D44" s="25" t="s">
        <v>838</v>
      </c>
      <c r="E44" s="210">
        <f>SUM(O25:O32)+N("Partial sum")</f>
        <v>0</v>
      </c>
      <c r="F44" s="16" t="str">
        <f t="shared" ref="F44:F46" si="1">$E$12</f>
        <v>t CO2-e</v>
      </c>
    </row>
    <row r="45" spans="1:17" ht="20" customHeight="1" x14ac:dyDescent="0.25">
      <c r="A45" s="5" t="str">
        <f>HYPERLINK("#'14.1.1-2 Purchased electricity'!A1", "14.1.1-2 Purchased electricity")</f>
        <v>14.1.1-2 Purchased electricity</v>
      </c>
      <c r="D45" s="25" t="s">
        <v>839</v>
      </c>
      <c r="E45" s="210">
        <f>SUM(P25:P32)+N("Partial sum")</f>
        <v>0</v>
      </c>
      <c r="F45" s="16" t="str">
        <f t="shared" si="1"/>
        <v>t CO2-e</v>
      </c>
    </row>
    <row r="46" spans="1:17" ht="20" customHeight="1" x14ac:dyDescent="0.25">
      <c r="A46" s="5" t="str">
        <f>HYPERLINK("#'15 Scope 3'!A1", "15 Scope 3")</f>
        <v>15 Scope 3</v>
      </c>
      <c r="D46" s="25" t="s">
        <v>298</v>
      </c>
      <c r="E46" s="210">
        <f>SUM(Q25:Q32)+N("Partial sum")</f>
        <v>0</v>
      </c>
      <c r="F46" s="16" t="str">
        <f t="shared" si="1"/>
        <v>t CO2-e</v>
      </c>
    </row>
    <row r="47" spans="1:17" ht="20" customHeight="1" x14ac:dyDescent="0.25">
      <c r="A47" s="5" t="str">
        <f>HYPERLINK("#'Calcs - Manure sent off-site'!A1", "Calcs - Manure sent off-site")</f>
        <v>Calcs - Manure sent off-site</v>
      </c>
      <c r="D47" s="168"/>
      <c r="E47" s="168"/>
      <c r="F47" s="168"/>
    </row>
    <row r="48" spans="1:17" ht="20" customHeight="1" x14ac:dyDescent="0.25">
      <c r="D48" s="207" t="str">
        <f>"Total scope 1 - " &amp; D33</f>
        <v>Total scope 1 - Off-road Agriculture and forestry equipment</v>
      </c>
      <c r="E48" s="211"/>
      <c r="F48" s="209"/>
      <c r="H48" s="168"/>
      <c r="I48" s="168"/>
      <c r="J48" s="168"/>
      <c r="L48" s="168"/>
      <c r="M48" s="168"/>
      <c r="N48" s="168"/>
      <c r="O48" s="168"/>
      <c r="P48" s="168"/>
      <c r="Q48" s="168"/>
    </row>
    <row r="49" spans="1:17" ht="20" customHeight="1" x14ac:dyDescent="0.25">
      <c r="D49" s="25" t="s">
        <v>837</v>
      </c>
      <c r="E49" s="210">
        <f>SUM(N33:N33)+N("Partial sum")</f>
        <v>0</v>
      </c>
      <c r="F49" s="16" t="str">
        <f t="shared" ref="F49:F52" si="2">$E$12</f>
        <v>t CO2-e</v>
      </c>
      <c r="H49" s="168"/>
      <c r="I49" s="168"/>
      <c r="J49" s="168"/>
      <c r="L49" s="168"/>
      <c r="M49" s="168"/>
      <c r="N49" s="168"/>
      <c r="O49" s="168"/>
      <c r="P49" s="168"/>
      <c r="Q49" s="168"/>
    </row>
    <row r="50" spans="1:17" ht="20" customHeight="1" x14ac:dyDescent="0.25">
      <c r="A50" s="85" t="s">
        <v>1</v>
      </c>
      <c r="D50" s="25" t="s">
        <v>838</v>
      </c>
      <c r="E50" s="210">
        <f>SUM(O33:O33)+N("Partial sum")</f>
        <v>0</v>
      </c>
      <c r="F50" s="16" t="str">
        <f t="shared" si="2"/>
        <v>t CO2-e</v>
      </c>
      <c r="H50" s="168"/>
      <c r="I50" s="168"/>
      <c r="J50" s="168"/>
      <c r="L50" s="168"/>
      <c r="M50" s="168"/>
      <c r="N50" s="168"/>
      <c r="O50" s="168"/>
      <c r="P50" s="168"/>
      <c r="Q50" s="168"/>
    </row>
    <row r="51" spans="1:17" ht="20" customHeight="1" x14ac:dyDescent="0.25">
      <c r="A51" s="5" t="str">
        <f>HYPERLINK("#'Constants - Pasture Beef'!A1", "Constants - Pasture Beef")</f>
        <v>Constants - Pasture Beef</v>
      </c>
      <c r="D51" s="25" t="s">
        <v>839</v>
      </c>
      <c r="E51" s="210">
        <f>SUM(P33:P33)+N("Partial sum")</f>
        <v>0</v>
      </c>
      <c r="F51" s="16" t="str">
        <f t="shared" si="2"/>
        <v>t CO2-e</v>
      </c>
      <c r="H51" s="168"/>
      <c r="I51" s="168"/>
      <c r="J51" s="168"/>
      <c r="L51" s="168"/>
      <c r="M51" s="168"/>
      <c r="N51" s="168"/>
      <c r="O51" s="168"/>
      <c r="P51" s="168"/>
      <c r="Q51" s="168"/>
    </row>
    <row r="52" spans="1:17" ht="20" customHeight="1" x14ac:dyDescent="0.25">
      <c r="A52" s="5" t="str">
        <f>HYPERLINK("#'Constants - Ag Residue'!A1", "Constants - Ag residue")</f>
        <v>Constants - Ag residue</v>
      </c>
      <c r="D52" s="25" t="s">
        <v>298</v>
      </c>
      <c r="E52" s="210">
        <f>SUM(Q33)+N("Partial sum")</f>
        <v>0</v>
      </c>
      <c r="F52" s="16" t="str">
        <f t="shared" si="2"/>
        <v>t CO2-e</v>
      </c>
      <c r="H52" s="168"/>
      <c r="I52" s="168"/>
      <c r="J52" s="168"/>
      <c r="L52" s="168"/>
      <c r="M52" s="168"/>
      <c r="N52" s="168"/>
      <c r="O52" s="168"/>
      <c r="P52" s="168"/>
      <c r="Q52" s="168"/>
    </row>
    <row r="53" spans="1:17" ht="20" customHeight="1" x14ac:dyDescent="0.25">
      <c r="A53" s="5" t="str">
        <f>HYPERLINK("#'Constants - Common Livestock'!A1", "Constants - Common Livestock")</f>
        <v>Constants - Common Livestock</v>
      </c>
      <c r="D53" s="168"/>
      <c r="E53" s="212"/>
      <c r="F53" s="168"/>
      <c r="G53" s="168"/>
      <c r="H53" s="168"/>
      <c r="I53" s="168"/>
      <c r="J53" s="168"/>
      <c r="L53" s="168"/>
      <c r="M53" s="168"/>
      <c r="N53" s="168"/>
      <c r="O53" s="168"/>
      <c r="P53" s="168"/>
      <c r="Q53" s="168"/>
    </row>
    <row r="54" spans="1:17" ht="20" customHeight="1" x14ac:dyDescent="0.25">
      <c r="A54" s="5" t="str">
        <f>HYPERLINK("#'Constants - Electricity'!A1", "Constants - Electricity")</f>
        <v>Constants - Electricity</v>
      </c>
      <c r="D54" s="207" t="str">
        <f>"Total scope 1 - " &amp; D34</f>
        <v>Total scope 1 - Aviation</v>
      </c>
      <c r="E54" s="211"/>
      <c r="F54" s="209"/>
      <c r="G54" s="168"/>
      <c r="H54" s="168"/>
      <c r="I54" s="168"/>
      <c r="J54" s="168"/>
      <c r="L54" s="168"/>
      <c r="M54" s="168"/>
      <c r="N54" s="168"/>
      <c r="O54" s="168"/>
      <c r="P54" s="168"/>
      <c r="Q54" s="168"/>
    </row>
    <row r="55" spans="1:17" ht="20" customHeight="1" x14ac:dyDescent="0.25">
      <c r="A55" s="5" t="str">
        <f>HYPERLINK("#'Constants - Fertiliser'!A1", "Constants - Fertiliser")</f>
        <v>Constants - Fertiliser</v>
      </c>
      <c r="D55" s="25" t="s">
        <v>837</v>
      </c>
      <c r="E55" s="210">
        <f>SUM(N34:N36)+N("Partial sum")</f>
        <v>0</v>
      </c>
      <c r="F55" s="16" t="str">
        <f t="shared" ref="F55:F58" si="3">$E$12</f>
        <v>t CO2-e</v>
      </c>
      <c r="G55" s="168"/>
      <c r="H55" s="168"/>
      <c r="I55" s="168"/>
      <c r="J55" s="168"/>
      <c r="L55" s="168"/>
      <c r="M55" s="168"/>
      <c r="N55" s="168"/>
      <c r="O55" s="168"/>
      <c r="P55" s="168"/>
      <c r="Q55" s="168"/>
    </row>
    <row r="56" spans="1:17" ht="20" customHeight="1" x14ac:dyDescent="0.25">
      <c r="A56" s="5" t="str">
        <f>HYPERLINK("#'Constants - Fuel'!A1", "Constants - Fuel")</f>
        <v>Constants - Fuel</v>
      </c>
      <c r="D56" s="25" t="s">
        <v>838</v>
      </c>
      <c r="E56" s="210">
        <f>SUM(O34:O36)+N("Partial sum")</f>
        <v>0</v>
      </c>
      <c r="F56" s="16" t="str">
        <f t="shared" si="3"/>
        <v>t CO2-e</v>
      </c>
      <c r="G56" s="168"/>
      <c r="H56" s="168"/>
      <c r="I56" s="168"/>
      <c r="J56" s="168"/>
      <c r="L56" s="168"/>
      <c r="M56" s="168"/>
      <c r="N56" s="168"/>
      <c r="O56" s="168"/>
      <c r="P56" s="168"/>
      <c r="Q56" s="168"/>
    </row>
    <row r="57" spans="1:17" ht="20" customHeight="1" x14ac:dyDescent="0.25">
      <c r="A57" s="5" t="str">
        <f>HYPERLINK("#'Constants - Scope 3'!A1", "Constants - Scope 3")</f>
        <v>Constants - Scope 3</v>
      </c>
      <c r="D57" s="25" t="s">
        <v>839</v>
      </c>
      <c r="E57" s="210">
        <f>SUM(P34:P36)+N("Partial sum")</f>
        <v>0</v>
      </c>
      <c r="F57" s="16" t="str">
        <f t="shared" si="3"/>
        <v>t CO2-e</v>
      </c>
      <c r="G57" s="168"/>
      <c r="H57" s="168"/>
      <c r="I57" s="168"/>
      <c r="J57" s="168"/>
      <c r="L57" s="168"/>
      <c r="M57" s="168"/>
      <c r="N57" s="168"/>
      <c r="O57" s="168"/>
      <c r="P57" s="168"/>
      <c r="Q57" s="168"/>
    </row>
    <row r="58" spans="1:17" ht="20" customHeight="1" x14ac:dyDescent="0.25">
      <c r="A58" s="5" t="str">
        <f>HYPERLINK("#'Constants - Solid Waste'!A1", "Constants - Solid Waste")</f>
        <v>Constants - Solid Waste</v>
      </c>
      <c r="D58" s="25" t="s">
        <v>298</v>
      </c>
      <c r="E58" s="210">
        <f>SUM(Q34:Q36)+N("Partial sum")</f>
        <v>0</v>
      </c>
      <c r="F58" s="16" t="str">
        <f t="shared" si="3"/>
        <v>t CO2-e</v>
      </c>
      <c r="G58" s="168"/>
      <c r="H58" s="168"/>
      <c r="I58" s="168"/>
      <c r="J58" s="168"/>
      <c r="L58" s="168"/>
      <c r="M58" s="168"/>
      <c r="N58" s="168"/>
      <c r="O58" s="168"/>
      <c r="P58" s="168"/>
      <c r="Q58" s="168"/>
    </row>
    <row r="59" spans="1:17" ht="20" customHeight="1" x14ac:dyDescent="0.25">
      <c r="A59" s="5" t="str">
        <f>HYPERLINK("#'Constants - Common'!A1", "Constants - Common")</f>
        <v>Constants - Common</v>
      </c>
      <c r="D59" s="168"/>
      <c r="E59" s="212"/>
      <c r="F59" s="168"/>
      <c r="G59" s="168"/>
      <c r="H59" s="168"/>
      <c r="I59" s="168"/>
      <c r="J59" s="168"/>
      <c r="L59" s="168"/>
      <c r="M59" s="168"/>
      <c r="N59" s="168"/>
      <c r="O59" s="168"/>
      <c r="P59" s="168"/>
      <c r="Q59" s="168"/>
    </row>
    <row r="60" spans="1:17" ht="20" customHeight="1" x14ac:dyDescent="0.25">
      <c r="A60" s="5" t="str">
        <f>HYPERLINK("#'Acknowledgements'!A1", "Acknowledgements")</f>
        <v>Acknowledgements</v>
      </c>
      <c r="D60" s="207" t="str">
        <f>"Total scope 1 - " &amp; D37</f>
        <v>Total scope 1 - Vessels</v>
      </c>
      <c r="E60" s="211"/>
      <c r="F60" s="209"/>
      <c r="G60" s="168"/>
      <c r="H60" s="168"/>
      <c r="I60" s="168"/>
      <c r="J60" s="168"/>
      <c r="L60" s="168"/>
      <c r="M60" s="168"/>
      <c r="N60" s="168"/>
      <c r="O60" s="168"/>
      <c r="P60" s="168"/>
      <c r="Q60" s="168"/>
    </row>
    <row r="61" spans="1:17" ht="20" customHeight="1" x14ac:dyDescent="0.25">
      <c r="D61" s="25" t="s">
        <v>837</v>
      </c>
      <c r="E61" s="210">
        <f>SUM(N37:N39)+N("Partial sum")</f>
        <v>0</v>
      </c>
      <c r="F61" s="16" t="str">
        <f t="shared" ref="F61:F64" si="4">$E$12</f>
        <v>t CO2-e</v>
      </c>
      <c r="G61" s="168"/>
      <c r="H61" s="168"/>
      <c r="I61" s="168"/>
      <c r="J61" s="168"/>
      <c r="L61" s="168"/>
      <c r="M61" s="168"/>
      <c r="N61" s="168"/>
      <c r="O61" s="168"/>
      <c r="P61" s="168"/>
      <c r="Q61" s="168"/>
    </row>
    <row r="62" spans="1:17" ht="20" customHeight="1" x14ac:dyDescent="0.25">
      <c r="D62" s="25" t="s">
        <v>838</v>
      </c>
      <c r="E62" s="210">
        <f>SUM(O37:O39)+N("Partial sum")</f>
        <v>0</v>
      </c>
      <c r="F62" s="16" t="str">
        <f t="shared" si="4"/>
        <v>t CO2-e</v>
      </c>
      <c r="G62" s="168"/>
      <c r="H62" s="168"/>
      <c r="I62" s="168"/>
      <c r="J62" s="168"/>
      <c r="L62" s="168"/>
      <c r="M62" s="168"/>
      <c r="N62" s="168"/>
      <c r="O62" s="168"/>
      <c r="P62" s="168"/>
      <c r="Q62" s="168"/>
    </row>
    <row r="63" spans="1:17" ht="20" customHeight="1" x14ac:dyDescent="0.25">
      <c r="D63" s="25" t="s">
        <v>839</v>
      </c>
      <c r="E63" s="210">
        <f>SUM(P37:P39)+N("Partial sum")</f>
        <v>0</v>
      </c>
      <c r="F63" s="16" t="str">
        <f t="shared" si="4"/>
        <v>t CO2-e</v>
      </c>
      <c r="G63" s="168"/>
      <c r="H63" s="168"/>
      <c r="I63" s="168"/>
      <c r="J63" s="168"/>
      <c r="L63" s="168"/>
      <c r="M63" s="168"/>
      <c r="N63" s="168"/>
      <c r="O63" s="168"/>
      <c r="P63" s="168"/>
      <c r="Q63" s="168"/>
    </row>
    <row r="64" spans="1:17" ht="20" customHeight="1" x14ac:dyDescent="0.25">
      <c r="D64" s="25" t="s">
        <v>298</v>
      </c>
      <c r="E64" s="210">
        <f>SUM(Q37:Q39)+N("Partial sum")</f>
        <v>0</v>
      </c>
      <c r="F64" s="16" t="str">
        <f t="shared" si="4"/>
        <v>t CO2-e</v>
      </c>
      <c r="G64" s="168"/>
      <c r="H64" s="168"/>
      <c r="I64" s="168"/>
      <c r="J64" s="168"/>
      <c r="L64" s="168"/>
      <c r="M64" s="168"/>
      <c r="N64" s="168"/>
      <c r="O64" s="168"/>
      <c r="P64" s="168"/>
      <c r="Q64" s="168"/>
    </row>
    <row r="65" spans="4:17" ht="20" customHeight="1" x14ac:dyDescent="0.25">
      <c r="G65" s="168"/>
      <c r="H65" s="168"/>
      <c r="I65" s="168"/>
      <c r="J65" s="168"/>
      <c r="L65" s="168"/>
      <c r="M65" s="168"/>
      <c r="N65" s="168"/>
      <c r="O65" s="168"/>
      <c r="P65" s="168"/>
      <c r="Q65" s="168"/>
    </row>
    <row r="66" spans="4:17" ht="20" customHeight="1" x14ac:dyDescent="0.25">
      <c r="D66" s="207" t="s">
        <v>840</v>
      </c>
      <c r="E66" s="213"/>
      <c r="F66" s="209"/>
      <c r="G66" s="168"/>
      <c r="H66" s="168"/>
      <c r="I66" s="168"/>
      <c r="J66" s="168"/>
      <c r="L66" s="168"/>
      <c r="M66" s="168"/>
      <c r="N66" s="168"/>
      <c r="O66" s="168"/>
      <c r="P66" s="168"/>
      <c r="Q66" s="168"/>
    </row>
    <row r="67" spans="4:17" ht="20" customHeight="1" x14ac:dyDescent="0.25">
      <c r="D67" s="25" t="s">
        <v>837</v>
      </c>
      <c r="E67" s="210">
        <f>E43+E49+E55+E61</f>
        <v>0</v>
      </c>
      <c r="F67" s="16" t="str">
        <f t="shared" ref="F67:F70" si="5">$E$12</f>
        <v>t CO2-e</v>
      </c>
      <c r="G67" s="168"/>
    </row>
    <row r="68" spans="4:17" ht="20" customHeight="1" x14ac:dyDescent="0.25">
      <c r="D68" s="25" t="s">
        <v>838</v>
      </c>
      <c r="E68" s="210">
        <f t="shared" ref="E68:E70" si="6">E44+E50+E56+E62</f>
        <v>0</v>
      </c>
      <c r="F68" s="16" t="str">
        <f t="shared" si="5"/>
        <v>t CO2-e</v>
      </c>
      <c r="G68" s="168"/>
    </row>
    <row r="69" spans="4:17" ht="20" customHeight="1" x14ac:dyDescent="0.25">
      <c r="D69" s="25" t="s">
        <v>839</v>
      </c>
      <c r="E69" s="210">
        <f t="shared" si="6"/>
        <v>0</v>
      </c>
      <c r="F69" s="16" t="str">
        <f t="shared" si="5"/>
        <v>t CO2-e</v>
      </c>
      <c r="G69" s="168"/>
    </row>
    <row r="70" spans="4:17" ht="20" customHeight="1" x14ac:dyDescent="0.25">
      <c r="D70" s="25" t="s">
        <v>298</v>
      </c>
      <c r="E70" s="210">
        <f t="shared" si="6"/>
        <v>0</v>
      </c>
      <c r="F70" s="16" t="str">
        <f t="shared" si="5"/>
        <v>t CO2-e</v>
      </c>
      <c r="G70" s="168"/>
    </row>
    <row r="71" spans="4:17" ht="20" customHeight="1" x14ac:dyDescent="0.25">
      <c r="G71" s="168"/>
    </row>
    <row r="72" spans="4:17" ht="20" customHeight="1" x14ac:dyDescent="0.25"/>
    <row r="73" spans="4:17" ht="20" customHeight="1" x14ac:dyDescent="0.25"/>
    <row r="74" spans="4:17" ht="20" customHeight="1" x14ac:dyDescent="0.25"/>
    <row r="75" spans="4:17" ht="20" customHeight="1" x14ac:dyDescent="0.25"/>
    <row r="76" spans="4:17" ht="20" customHeight="1" x14ac:dyDescent="0.25"/>
    <row r="77" spans="4:17" ht="20" customHeight="1" x14ac:dyDescent="0.25"/>
    <row r="78" spans="4:17" ht="20" customHeight="1" x14ac:dyDescent="0.25"/>
    <row r="79" spans="4:17" ht="20" customHeight="1" x14ac:dyDescent="0.25"/>
    <row r="80" spans="4:17"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8"/>
    </row>
    <row r="342" spans="8:8" x14ac:dyDescent="0.25" ht="20" customHeight="1">
      <c r="H342" s="8"/>
    </row>
  </sheetData>
  <dataValidations count="1">
    <dataValidation operator="equal" allowBlank="1" showInputMessage="1" showErrorMessage="1" sqref="N172:Q172 O150:Q150 E269 N166:Q166 O143:Q144 E228 O167:Q167 G132 I129:I133 F134:I134 F129:F132 H128:H132 G129 F148:I148 I149 F150:I150" xr:uid="{22AB209A-7F11-4CA9-A799-E705C8642FA3}"/>
  </dataValidation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14E8E-764E-4878-9409-51A26CD19CAA}">
  <sheetPr>
    <tabColor rgb="FF008000"/>
  </sheetPr>
  <dimension ref="A1:R1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1" customFormat="1" ht="30" customHeight="1" x14ac:dyDescent="0.35">
      <c r="A1" s="10" t="e" vm="1">
        <v>#VALUE!</v>
      </c>
      <c r="C1" s="21" t="s">
        <v>841</v>
      </c>
    </row>
    <row r="2" spans="1:18" s="3" customFormat="1" ht="20" customHeight="1" x14ac:dyDescent="0.25">
      <c r="A2"/>
    </row>
    <row r="3" spans="1:18" ht="20" customHeight="1" x14ac:dyDescent="0.25">
      <c r="A3" s="5" t="str">
        <f>HYPERLINK("#'Home'!A1", "Home")</f>
        <v>Home</v>
      </c>
      <c r="C3" s="23"/>
      <c r="D3" s="23" t="s">
        <v>136</v>
      </c>
      <c r="E3" s="23"/>
      <c r="F3" s="23"/>
      <c r="G3" s="23"/>
      <c r="H3" s="23"/>
      <c r="I3" s="23"/>
      <c r="J3" s="23"/>
      <c r="K3" s="23"/>
      <c r="L3" s="23"/>
      <c r="M3" s="23"/>
      <c r="N3" s="23"/>
      <c r="O3" s="23"/>
      <c r="P3" s="23"/>
      <c r="Q3" s="23"/>
      <c r="R3" s="23"/>
    </row>
    <row r="4" spans="1:18" ht="20" customHeight="1" x14ac:dyDescent="0.25">
      <c r="A4" s="5" t="str">
        <f>HYPERLINK("#'Results - Activity period'!A1", "Results - Activity period")</f>
        <v>Results - Activity period</v>
      </c>
    </row>
    <row r="5" spans="1:18" ht="20" customHeight="1" x14ac:dyDescent="0.25">
      <c r="A5" s="5" t="str">
        <f>HYPERLINK("#'Results - Product EI'!A1", "Results - Product Emissions Intensity")</f>
        <v>Results - Product Emissions Intensity</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68"/>
      <c r="P5" s="168"/>
      <c r="Q5" s="168"/>
      <c r="R5" s="168"/>
    </row>
    <row r="6" spans="1:18" ht="20" customHeight="1" x14ac:dyDescent="0.25">
      <c r="D6" s="17" t="str" cm="1">
        <f t="array" ref="D6">Fuel_Equations.VEERG_8_2_1_1__1_FuelCombustionStationary_Source()</f>
        <v>VEERG 2026: 8.2.1.1, Equation (1)</v>
      </c>
      <c r="K6" s="17" t="str" cm="1">
        <f t="array" ref="K6">Scope3_Equations.VEERG_15_11_1_1__3_UpstreamStationaryFuelEmissions_Source()</f>
        <v>VEERG 2026: 15.11.1.1, Equation (3)</v>
      </c>
      <c r="O6" s="168"/>
      <c r="P6" s="168"/>
      <c r="Q6" s="168"/>
      <c r="R6" s="168"/>
    </row>
    <row r="7" spans="1:18" ht="20" customHeight="1" x14ac:dyDescent="0.25">
      <c r="D7" s="103" t="s">
        <v>372</v>
      </c>
      <c r="E7" s="103" t="str" cm="1">
        <f t="array" aca="1" ref="E7" ca="1">Common_InputFunctions.Utility_DisplayFunctionName(N25)</f>
        <v>=Fuel_Equations.VEERG_8_2_1_1__1_FuelCombustionStationary</v>
      </c>
      <c r="K7" s="26" t="str" cm="1">
        <f t="array" ref="K7">Scope3_Equations.VEERG_15_11_1_1__3_UpstreamStationaryFuelEmissions_Variation()</f>
        <v>VARIATION ON SOURCE: Added 'state' and 'metro/non-metro' arguments as gaseous scope 3 EFs are state and metro/non-metro location-based.</v>
      </c>
      <c r="O7" s="168"/>
      <c r="P7" s="168"/>
      <c r="Q7" s="168"/>
      <c r="R7" s="168"/>
    </row>
    <row r="8" spans="1:18" ht="20" customHeight="1" x14ac:dyDescent="0.25">
      <c r="A8" s="7" t="s">
        <v>0</v>
      </c>
      <c r="K8" s="103" t="s">
        <v>372</v>
      </c>
      <c r="L8" s="103" t="str" cm="1">
        <f t="array" aca="1" ref="L8" ca="1">Common_InputFunctions.Utility_DisplayFunctionName(Q25)</f>
        <v>=Fuel_Equations.VEERG_8_2_1_1__1_FuelCombustionStationary</v>
      </c>
      <c r="O8" s="168"/>
      <c r="P8" s="168"/>
      <c r="Q8" s="168"/>
      <c r="R8" s="168"/>
    </row>
    <row r="9" spans="1:18" ht="20" customHeight="1" x14ac:dyDescent="0.25">
      <c r="A9" s="5" t="str">
        <f>HYPERLINK("#'Input - Enterprise'!A1", "Enterprise")</f>
        <v>Enterprise</v>
      </c>
      <c r="G9" s="17"/>
      <c r="O9" s="168"/>
      <c r="P9" s="168"/>
      <c r="Q9" s="168"/>
      <c r="R9" s="168"/>
    </row>
    <row r="10" spans="1:18" ht="20" customHeight="1" x14ac:dyDescent="0.25">
      <c r="A10" s="5" t="str">
        <f>HYPERLINK("#'Input - Site'!A1", "Site")</f>
        <v>Site</v>
      </c>
      <c r="O10" s="168"/>
      <c r="P10" s="168"/>
      <c r="Q10" s="168"/>
      <c r="R10" s="168"/>
    </row>
    <row r="11" spans="1:18" ht="20" customHeight="1" x14ac:dyDescent="0.25">
      <c r="A11" s="5" t="str">
        <f>HYPERLINK("#'Input - Pasture Beef'!A1", "Pasture Beef")</f>
        <v>Pasture Beef</v>
      </c>
      <c r="D11" s="77" t="s">
        <v>374</v>
      </c>
      <c r="E11" s="1" t="str" cm="1">
        <f t="array" ref="E11">Fuel_Equations.VEERG_8_2_1_1__1_FuelCombustionStationary_Variable()</f>
        <v>E_g</v>
      </c>
      <c r="K11" s="77" t="s">
        <v>374</v>
      </c>
      <c r="L11" s="1" t="str" cm="1">
        <f t="array" ref="L11">Scope3_Equations.VEERG_15_11_1_1__3_UpstreamStationaryFuelEmissions_Variable()</f>
        <v>E_WTTSCq</v>
      </c>
      <c r="O11" s="168"/>
      <c r="P11" s="168"/>
      <c r="Q11" s="168"/>
      <c r="R11" s="168"/>
    </row>
    <row r="12" spans="1:18" ht="20" customHeight="1" x14ac:dyDescent="0.25">
      <c r="A12" s="5" t="str">
        <f>HYPERLINK("#'Input - Livestock sales'!A1", "Livestock sales")</f>
        <v>Livestock sales</v>
      </c>
      <c r="D12" s="77" t="s">
        <v>121</v>
      </c>
      <c r="E12" s="9" t="str" cm="1">
        <f t="array" ref="E12">Fuel_Equations.VEERG_8_2_1_1__1_FuelCombustionStationary_Unit()</f>
        <v>t CO2-e</v>
      </c>
      <c r="K12" s="77" t="s">
        <v>121</v>
      </c>
      <c r="L12" s="9" t="str" cm="1">
        <f t="array" ref="L12">Scope3_Equations.VEERG_15_11_1_1__3_UpstreamStationaryFuelEmissions_Unit()</f>
        <v>t CO2e</v>
      </c>
    </row>
    <row r="13" spans="1:18" ht="20" customHeight="1" x14ac:dyDescent="0.25">
      <c r="A13" s="5" t="str">
        <f>HYPERLINK("#'Input - Beef cattle purchases'!A1", "Beef cattle purchases")</f>
        <v>Beef cattle purchases</v>
      </c>
    </row>
    <row r="14" spans="1:18" ht="20" customHeight="1" x14ac:dyDescent="0.25">
      <c r="A14" s="5" t="str">
        <f>HYPERLINK("#'Input - Pasture'!A1", "Pasture")</f>
        <v>Pasture</v>
      </c>
      <c r="D14" s="105" t="str" cm="1">
        <f t="array" ref="D14:E20">_xlfn.CHOOSECOLS(Fuel_Equations.VEERG_8_2_1_1__1_FuelCombustionStationary_Arguments(), 1,2)</f>
        <v>Q_SCq</v>
      </c>
      <c r="E14" s="106" t="str">
        <v>Amount of fuel type q used for stationary combustion operations</v>
      </c>
      <c r="F14" s="108"/>
      <c r="G14" s="105" t="str" cm="1">
        <f t="array" ref="G14:H20">_xlfn.CHOOSECOLS(Fuel_Equations.VEERG_8_2_1_1__1_FuelCombustionStationary_Arguments(), 3,4)</f>
        <v>Varies based on fuel type: kL, m3, GJ</v>
      </c>
      <c r="H14" s="109" t="str">
        <v>Input</v>
      </c>
      <c r="I14" s="111" t="str" cm="1">
        <f t="array" aca="1" ref="I14" ca="1">HYPERLINK(Common_InputFunctions.Utility_SourceHyperlink($D$22), $D$22)</f>
        <v>Table_E_g</v>
      </c>
      <c r="K14" s="105" t="str" cm="1">
        <f t="array" ref="K14:L18">_xlfn.CHOOSECOLS(Scope3_Equations.VEERG_15_11_1_1__3_UpstreamStationaryFuelEmissions_Arguments(),1,2)</f>
        <v>Q_SCq</v>
      </c>
      <c r="L14" s="105" t="str">
        <v>amount of fuel q used for stationary combustion operations</v>
      </c>
      <c r="M14" s="105"/>
      <c r="N14" s="105" t="str" cm="1">
        <f t="array" ref="N14:O18">_xlfn.CHOOSECOLS(Scope3_Equations.VEERG_15_11_1_1__3_UpstreamStationaryFuelEmissions_Arguments(),3,4)</f>
        <v>kL</v>
      </c>
      <c r="O14" s="109" t="str">
        <v>Input</v>
      </c>
      <c r="P14" s="111" t="str" cm="1">
        <f t="array" aca="1" ref="P14" ca="1">HYPERLINK(Common_InputFunctions.Utility_SourceHyperlink($D$22), $D$22)</f>
        <v>Table_E_g</v>
      </c>
      <c r="Q14" s="168"/>
    </row>
    <row r="15" spans="1:18" ht="20" customHeight="1" x14ac:dyDescent="0.25">
      <c r="A15" s="5" t="str">
        <f>HYPERLINK("#'Input - Fert Prod System'!A1", "Fert Prod System")</f>
        <v>Fert Prod System</v>
      </c>
      <c r="D15" s="105" t="str">
        <v>EC_SCq</v>
      </c>
      <c r="E15" s="106" t="str">
        <v>Energy content factor for stationary combustion operations</v>
      </c>
      <c r="F15" s="108"/>
      <c r="G15" s="105" t="str">
        <v>GJ / unit of fuel</v>
      </c>
      <c r="H15" s="110" t="str">
        <v>Constant</v>
      </c>
      <c r="I15" s="111" t="str" cm="1">
        <f t="array" aca="1" ref="I15" ca="1">HYPERLINK(Common_InputFunctions.Utility_SourceHyperlink($D$22), $D$22)</f>
        <v>Table_E_g</v>
      </c>
      <c r="K15" s="105" t="str">
        <v>EC_SCq</v>
      </c>
      <c r="L15" s="105" t="str">
        <v>energy content factor for stationary combustion operations</v>
      </c>
      <c r="M15" s="105"/>
      <c r="N15" s="105" t="str">
        <v>GJ/kL</v>
      </c>
      <c r="O15" s="110" t="str">
        <v>Constant</v>
      </c>
      <c r="P15" s="111" t="str" cm="1">
        <f t="array" aca="1" ref="P15" ca="1">HYPERLINK(Common_InputFunctions.Utility_SourceHyperlink($D$22), $D$22)</f>
        <v>Table_E_g</v>
      </c>
      <c r="Q15" s="168"/>
    </row>
    <row r="16" spans="1:18" ht="20" customHeight="1" x14ac:dyDescent="0.25">
      <c r="A16" s="5" t="str">
        <f>HYPERLINK("#'Input - Fertiliser'!A1", "Fertiliser")</f>
        <v>Fertiliser</v>
      </c>
      <c r="D16" s="105" t="str">
        <v>EF_SC1qg</v>
      </c>
      <c r="E16" s="106" t="str">
        <v>Scope 1 emission factor for stationary combustion for each greenhouse gas</v>
      </c>
      <c r="F16" s="108"/>
      <c r="G16" s="105" t="str">
        <v>kg CO2e / GJ</v>
      </c>
      <c r="H16" s="110" t="str">
        <v>Constant</v>
      </c>
      <c r="I16" s="111" t="str" cm="1">
        <f t="array" aca="1" ref="I16" ca="1">HYPERLINK(Common_InputFunctions.Utility_SourceHyperlink($D$22), $D$22)</f>
        <v>Table_E_g</v>
      </c>
      <c r="K16" s="105" t="str">
        <v>EF_SC3q</v>
      </c>
      <c r="L16" s="105" t="str">
        <v>scope 3 emission factor for stationary combustion operations</v>
      </c>
      <c r="M16" s="105"/>
      <c r="N16" s="105" t="str">
        <v>kg CO2e/GJ</v>
      </c>
      <c r="O16" s="110" t="str">
        <v>Constant</v>
      </c>
      <c r="P16" s="111" t="str" cm="1">
        <f t="array" aca="1" ref="P16" ca="1">HYPERLINK(Common_InputFunctions.Utility_SourceHyperlink($D$22), $D$22)</f>
        <v>Table_E_g</v>
      </c>
      <c r="Q16" s="168"/>
    </row>
    <row r="17" spans="1:17" ht="20" customHeight="1" x14ac:dyDescent="0.25">
      <c r="A17" s="5" t="str">
        <f>HYPERLINK("#'Input - Fuel'!A1", "Fuel")</f>
        <v>Fuel</v>
      </c>
      <c r="D17" s="105" t="str">
        <v>q</v>
      </c>
      <c r="E17" s="106" t="str">
        <v>Fuel type</v>
      </c>
      <c r="F17" s="108"/>
      <c r="G17" s="105" t="str">
        <v/>
      </c>
      <c r="H17" s="110" t="str">
        <v>Constant</v>
      </c>
      <c r="I17" s="111"/>
      <c r="J17" s="168"/>
      <c r="K17" s="105" t="str">
        <v>i</v>
      </c>
      <c r="L17" s="106" t="str">
        <v>state</v>
      </c>
      <c r="M17" s="108"/>
      <c r="N17" s="105" t="str">
        <v/>
      </c>
      <c r="O17" s="109" t="str">
        <v>Input</v>
      </c>
      <c r="P17" s="105">
        <f>X_Cell_Site_State</f>
        <v>0</v>
      </c>
      <c r="Q17" s="168"/>
    </row>
    <row r="18" spans="1:17" ht="20" customHeight="1" x14ac:dyDescent="0.25">
      <c r="A18" s="5" t="str">
        <f>HYPERLINK("#'Input - Electricity'!A1", "Electricity")</f>
        <v>Electricity</v>
      </c>
      <c r="D18" s="105" t="str">
        <v>SC</v>
      </c>
      <c r="E18" s="106" t="str">
        <v>Stationary combustion</v>
      </c>
      <c r="F18" s="108"/>
      <c r="G18" s="105" t="str">
        <v/>
      </c>
      <c r="H18" s="110" t="str">
        <v>Constant</v>
      </c>
      <c r="I18" s="111"/>
      <c r="J18" s="168"/>
      <c r="K18" s="105" t="str">
        <v>m</v>
      </c>
      <c r="L18" s="106" t="str">
        <v>metropolitan/non-metropolitan location</v>
      </c>
      <c r="M18" s="108"/>
      <c r="N18" s="105" t="str">
        <v/>
      </c>
      <c r="O18" s="109" t="str">
        <v>Input</v>
      </c>
      <c r="P18" s="105">
        <f>X_Cell_Fuel_IsMetroLocation</f>
        <v>0</v>
      </c>
      <c r="Q18" s="168"/>
    </row>
    <row r="19" spans="1:17" ht="20" customHeight="1" x14ac:dyDescent="0.25">
      <c r="A19" s="5" t="str">
        <f>HYPERLINK("#'Input - Common farm inputs'!A1", "Common farm inputs")</f>
        <v>Common farm inputs</v>
      </c>
      <c r="D19" s="105" t="str">
        <v>g</v>
      </c>
      <c r="E19" s="106" t="str">
        <v>Greenhouse gas</v>
      </c>
      <c r="F19" s="108"/>
      <c r="G19" s="105" t="str">
        <v/>
      </c>
      <c r="H19" s="110" t="str">
        <v>Constant</v>
      </c>
      <c r="I19" s="111"/>
      <c r="J19" s="168"/>
      <c r="L19" s="168"/>
      <c r="N19" s="168"/>
      <c r="O19" s="168"/>
      <c r="P19" s="168"/>
      <c r="Q19" s="168"/>
    </row>
    <row r="20" spans="1:17" ht="20" customHeight="1" x14ac:dyDescent="0.25">
      <c r="A20" s="5" t="str">
        <f>HYPERLINK("#'Input - Crop pasture farm input'!A1", "Crop pasture farm input")</f>
        <v>Crop pasture farm input</v>
      </c>
      <c r="D20" s="105" t="str">
        <v>1</v>
      </c>
      <c r="E20" s="106" t="str">
        <v>Scope 1</v>
      </c>
      <c r="F20" s="108"/>
      <c r="G20" s="105" t="str">
        <v/>
      </c>
      <c r="H20" s="110" t="str">
        <v>Constant</v>
      </c>
      <c r="I20" s="111"/>
      <c r="J20" s="168"/>
      <c r="L20" s="168"/>
      <c r="N20" s="168"/>
      <c r="O20" s="168"/>
      <c r="P20" s="168"/>
      <c r="Q20" s="168"/>
    </row>
    <row r="21" spans="1:17" ht="20" customHeight="1" x14ac:dyDescent="0.25">
      <c r="A21" s="5" t="str">
        <f>HYPERLINK("#'Input - Livestock farm Inputs'!A1", "Livestock farm Inputs")</f>
        <v>Livestock farm Inputs</v>
      </c>
      <c r="O21" s="168"/>
      <c r="P21" s="168"/>
      <c r="Q21" s="168"/>
    </row>
    <row r="22" spans="1:17" ht="20" customHeight="1" x14ac:dyDescent="0.25">
      <c r="A22" s="5" t="str">
        <f>HYPERLINK("#'Input - Freight'!A1", "Freight")</f>
        <v>Freight</v>
      </c>
      <c r="D22" s="112" t="s">
        <v>821</v>
      </c>
    </row>
    <row r="23" spans="1:17" ht="20" customHeight="1" x14ac:dyDescent="0.25">
      <c r="A23" s="5" t="str">
        <f>HYPERLINK("#'Input - Solid waste'!A1", "Solid waste")</f>
        <v>Solid waste</v>
      </c>
      <c r="D23" s="113" t="s">
        <v>842</v>
      </c>
    </row>
    <row r="24" spans="1:17" ht="20" customHeight="1" x14ac:dyDescent="0.25">
      <c r="A24" s="5" t="str">
        <f>HYPERLINK("#'Input - Manure sent off-site'!A1", "Manure sent off-site")</f>
        <v>Manure sent off-site</v>
      </c>
      <c r="D24" s="114" t="s">
        <v>823</v>
      </c>
      <c r="E24" s="114" t="s">
        <v>824</v>
      </c>
      <c r="F24" s="114" t="s">
        <v>825</v>
      </c>
      <c r="G24" s="114" t="s">
        <v>843</v>
      </c>
      <c r="H24" s="114" t="s">
        <v>844</v>
      </c>
      <c r="I24" s="114" t="s">
        <v>845</v>
      </c>
      <c r="J24" s="114" t="s">
        <v>846</v>
      </c>
      <c r="K24" s="114" t="s">
        <v>847</v>
      </c>
      <c r="L24" s="82" t="s">
        <v>848</v>
      </c>
      <c r="M24" s="114" t="s">
        <v>832</v>
      </c>
      <c r="N24" s="114" t="s">
        <v>833</v>
      </c>
      <c r="O24" s="114" t="s">
        <v>834</v>
      </c>
      <c r="P24" s="114" t="s">
        <v>835</v>
      </c>
      <c r="Q24" s="114" t="s">
        <v>849</v>
      </c>
    </row>
    <row r="25" spans="1:17" ht="20" customHeight="1" x14ac:dyDescent="0.25">
      <c r="A25" s="5" t="str">
        <f>HYPERLINK("#'Input - Data quality'!A1", "Data quality")</f>
        <v>Data quality</v>
      </c>
      <c r="D25" s="25" t="str">
        <f>Table_FuelTypesPerUse[[#Headers],[Generators]]</f>
        <v>Generators</v>
      </c>
      <c r="E25" s="192" t="str">
        <f>'Constants - Fuel'!$D$58</f>
        <v>Automotive gasoline / petrol (other than for use as fuel in an aircraft)</v>
      </c>
      <c r="F25" s="192"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214" cm="1">
        <f t="array" ref="N25">Fuel_Equations.VEERG_8_2_1_1__1_FuelCombustionStationary($L25,$G25,H25)</f>
        <v>0</v>
      </c>
      <c r="O25" s="214" cm="1">
        <f t="array" ref="O25">Fuel_Equations.VEERG_8_2_1_1__1_FuelCombustionStationary($L25,$G25,I25)</f>
        <v>0</v>
      </c>
      <c r="P25" s="214" cm="1">
        <f t="array" ref="P25">Fuel_Equations.VEERG_8_2_1_1__1_FuelCombustionStationary($L25,$G25,J25)</f>
        <v>0</v>
      </c>
      <c r="Q25" s="214" cm="1">
        <f t="array" ref="Q25">Fuel_Equations.VEERG_8_2_1_1__1_FuelCombustionStationary($L25,$G25,IF(ISNUMBER(K25), K25, 0))</f>
        <v>0</v>
      </c>
    </row>
    <row r="26" spans="1:17" ht="20" customHeight="1" x14ac:dyDescent="0.25">
      <c r="D26" s="194" t="str">
        <f t="shared" ref="D26:D31" si="0">$D$25</f>
        <v>Generators</v>
      </c>
      <c r="E26" s="192" t="str">
        <f>'Constants - Fuel'!$D$63</f>
        <v>Diesel oil</v>
      </c>
      <c r="F26" s="192"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214" cm="1">
        <f t="array" ref="N26">Fuel_Equations.VEERG_8_2_1_1__1_FuelCombustionStationary($L26,$G26,H26)</f>
        <v>0</v>
      </c>
      <c r="O26" s="214" cm="1">
        <f t="array" ref="O26">Fuel_Equations.VEERG_8_2_1_1__1_FuelCombustionStationary($L26,$G26,I26)</f>
        <v>0</v>
      </c>
      <c r="P26" s="214" cm="1">
        <f t="array" ref="P26">Fuel_Equations.VEERG_8_2_1_1__1_FuelCombustionStationary($L26,$G26,J26)</f>
        <v>0</v>
      </c>
      <c r="Q26" s="214" cm="1">
        <f t="array" ref="Q26">Fuel_Equations.VEERG_8_2_1_1__1_FuelCombustionStationary($L26,$G26,IF(ISNUMBER(K26), K26, 0))</f>
        <v>0</v>
      </c>
    </row>
    <row r="27" spans="1:17" ht="20" customHeight="1" x14ac:dyDescent="0.25">
      <c r="D27" s="194" t="str">
        <f t="shared" si="0"/>
        <v>Generators</v>
      </c>
      <c r="E27" s="192" t="str">
        <f>'Constants - Fuel'!$D$67</f>
        <v>Liquefied petroleum gas (LPG)</v>
      </c>
      <c r="F27" s="192"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214" cm="1">
        <f t="array" ref="N27">Fuel_Equations.VEERG_8_2_1_1__1_FuelCombustionStationary($L27,$G27,H27)</f>
        <v>0</v>
      </c>
      <c r="O27" s="214" cm="1">
        <f t="array" ref="O27">Fuel_Equations.VEERG_8_2_1_1__1_FuelCombustionStationary($L27,$G27,I27)</f>
        <v>0</v>
      </c>
      <c r="P27" s="214" cm="1">
        <f t="array" ref="P27">Fuel_Equations.VEERG_8_2_1_1__1_FuelCombustionStationary($L27,$G27,J27)</f>
        <v>0</v>
      </c>
      <c r="Q27" s="214" cm="1">
        <f t="array" ref="Q27">Fuel_Equations.VEERG_8_2_1_1__1_FuelCombustionStationary($L27,$G27,IF(ISNUMBER(K27), K27, 0))</f>
        <v>0</v>
      </c>
    </row>
    <row r="28" spans="1:17" ht="20" customHeight="1" x14ac:dyDescent="0.25">
      <c r="A28" s="6" t="s">
        <v>2</v>
      </c>
      <c r="D28" s="194" t="str">
        <f t="shared" si="0"/>
        <v>Generators</v>
      </c>
      <c r="E28" s="192" t="str">
        <f>'Constants - Fuel'!$D$73</f>
        <v>Biodiesel</v>
      </c>
      <c r="F28" s="192"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214" cm="1">
        <f t="array" ref="N28">Fuel_Equations.VEERG_8_2_1_1__1_FuelCombustionStationary($L28,$G28,H28)</f>
        <v>0</v>
      </c>
      <c r="O28" s="214" cm="1">
        <f t="array" ref="O28">Fuel_Equations.VEERG_8_2_1_1__1_FuelCombustionStationary($L28,$G28,I28)</f>
        <v>0</v>
      </c>
      <c r="P28" s="214" cm="1">
        <f t="array" ref="P28">Fuel_Equations.VEERG_8_2_1_1__1_FuelCombustionStationary($L28,$G28,J28)</f>
        <v>0</v>
      </c>
      <c r="Q28" s="214" cm="1">
        <f t="array" ref="Q28">Fuel_Equations.VEERG_8_2_1_1__1_FuelCombustionStationary($L28,$G28,IF(ISNUMBER(K28), K28, 0))</f>
        <v>0</v>
      </c>
    </row>
    <row r="29" spans="1:17" ht="20" customHeight="1" x14ac:dyDescent="0.25">
      <c r="A29" s="5" t="str">
        <f>HYPERLINK("#'3.2.1.1-2 Enteric Methane'!A1", "3.2.1.1-2 Enteric Methane")</f>
        <v>3.2.1.1-2 Enteric Methane</v>
      </c>
      <c r="D29" s="194" t="str">
        <f t="shared" si="0"/>
        <v>Generators</v>
      </c>
      <c r="E29" s="192" t="str">
        <f>'Constants - Fuel'!$D$74</f>
        <v>Ethanol for use as a fuel in an internal combustion engine</v>
      </c>
      <c r="F29" s="192"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214" cm="1">
        <f t="array" ref="N29">Fuel_Equations.VEERG_8_2_1_1__1_FuelCombustionStationary($L29,$G29,H29)</f>
        <v>0</v>
      </c>
      <c r="O29" s="214" cm="1">
        <f t="array" ref="O29">Fuel_Equations.VEERG_8_2_1_1__1_FuelCombustionStationary($L29,$G29,I29)</f>
        <v>0</v>
      </c>
      <c r="P29" s="214" cm="1">
        <f t="array" ref="P29">Fuel_Equations.VEERG_8_2_1_1__1_FuelCombustionStationary($L29,$G29,J29)</f>
        <v>0</v>
      </c>
      <c r="Q29" s="214" cm="1">
        <f t="array" ref="Q29">Fuel_Equations.VEERG_8_2_1_1__1_FuelCombustionStationary($L29,$G29,IF(ISNUMBER(K29), K29, 0))</f>
        <v>0</v>
      </c>
    </row>
    <row r="30" spans="1:17" ht="20" customHeight="1" x14ac:dyDescent="0.25">
      <c r="A30" s="5" t="str">
        <f>HYPERLINK("#'4.2.1.1-2 Methane'!A1", "4.2.1.1-2 Manure methane")</f>
        <v>4.2.1.1-2 Manure methane</v>
      </c>
      <c r="D30" s="194" t="str">
        <f t="shared" si="0"/>
        <v>Generators</v>
      </c>
      <c r="E30" s="192" t="str">
        <f>'Constants - Fuel'!$D$75</f>
        <v>Biofuels other than those mentioned in the items above and below</v>
      </c>
      <c r="F30" s="192"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214" cm="1">
        <f t="array" ref="N30">Fuel_Equations.VEERG_8_2_1_1__1_FuelCombustionStationary($L30,$G30,H30)</f>
        <v>0</v>
      </c>
      <c r="O30" s="214" cm="1">
        <f t="array" ref="O30">Fuel_Equations.VEERG_8_2_1_1__1_FuelCombustionStationary($L30,$G30,I30)</f>
        <v>0</v>
      </c>
      <c r="P30" s="214" cm="1">
        <f t="array" ref="P30">Fuel_Equations.VEERG_8_2_1_1__1_FuelCombustionStationary($L30,$G30,J30)</f>
        <v>0</v>
      </c>
      <c r="Q30" s="214" cm="1">
        <f t="array" ref="Q30">Fuel_Equations.VEERG_8_2_1_1__1_FuelCombustionStationary($L30,$G30,IF(ISNUMBER(K30), K30, 0))</f>
        <v>0</v>
      </c>
    </row>
    <row r="31" spans="1:17" ht="20" customHeight="1" x14ac:dyDescent="0.25">
      <c r="A31" s="5" t="str">
        <f>HYPERLINK("#'4.2.1.3-4 Soil direct N20'!A1", "4.2.1.3-4 Soil direct N2O")</f>
        <v>4.2.1.3-4 Soil direct N2O</v>
      </c>
      <c r="D31" s="194" t="str">
        <f t="shared" si="0"/>
        <v>Generators</v>
      </c>
      <c r="E31" s="192" t="str">
        <f>'Constants - Fuel'!$D$77</f>
        <v>Renewable diesel</v>
      </c>
      <c r="F31" s="192" t="str">
        <f>'Constants - Fuel'!D137</f>
        <v>Renewable diesel</v>
      </c>
      <c r="G31" s="190">
        <f>IFERROR(_xlfn.XLOOKUP($E31, Table_Fuel_EFs_StationaryLiquid[Fuel combusted], Table_Fuel_EFs_StationaryLiquid[Energy Content Factor (GJ per unit of fuel)]),0)</f>
        <v>38.6</v>
      </c>
      <c r="H31" s="190">
        <f>IFERROR(_xlfn.XLOOKUP($E31, Table_Fuel_EFs_StationaryLiquid[Fuel combusted], Table_Fuel_EFs_StationaryLiquid[Scope 1 Emission Factor (kg CO2 - e / GJ) CO2]),0)</f>
        <v>0</v>
      </c>
      <c r="I31" s="190">
        <f>IFERROR(_xlfn.XLOOKUP($E31, Table_Fuel_EFs_StationaryLiquid[Fuel combusted], Table_Fuel_EFs_StationaryLiquid[Scope 1 Emission Factor (kg CO2 - e / GJ) CH4]),0)</f>
        <v>0.1</v>
      </c>
      <c r="J31" s="190">
        <f>IFERROR(_xlfn.XLOOKUP($E31, Table_Fuel_EFs_StationaryLiquid[Fuel combusted], Table_Fuel_EFs_StationaryLiquid[Scope 1 Emission Factor (kg CO2 - e / GJ) N2O]),0)</f>
        <v>0.2</v>
      </c>
      <c r="K31" s="190" t="str">
        <f>IFERROR(_xlfn.XLOOKUP($E31, Table_Fuel_EFs_StationaryLiquid[Fuel combusted], Table_Fuel_EFs_StationaryLiquid[Scope 3 Emission Factor (kg CO2 - e / GJ)]),0)</f>
        <v>NE</v>
      </c>
      <c r="L31" s="195" cm="1">
        <f t="array" ref="L31">Fuel_InputFunctions.Fuel_TotalConsumption(Table_Input_Fuel[Amount consumed], Table_Input_Fuel[Fuel use (select)], D31, Table_Input_Fuel[Fuel type (select)],F31)</f>
        <v>0</v>
      </c>
      <c r="M31" s="195" t="str" cm="1">
        <f t="array" ref="M31">Common_InputFunctions.Utility_LookupValueInTable(F31,Table_FuelTypes_Units[Fuel type],Table_FuelTypes_Units[Unit])</f>
        <v>kL</v>
      </c>
      <c r="N31" s="215" cm="1">
        <f t="array" ref="N31">Fuel_Equations.VEERG_8_2_1_1__1_FuelCombustionStationary($L31,$G31,H31)</f>
        <v>0</v>
      </c>
      <c r="O31" s="215" cm="1">
        <f t="array" ref="O31">Fuel_Equations.VEERG_8_2_1_1__1_FuelCombustionStationary($L31,$G31,I31)</f>
        <v>0</v>
      </c>
      <c r="P31" s="215" cm="1">
        <f t="array" ref="P31">Fuel_Equations.VEERG_8_2_1_1__1_FuelCombustionStationary($L31,$G31,J31)</f>
        <v>0</v>
      </c>
      <c r="Q31" s="215" cm="1">
        <f t="array" ref="Q31">Fuel_Equations.VEERG_8_2_1_1__1_FuelCombustionStationary($L31,$G31,IF(ISNUMBER(K31), K31, 0))</f>
        <v>0</v>
      </c>
    </row>
    <row r="32" spans="1:17" ht="20" customHeight="1" x14ac:dyDescent="0.25">
      <c r="A32" s="5" t="str">
        <f>HYPERLINK("#'4.2.1.5-6 Soil Atmos Dep'!A1", "4.2.1.5-6 Soil atm. deposition")</f>
        <v>4.2.1.5-6 Soil atm. deposition</v>
      </c>
      <c r="D32" s="197" t="str">
        <f>Table_FuelTypesPerUse[[#Headers],[Power standalone machinery or heating]]</f>
        <v>Power standalone machinery or heating</v>
      </c>
      <c r="E32" s="198" t="str">
        <f>'Constants - Fuel'!$D$58</f>
        <v>Automotive gasoline / petrol (other than for use as fuel in an aircraft)</v>
      </c>
      <c r="F32" s="198" t="str">
        <f>'Constants - Fuel'!E131</f>
        <v>Petrol</v>
      </c>
      <c r="G32" s="205">
        <f>IFERROR(_xlfn.XLOOKUP($E32, Table_Fuel_EFs_StationaryLiquid[Fuel combusted], Table_Fuel_EFs_StationaryLiquid[Energy Content Factor (GJ per unit of fuel)]),0)</f>
        <v>34.200000000000003</v>
      </c>
      <c r="H32" s="205">
        <f>IFERROR(_xlfn.XLOOKUP($E32, Table_Fuel_EFs_StationaryLiquid[Fuel combusted], Table_Fuel_EFs_StationaryLiquid[Scope 1 Emission Factor (kg CO2 - e / GJ) CO2]),0)</f>
        <v>67.400000000000006</v>
      </c>
      <c r="I32" s="205">
        <f>IFERROR(_xlfn.XLOOKUP($E32, Table_Fuel_EFs_StationaryLiquid[Fuel combusted], Table_Fuel_EFs_StationaryLiquid[Scope 1 Emission Factor (kg CO2 - e / GJ) CH4]),0)</f>
        <v>0.2</v>
      </c>
      <c r="J32" s="205">
        <f>IFERROR(_xlfn.XLOOKUP($E32, Table_Fuel_EFs_StationaryLiquid[Fuel combusted], Table_Fuel_EFs_StationaryLiquid[Scope 1 Emission Factor (kg CO2 - e / GJ) N2O]),0)</f>
        <v>0.2</v>
      </c>
      <c r="K32" s="205">
        <f>IFERROR(_xlfn.XLOOKUP($E32, Table_Fuel_EFs_StationaryLiquid[Fuel combusted], Table_Fuel_EFs_StationaryLiquid[Scope 3 Emission Factor (kg CO2 - e / GJ)]),0)</f>
        <v>17.2</v>
      </c>
      <c r="L32" s="201" cm="1">
        <f t="array" ref="L32">Fuel_InputFunctions.Fuel_TotalConsumption(Table_Input_Fuel[Amount consumed], Table_Input_Fuel[Fuel use (select)], D32, Table_Input_Fuel[Fuel type (select)],F32)</f>
        <v>0</v>
      </c>
      <c r="M32" s="202" t="str" cm="1">
        <f t="array" ref="M32">Common_InputFunctions.Utility_LookupValueInTable(F32,Table_FuelTypes_Units[Fuel type],Table_FuelTypes_Units[Unit])</f>
        <v>kL</v>
      </c>
      <c r="N32" s="216" cm="1">
        <f t="array" ref="N32">Fuel_Equations.VEERG_8_2_1_1__1_FuelCombustionStationary($L32,$G32,H32)</f>
        <v>0</v>
      </c>
      <c r="O32" s="216" cm="1">
        <f t="array" ref="O32">Fuel_Equations.VEERG_8_2_1_1__1_FuelCombustionStationary($L32,$G32,I32)</f>
        <v>0</v>
      </c>
      <c r="P32" s="216" cm="1">
        <f t="array" ref="P32">Fuel_Equations.VEERG_8_2_1_1__1_FuelCombustionStationary($L32,$G32,J32)</f>
        <v>0</v>
      </c>
      <c r="Q32" s="216" cm="1">
        <f t="array" ref="Q32">Fuel_Equations.VEERG_8_2_1_1__1_FuelCombustionStationary($L32,$G32,IF(ISNUMBER(K32), K32, 0))</f>
        <v>0</v>
      </c>
    </row>
    <row r="33" spans="1:17" ht="20" customHeight="1" x14ac:dyDescent="0.25">
      <c r="A33" s="5" t="str">
        <f>HYPERLINK("#'4.2.1.7-8 Soil leach runoff'!A1", "4.2.1.7-8 Soil leach &amp; runoff")</f>
        <v>4.2.1.7-8 Soil leach &amp; runoff</v>
      </c>
      <c r="D33" s="194" t="str">
        <f t="shared" ref="D33:D40" si="1">$D$32</f>
        <v>Power standalone machinery or heating</v>
      </c>
      <c r="E33" s="192" t="str">
        <f>'Constants - Fuel'!$D$63</f>
        <v>Diesel oil</v>
      </c>
      <c r="F33" s="192"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14" cm="1">
        <f t="array" ref="N33">Fuel_Equations.VEERG_8_2_1_1__1_FuelCombustionStationary($L33,$G33,H33)</f>
        <v>0</v>
      </c>
      <c r="O33" s="214" cm="1">
        <f t="array" ref="O33">Fuel_Equations.VEERG_8_2_1_1__1_FuelCombustionStationary($L33,$G33,I33)</f>
        <v>0</v>
      </c>
      <c r="P33" s="214" cm="1">
        <f t="array" ref="P33">Fuel_Equations.VEERG_8_2_1_1__1_FuelCombustionStationary($L33,$G33,J33)</f>
        <v>0</v>
      </c>
      <c r="Q33" s="214" cm="1">
        <f t="array" ref="Q33">Fuel_Equations.VEERG_8_2_1_1__1_FuelCombustionStationary($L33,$G33,IF(ISNUMBER(K33), K33, 0))</f>
        <v>0</v>
      </c>
    </row>
    <row r="34" spans="1:17" ht="20" customHeight="1" x14ac:dyDescent="0.25">
      <c r="A34" s="5" t="str">
        <f>HYPERLINK("#'5.1.1.1-2 Inorganic fert N2O'!A1", "5.1.1.1-2 Inorganic fert N2O")</f>
        <v>5.1.1.1-2 Inorganic fert N2O</v>
      </c>
      <c r="D34" s="194" t="str">
        <f t="shared" si="1"/>
        <v>Power standalone machinery or heating</v>
      </c>
      <c r="E34" s="192" t="str">
        <f>'Constants - Fuel'!$D$67</f>
        <v>Liquefied petroleum gas (LPG)</v>
      </c>
      <c r="F34" s="192"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14" cm="1">
        <f t="array" ref="N34">Fuel_Equations.VEERG_8_2_1_1__1_FuelCombustionStationary($L34,$G34,H34)</f>
        <v>0</v>
      </c>
      <c r="O34" s="214" cm="1">
        <f t="array" ref="O34">Fuel_Equations.VEERG_8_2_1_1__1_FuelCombustionStationary($L34,$G34,I34)</f>
        <v>0</v>
      </c>
      <c r="P34" s="214" cm="1">
        <f t="array" ref="P34">Fuel_Equations.VEERG_8_2_1_1__1_FuelCombustionStationary($L34,$G34,J34)</f>
        <v>0</v>
      </c>
      <c r="Q34" s="214" cm="1">
        <f t="array" ref="Q34">Fuel_Equations.VEERG_8_2_1_1__1_FuelCombustionStationary($L34,$G34,IF(ISNUMBER(K34), K34, 0))</f>
        <v>0</v>
      </c>
    </row>
    <row r="35" spans="1:17" ht="20" customHeight="1" x14ac:dyDescent="0.25">
      <c r="A35" s="5" t="str">
        <f>HYPERLINK("#'5.1.1.3-4 Inorganic fert CO2'!A1", "5.1.1.3-4 Inorganic fert CO2")</f>
        <v>5.1.1.3-4 Inorganic fert CO2</v>
      </c>
      <c r="D35" s="194" t="str">
        <f t="shared" si="1"/>
        <v>Power standalone machinery or heating</v>
      </c>
      <c r="E35" s="192" t="str">
        <f>'Constants - Fuel'!$D$73</f>
        <v>Biodiesel</v>
      </c>
      <c r="F35" s="192"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14" cm="1">
        <f t="array" ref="N35">Fuel_Equations.VEERG_8_2_1_1__1_FuelCombustionStationary($L35,$G35,H35)</f>
        <v>0</v>
      </c>
      <c r="O35" s="214" cm="1">
        <f t="array" ref="O35">Fuel_Equations.VEERG_8_2_1_1__1_FuelCombustionStationary($L35,$G35,I35)</f>
        <v>0</v>
      </c>
      <c r="P35" s="214" cm="1">
        <f t="array" ref="P35">Fuel_Equations.VEERG_8_2_1_1__1_FuelCombustionStationary($L35,$G35,J35)</f>
        <v>0</v>
      </c>
      <c r="Q35" s="214" cm="1">
        <f t="array" ref="Q35">Fuel_Equations.VEERG_8_2_1_1__1_FuelCombustionStationary($L35,$G35,IF(ISNUMBER(K35), K35, 0))</f>
        <v>0</v>
      </c>
    </row>
    <row r="36" spans="1:17" ht="20" customHeight="1" x14ac:dyDescent="0.25">
      <c r="A36" s="5" t="str">
        <f>HYPERLINK("#'5.2.1.1-2 Organic Fert N2O'!A1", "5.2.1.1-2 Organic fert N2O")</f>
        <v>5.2.1.1-2 Organic fert N2O</v>
      </c>
      <c r="D36" s="194" t="str">
        <f t="shared" si="1"/>
        <v>Power standalone machinery or heating</v>
      </c>
      <c r="E36" s="192" t="str">
        <f>'Constants - Fuel'!$D$74</f>
        <v>Ethanol for use as a fuel in an internal combustion engine</v>
      </c>
      <c r="F36" s="192"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14" cm="1">
        <f t="array" ref="N36">Fuel_Equations.VEERG_8_2_1_1__1_FuelCombustionStationary($L36,$G36,H36)</f>
        <v>0</v>
      </c>
      <c r="O36" s="214" cm="1">
        <f t="array" ref="O36">Fuel_Equations.VEERG_8_2_1_1__1_FuelCombustionStationary($L36,$G36,I36)</f>
        <v>0</v>
      </c>
      <c r="P36" s="214" cm="1">
        <f t="array" ref="P36">Fuel_Equations.VEERG_8_2_1_1__1_FuelCombustionStationary($L36,$G36,J36)</f>
        <v>0</v>
      </c>
      <c r="Q36" s="214" cm="1">
        <f t="array" ref="Q36">Fuel_Equations.VEERG_8_2_1_1__1_FuelCombustionStationary($L36,$G36,IF(ISNUMBER(K36), K36, 0))</f>
        <v>0</v>
      </c>
    </row>
    <row r="37" spans="1:17" ht="20" customHeight="1" x14ac:dyDescent="0.25">
      <c r="A37" s="5" t="str">
        <f>HYPERLINK("#'5.3.1.1-2 Lime CO2'!A1", "5.3.1.1-2 Lime CO2")</f>
        <v>5.3.1.1-2 Lime CO2</v>
      </c>
      <c r="D37" s="194" t="str">
        <f t="shared" si="1"/>
        <v>Power standalone machinery or heating</v>
      </c>
      <c r="E37" s="192" t="str">
        <f>'Constants - Fuel'!$D$75</f>
        <v>Biofuels other than those mentioned in the items above and below</v>
      </c>
      <c r="F37" s="192"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14" cm="1">
        <f t="array" ref="N37">Fuel_Equations.VEERG_8_2_1_1__1_FuelCombustionStationary($L37,$G37,H37)</f>
        <v>0</v>
      </c>
      <c r="O37" s="214" cm="1">
        <f t="array" ref="O37">Fuel_Equations.VEERG_8_2_1_1__1_FuelCombustionStationary($L37,$G37,I37)</f>
        <v>0</v>
      </c>
      <c r="P37" s="214" cm="1">
        <f t="array" ref="P37">Fuel_Equations.VEERG_8_2_1_1__1_FuelCombustionStationary($L37,$G37,J37)</f>
        <v>0</v>
      </c>
      <c r="Q37" s="214" cm="1">
        <f t="array" ref="Q37">Fuel_Equations.VEERG_8_2_1_1__1_FuelCombustionStationary($L37,$G37,IF(ISNUMBER(K37), K37, 0))</f>
        <v>0</v>
      </c>
    </row>
    <row r="38" spans="1:17" ht="20" customHeight="1" x14ac:dyDescent="0.25">
      <c r="A38" s="5" t="str">
        <f>HYPERLINK("#'5.4.1.1-4 Atmos deposition'!A1", "5.4.1.1-4 Atmos. deposition")</f>
        <v>5.4.1.1-4 Atmos. deposition</v>
      </c>
      <c r="D38" s="194" t="str">
        <f t="shared" si="1"/>
        <v>Power standalone machinery or heating</v>
      </c>
      <c r="E38" s="192" t="str">
        <f>'Constants - Fuel'!$D$77</f>
        <v>Renewable diesel</v>
      </c>
      <c r="F38" s="192"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14" cm="1">
        <f t="array" ref="N38">Fuel_Equations.VEERG_8_2_1_1__1_FuelCombustionStationary($L38,$G38,H38)</f>
        <v>0</v>
      </c>
      <c r="O38" s="214" cm="1">
        <f t="array" ref="O38">Fuel_Equations.VEERG_8_2_1_1__1_FuelCombustionStationary($L38,$G38,I38)</f>
        <v>0</v>
      </c>
      <c r="P38" s="214" cm="1">
        <f t="array" ref="P38">Fuel_Equations.VEERG_8_2_1_1__1_FuelCombustionStationary($L38,$G38,J38)</f>
        <v>0</v>
      </c>
      <c r="Q38" s="214" cm="1">
        <f t="array" ref="Q38">Fuel_Equations.VEERG_8_2_1_1__1_FuelCombustionStationary($L38,$G38,IF(ISNUMBER(K38), K38, 0))</f>
        <v>0</v>
      </c>
    </row>
    <row r="39" spans="1:17" ht="20" customHeight="1" x14ac:dyDescent="0.25">
      <c r="A39" s="5" t="str">
        <f>HYPERLINK("#'5.5.1.1-2 Leaching and runoff'!A1", "5.5.1.1-2 Leaching &amp; runoff")</f>
        <v>5.5.1.1-2 Leaching &amp; runoff</v>
      </c>
      <c r="D39" s="194" t="str">
        <f t="shared" si="1"/>
        <v>Power standalone machinery or heating</v>
      </c>
      <c r="E39" s="192" t="str">
        <f>'Constants - Fuel'!$D$103</f>
        <v>Natural gas distributed in a pipeline - Gigajoules</v>
      </c>
      <c r="F39" s="192"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t="str" cm="1">
        <f t="array" ref="K39">IFERROR(Common_InputFunctions.Utility_LookupValueInTableOneColumnAndHeader($P$17,$P$18,Table_Fuel_EFs_StationaryGaseous34[State or territory],Table_Fuel_EFs_StationaryGaseous34[#Headers],Table_Fuel_EFs_StationaryGaseous34[#Data]),0)</f>
        <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GJ</v>
      </c>
      <c r="N39" s="214" cm="1">
        <f t="array" ref="N39">Fuel_Equations.VEERG_8_2_1_1__1_FuelCombustionStationary($L39,$G39,H39)</f>
        <v>0</v>
      </c>
      <c r="O39" s="214" cm="1">
        <f t="array" ref="O39">Fuel_Equations.VEERG_8_2_1_1__1_FuelCombustionStationary($L39,$G39,I39)</f>
        <v>0</v>
      </c>
      <c r="P39" s="214" cm="1">
        <f t="array" ref="P39">Fuel_Equations.VEERG_8_2_1_1__1_FuelCombustionStationary($L39,$G39,J39)</f>
        <v>0</v>
      </c>
      <c r="Q39" s="214" cm="1">
        <f t="array" ref="Q39">Fuel_Equations.VEERG_8_2_1_1__1_FuelCombustionStationary($L39,$G39,IF(ISNUMBER(K39), K39, 0))</f>
        <v>0</v>
      </c>
    </row>
    <row r="40" spans="1:17" ht="20" customHeight="1" x14ac:dyDescent="0.25">
      <c r="A40" s="5" t="str">
        <f>HYPERLINK("#'6.2.1.1-2 Pasture residue N2O'!A1", "6.2.1.1-2 Pasture residue N2O")</f>
        <v>6.2.1.1-2 Pasture residue N2O</v>
      </c>
      <c r="D40" s="194" t="str">
        <f t="shared" si="1"/>
        <v>Power standalone machinery or heating</v>
      </c>
      <c r="E40" s="192" t="str">
        <f>'Constants - Fuel'!$D$104</f>
        <v>Town gas - Gigajoules</v>
      </c>
      <c r="F40" s="192"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t="str" cm="1">
        <f t="array" ref="K40">IFERROR(Common_InputFunctions.Utility_LookupValueInTableOneColumnAndHeader($P$17,$P$18,Table_Fuel_EFs_StationaryGaseous34[State or territory],Table_Fuel_EFs_StationaryGaseous34[#Headers],Table_Fuel_EFs_StationaryGaseous34[#Data]),0)</f>
        <v/>
      </c>
      <c r="L40" s="172" cm="1">
        <f t="array" ref="L40">Fuel_InputFunctions.Fuel_TotalConsumption(Table_Input_Fuel[Amount consumed], Table_Input_Fuel[Fuel use (select)], D40, Table_Input_Fuel[Fuel type (select)],F40)</f>
        <v>0</v>
      </c>
      <c r="M40" s="172" t="str" cm="1">
        <f t="array" ref="M40">Common_InputFunctions.Utility_LookupValueInTable(F40,Table_FuelTypes_Units[Fuel type],Table_FuelTypes_Units[Unit])</f>
        <v>GJ</v>
      </c>
      <c r="N40" s="214" cm="1">
        <f t="array" ref="N40">Fuel_Equations.VEERG_8_2_1_1__1_FuelCombustionStationary($L40,$G40,H40)</f>
        <v>0</v>
      </c>
      <c r="O40" s="214" cm="1">
        <f t="array" ref="O40">Fuel_Equations.VEERG_8_2_1_1__1_FuelCombustionStationary($L40,$G40,I40)</f>
        <v>0</v>
      </c>
      <c r="P40" s="214" cm="1">
        <f t="array" ref="P40">Fuel_Equations.VEERG_8_2_1_1__1_FuelCombustionStationary($L40,$G40,J40)</f>
        <v>0</v>
      </c>
      <c r="Q40" s="214" cm="1">
        <f t="array" ref="Q40">Fuel_Equations.VEERG_8_2_1_1__1_FuelCombustionStationary($L40,$G40,IF(ISNUMBER(K40), K40, 0))</f>
        <v>0</v>
      </c>
    </row>
    <row r="41" spans="1:17" ht="20" customHeight="1" x14ac:dyDescent="0.25">
      <c r="A41" s="5" t="str">
        <f>HYPERLINK("#'6.3.1.1-2 Leach runoff pasture'!A1", "6.3.1.1-2 Leach &amp; runoff (pasture)")</f>
        <v>6.3.1.1-2 Leach &amp; runoff (pasture)</v>
      </c>
    </row>
    <row r="42" spans="1:17" ht="20" customHeight="1" x14ac:dyDescent="0.25">
      <c r="A42" s="5" t="str">
        <f>HYPERLINK("#'8.1.1.1-2 Transport fuel'!A1", "8.1.1.1-2 Transport fuel")</f>
        <v>8.1.1.1-2 Transport fuel</v>
      </c>
      <c r="D42" s="207" t="str">
        <f>"Total scope 1 - " &amp; D25</f>
        <v>Total scope 1 - Generators</v>
      </c>
      <c r="E42" s="208"/>
      <c r="F42" s="209"/>
    </row>
    <row r="43" spans="1:17" ht="20" customHeight="1" x14ac:dyDescent="0.25">
      <c r="A43" s="104" t="str">
        <f>HYPERLINK("#'8.2.1.1-2 Stationary fuel'!A1", "8.2.1.1-2 Stationary fuel")</f>
        <v>8.2.1.1-2 Stationary fuel</v>
      </c>
      <c r="D43" s="25" t="s">
        <v>837</v>
      </c>
      <c r="E43" s="210">
        <f>SUM(N25:N31)+N("Partial sum")</f>
        <v>0</v>
      </c>
      <c r="F43" s="16" t="str">
        <f>$E$12</f>
        <v>t CO2-e</v>
      </c>
    </row>
    <row r="44" spans="1:17" ht="20" customHeight="1" x14ac:dyDescent="0.25">
      <c r="A44" s="5" t="str">
        <f>HYPERLINK("#'10.1.1-2 Solid waste treatment'!A1", "10.1.1.1-2 Solid waste")</f>
        <v>10.1.1.1-2 Solid waste</v>
      </c>
      <c r="D44" s="25" t="s">
        <v>838</v>
      </c>
      <c r="E44" s="210">
        <f>SUM(O25:O31)+N("Partial sum")</f>
        <v>0</v>
      </c>
      <c r="F44" s="16" t="str">
        <f t="shared" ref="F44:F46" si="2">$E$12</f>
        <v>t CO2-e</v>
      </c>
    </row>
    <row r="45" spans="1:17" ht="20" customHeight="1" x14ac:dyDescent="0.25">
      <c r="A45" s="5" t="str">
        <f>HYPERLINK("#'14.1.1-2 Purchased electricity'!A1", "14.1.1-2 Purchased electricity")</f>
        <v>14.1.1-2 Purchased electricity</v>
      </c>
      <c r="D45" s="25" t="s">
        <v>839</v>
      </c>
      <c r="E45" s="210">
        <f>SUM(P25:P31)+N("Partial sum")</f>
        <v>0</v>
      </c>
      <c r="F45" s="16" t="str">
        <f t="shared" si="2"/>
        <v>t CO2-e</v>
      </c>
    </row>
    <row r="46" spans="1:17" ht="20" customHeight="1" x14ac:dyDescent="0.25">
      <c r="A46" s="5" t="str">
        <f>HYPERLINK("#'15 Scope 3'!A1", "15 Scope 3")</f>
        <v>15 Scope 3</v>
      </c>
      <c r="D46" s="25" t="s">
        <v>298</v>
      </c>
      <c r="E46" s="210">
        <f>SUM(Q25:Q31)+N("Partial sum")</f>
        <v>0</v>
      </c>
      <c r="F46" s="16" t="str">
        <f t="shared" si="2"/>
        <v>t CO2-e</v>
      </c>
    </row>
    <row r="47" spans="1:17" ht="20" customHeight="1" x14ac:dyDescent="0.25">
      <c r="A47" s="5" t="str">
        <f>HYPERLINK("#'Calcs - Manure sent off-site'!A1", "Calcs - Manure sent off-site")</f>
        <v>Calcs - Manure sent off-site</v>
      </c>
      <c r="H47" s="168"/>
      <c r="I47" s="168"/>
      <c r="J47" s="168"/>
      <c r="L47" s="168"/>
      <c r="N47" s="168"/>
      <c r="O47" s="168"/>
      <c r="P47" s="168"/>
      <c r="Q47" s="168"/>
    </row>
    <row r="48" spans="1:17" ht="20" customHeight="1" x14ac:dyDescent="0.25">
      <c r="D48" s="207" t="str">
        <f>"Total scope 1 - " &amp; D32</f>
        <v>Total scope 1 - Power standalone machinery or heating</v>
      </c>
      <c r="E48" s="211"/>
      <c r="F48" s="209"/>
      <c r="H48" s="168"/>
      <c r="I48" s="168"/>
      <c r="J48" s="168"/>
      <c r="L48" s="168"/>
      <c r="N48" s="168"/>
      <c r="O48" s="168"/>
      <c r="P48" s="168"/>
      <c r="Q48" s="168"/>
    </row>
    <row r="49" spans="1:17" ht="20" customHeight="1" x14ac:dyDescent="0.25">
      <c r="D49" s="25" t="s">
        <v>837</v>
      </c>
      <c r="E49" s="210">
        <f>SUM(N32:N40)+N("Partial sum")</f>
        <v>0</v>
      </c>
      <c r="F49" s="16" t="str">
        <f t="shared" ref="F49:F52" si="3">$E$12</f>
        <v>t CO2-e</v>
      </c>
      <c r="H49" s="168"/>
      <c r="I49" s="168"/>
      <c r="J49" s="168"/>
      <c r="L49" s="168"/>
      <c r="N49" s="168"/>
      <c r="O49" s="168"/>
      <c r="P49" s="168"/>
      <c r="Q49" s="168"/>
    </row>
    <row r="50" spans="1:17" ht="20" customHeight="1" x14ac:dyDescent="0.25">
      <c r="A50" s="85" t="s">
        <v>1</v>
      </c>
      <c r="D50" s="25" t="s">
        <v>838</v>
      </c>
      <c r="E50" s="210">
        <f>SUM(O32:O40)+N("Partial sum")</f>
        <v>0</v>
      </c>
      <c r="F50" s="16" t="str">
        <f t="shared" si="3"/>
        <v>t CO2-e</v>
      </c>
      <c r="H50" s="168"/>
      <c r="I50" s="168"/>
      <c r="J50" s="168"/>
      <c r="L50" s="168"/>
      <c r="N50" s="168"/>
      <c r="O50" s="168"/>
      <c r="P50" s="168"/>
      <c r="Q50" s="168"/>
    </row>
    <row r="51" spans="1:17" ht="20" customHeight="1" x14ac:dyDescent="0.25">
      <c r="A51" s="5" t="str">
        <f>HYPERLINK("#'Constants - Pasture Beef'!A1", "Constants - Pasture Beef")</f>
        <v>Constants - Pasture Beef</v>
      </c>
      <c r="D51" s="25" t="s">
        <v>839</v>
      </c>
      <c r="E51" s="210">
        <f>SUM(P32:P40)+N("Partial sum")</f>
        <v>0</v>
      </c>
      <c r="F51" s="16" t="str">
        <f t="shared" si="3"/>
        <v>t CO2-e</v>
      </c>
      <c r="H51" s="168"/>
      <c r="I51" s="168"/>
      <c r="J51" s="168"/>
      <c r="L51" s="168"/>
      <c r="N51" s="168"/>
      <c r="O51" s="168"/>
      <c r="P51" s="168"/>
      <c r="Q51" s="168"/>
    </row>
    <row r="52" spans="1:17" ht="20" customHeight="1" x14ac:dyDescent="0.25">
      <c r="A52" s="5" t="str">
        <f>HYPERLINK("#'Constants - Ag Residue'!A1", "Constants - Ag residue")</f>
        <v>Constants - Ag residue</v>
      </c>
      <c r="D52" s="25" t="s">
        <v>298</v>
      </c>
      <c r="E52" s="210">
        <f>SUM(Q32:Q40)+N("Partial sum")</f>
        <v>0</v>
      </c>
      <c r="F52" s="16" t="str">
        <f t="shared" si="3"/>
        <v>t CO2-e</v>
      </c>
      <c r="G52" s="168"/>
      <c r="H52" s="168"/>
      <c r="I52" s="168"/>
      <c r="J52" s="168"/>
      <c r="L52" s="168"/>
      <c r="N52" s="168"/>
      <c r="O52" s="168"/>
      <c r="P52" s="168"/>
      <c r="Q52" s="168"/>
    </row>
    <row r="53" spans="1:17" ht="20" customHeight="1" x14ac:dyDescent="0.25">
      <c r="A53" s="5" t="str">
        <f>HYPERLINK("#'Constants - Common Livestock'!A1", "Constants - Common Livestock")</f>
        <v>Constants - Common Livestock</v>
      </c>
      <c r="G53" s="168"/>
      <c r="H53" s="168"/>
      <c r="I53" s="168"/>
      <c r="J53" s="168"/>
      <c r="L53" s="168"/>
      <c r="N53" s="168"/>
      <c r="O53" s="168"/>
      <c r="P53" s="168"/>
      <c r="Q53" s="168"/>
    </row>
    <row r="54" spans="1:17" ht="20" customHeight="1" x14ac:dyDescent="0.25">
      <c r="A54" s="5" t="str">
        <f>HYPERLINK("#'Constants - Electricity'!A1", "Constants - Electricity")</f>
        <v>Constants - Electricity</v>
      </c>
      <c r="D54" s="207" t="s">
        <v>850</v>
      </c>
      <c r="E54" s="211"/>
      <c r="F54" s="209"/>
      <c r="G54" s="168"/>
      <c r="H54" s="168"/>
      <c r="I54" s="168"/>
      <c r="J54" s="168"/>
      <c r="L54" s="168"/>
      <c r="N54" s="168"/>
      <c r="O54" s="168"/>
      <c r="P54" s="168"/>
      <c r="Q54" s="168"/>
    </row>
    <row r="55" spans="1:17" ht="20" customHeight="1" x14ac:dyDescent="0.25">
      <c r="A55" s="5" t="str">
        <f>HYPERLINK("#'Constants - Fertiliser'!A1", "Constants - Fertiliser")</f>
        <v>Constants - Fertiliser</v>
      </c>
      <c r="D55" s="25" t="s">
        <v>837</v>
      </c>
      <c r="E55" s="210">
        <f>E43+E49</f>
        <v>0</v>
      </c>
      <c r="F55" s="16" t="str">
        <f t="shared" ref="F55:F58" si="4">$E$12</f>
        <v>t CO2-e</v>
      </c>
      <c r="G55" s="168"/>
      <c r="H55" s="168"/>
      <c r="I55" s="168"/>
      <c r="J55" s="168"/>
      <c r="L55" s="168"/>
      <c r="N55" s="168"/>
      <c r="O55" s="168"/>
      <c r="P55" s="168"/>
      <c r="Q55" s="168"/>
    </row>
    <row r="56" spans="1:17" ht="20" customHeight="1" x14ac:dyDescent="0.25">
      <c r="A56" s="5" t="str">
        <f>HYPERLINK("#'Constants - Fuel'!A1", "Constants - Fuel")</f>
        <v>Constants - Fuel</v>
      </c>
      <c r="D56" s="25" t="s">
        <v>838</v>
      </c>
      <c r="E56" s="210">
        <f>E44+E50</f>
        <v>0</v>
      </c>
      <c r="F56" s="16" t="str">
        <f t="shared" si="4"/>
        <v>t CO2-e</v>
      </c>
      <c r="H56" s="168"/>
    </row>
    <row r="57" spans="1:17" ht="20" customHeight="1" x14ac:dyDescent="0.25">
      <c r="A57" s="5" t="str">
        <f>HYPERLINK("#'Constants - Scope 3'!A1", "Constants - Scope 3")</f>
        <v>Constants - Scope 3</v>
      </c>
      <c r="D57" s="25" t="s">
        <v>839</v>
      </c>
      <c r="E57" s="210">
        <f>E45+E51</f>
        <v>0</v>
      </c>
      <c r="F57" s="16" t="str">
        <f t="shared" si="4"/>
        <v>t CO2-e</v>
      </c>
      <c r="G57" s="168"/>
      <c r="H57" s="168"/>
      <c r="I57" s="168"/>
      <c r="J57" s="168"/>
      <c r="L57" s="168"/>
      <c r="N57" s="168"/>
      <c r="O57" s="168"/>
      <c r="P57" s="168"/>
      <c r="Q57" s="168"/>
    </row>
    <row r="58" spans="1:17" ht="20" customHeight="1" x14ac:dyDescent="0.25">
      <c r="A58" s="5" t="str">
        <f>HYPERLINK("#'Constants - Solid Waste'!A1", "Constants - Solid Waste")</f>
        <v>Constants - Solid Waste</v>
      </c>
      <c r="D58" s="25" t="s">
        <v>298</v>
      </c>
      <c r="E58" s="210">
        <f>E46+E52</f>
        <v>0</v>
      </c>
      <c r="F58" s="16" t="str">
        <f t="shared" si="4"/>
        <v>t CO2-e</v>
      </c>
      <c r="G58" s="168"/>
      <c r="H58" s="168"/>
      <c r="I58" s="168"/>
      <c r="J58" s="168"/>
      <c r="L58" s="168"/>
      <c r="N58" s="168"/>
      <c r="O58" s="168"/>
      <c r="P58" s="168"/>
      <c r="Q58" s="168"/>
    </row>
    <row r="59" spans="1:17" ht="20" customHeight="1" x14ac:dyDescent="0.25">
      <c r="A59" s="5" t="str">
        <f>HYPERLINK("#'Constants - Common'!A1", "Constants - Common")</f>
        <v>Constants - Common</v>
      </c>
      <c r="G59" s="168"/>
      <c r="H59" s="168"/>
      <c r="I59" s="168"/>
      <c r="J59" s="168"/>
      <c r="L59" s="168"/>
      <c r="N59" s="168"/>
      <c r="O59" s="168"/>
      <c r="P59" s="168"/>
      <c r="Q59" s="168"/>
    </row>
    <row r="60" spans="1:17" ht="20" customHeight="1" x14ac:dyDescent="0.25">
      <c r="A60" s="5" t="str">
        <f>HYPERLINK("#'Acknowledgements'!A1", "Acknowledgements")</f>
        <v>Acknowledgements</v>
      </c>
      <c r="G60" s="168"/>
      <c r="H60" s="168"/>
      <c r="I60" s="168"/>
      <c r="J60" s="168"/>
      <c r="L60" s="168"/>
      <c r="N60" s="168"/>
      <c r="O60" s="168"/>
      <c r="P60" s="168"/>
      <c r="Q60" s="168"/>
    </row>
    <row r="61" spans="1:17" ht="20" customHeight="1" x14ac:dyDescent="0.25">
      <c r="G61" s="168"/>
      <c r="H61" s="168"/>
      <c r="I61" s="168"/>
      <c r="J61" s="168"/>
      <c r="L61" s="168"/>
      <c r="N61" s="168"/>
      <c r="O61" s="168"/>
      <c r="P61" s="168"/>
      <c r="Q61" s="168"/>
    </row>
    <row r="62" spans="1:17" ht="20" customHeight="1" x14ac:dyDescent="0.25">
      <c r="G62" s="168"/>
      <c r="H62" s="168"/>
      <c r="I62" s="168"/>
      <c r="J62" s="168"/>
      <c r="L62" s="168"/>
      <c r="N62" s="168"/>
      <c r="O62" s="168"/>
      <c r="P62" s="168"/>
      <c r="Q62" s="168"/>
    </row>
    <row r="63" spans="1:17" ht="20" customHeight="1" x14ac:dyDescent="0.25">
      <c r="G63" s="168"/>
      <c r="H63" s="168"/>
      <c r="I63" s="168"/>
      <c r="J63" s="168"/>
      <c r="L63" s="168"/>
      <c r="N63" s="168"/>
      <c r="O63" s="168"/>
      <c r="P63" s="168"/>
      <c r="Q63" s="168"/>
    </row>
    <row r="64" spans="1:17" ht="20" customHeight="1" x14ac:dyDescent="0.25">
      <c r="G64" s="168"/>
      <c r="H64" s="168"/>
      <c r="I64" s="168"/>
      <c r="J64" s="168"/>
      <c r="L64" s="168"/>
      <c r="N64" s="168"/>
      <c r="O64" s="168"/>
      <c r="P64" s="168"/>
      <c r="Q64" s="168"/>
    </row>
    <row r="65" spans="7:17" ht="20" customHeight="1" x14ac:dyDescent="0.25">
      <c r="G65" s="168"/>
      <c r="H65" s="168"/>
      <c r="I65" s="168"/>
      <c r="J65" s="168"/>
      <c r="L65" s="168"/>
      <c r="N65" s="168"/>
      <c r="O65" s="168"/>
      <c r="P65" s="168"/>
      <c r="Q65" s="168"/>
    </row>
    <row r="66" spans="7:17" ht="20" customHeight="1" x14ac:dyDescent="0.25">
      <c r="G66" s="168"/>
      <c r="H66" s="168"/>
      <c r="I66" s="168"/>
      <c r="J66" s="168"/>
      <c r="L66" s="168"/>
      <c r="N66" s="168"/>
      <c r="O66" s="168"/>
      <c r="P66" s="168"/>
      <c r="Q66" s="168"/>
    </row>
    <row r="67" spans="7:17" ht="20" customHeight="1" x14ac:dyDescent="0.25">
      <c r="G67" s="168"/>
    </row>
    <row r="68" spans="7:17" ht="20" customHeight="1" x14ac:dyDescent="0.25">
      <c r="G68" s="168"/>
    </row>
    <row r="69" spans="7:17" ht="20" customHeight="1" x14ac:dyDescent="0.25">
      <c r="G69" s="168"/>
    </row>
    <row r="70" spans="7:17" ht="20" customHeight="1" x14ac:dyDescent="0.25">
      <c r="G70" s="168"/>
    </row>
    <row r="71" spans="7:17" ht="20" customHeight="1" x14ac:dyDescent="0.25">
      <c r="G71" s="168"/>
    </row>
    <row r="72" spans="7:17" ht="20" customHeight="1" x14ac:dyDescent="0.25"/>
    <row r="73" spans="7:17" ht="20" customHeight="1" x14ac:dyDescent="0.25"/>
    <row r="74" spans="7:17" ht="20" customHeight="1" x14ac:dyDescent="0.25"/>
    <row r="75" spans="7:17" ht="20" customHeight="1" x14ac:dyDescent="0.25"/>
    <row r="76" spans="7:17" ht="20" customHeight="1" x14ac:dyDescent="0.25"/>
    <row r="77" spans="7:17" ht="20" customHeight="1" x14ac:dyDescent="0.25"/>
    <row r="78" spans="7:17" ht="20" customHeight="1" x14ac:dyDescent="0.25"/>
    <row r="79" spans="7:17" ht="20" customHeight="1" x14ac:dyDescent="0.25"/>
    <row r="80" spans="7:17"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504E8-0A13-4C1D-A164-ED7765D3C474}">
  <sheetPr>
    <tabColor rgb="FF008000"/>
  </sheetPr>
  <dimension ref="A1:L342"/>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1" customFormat="1" ht="30" customHeight="1" x14ac:dyDescent="0.35">
      <c r="A1" s="10" t="e" vm="1">
        <v>#VALUE!</v>
      </c>
      <c r="C1" s="21" t="s">
        <v>901</v>
      </c>
    </row>
    <row r="2" spans="1:12" s="3" customFormat="1" ht="20" customHeight="1" x14ac:dyDescent="0.25">
      <c r="A2"/>
    </row>
    <row r="3" spans="1:12" ht="20" customHeight="1" x14ac:dyDescent="0.25">
      <c r="A3" s="5" t="str">
        <f>HYPERLINK("#'Home'!A1", "Home")</f>
        <v>Home</v>
      </c>
      <c r="C3" s="23"/>
      <c r="D3" s="23" t="s">
        <v>136</v>
      </c>
      <c r="E3" s="23"/>
      <c r="F3" s="23"/>
      <c r="G3" s="23"/>
      <c r="H3" s="23"/>
      <c r="I3" s="23"/>
      <c r="J3" s="23"/>
      <c r="K3" s="23"/>
      <c r="L3" s="23"/>
    </row>
    <row r="4" spans="1:12" ht="20" customHeight="1" x14ac:dyDescent="0.25">
      <c r="A4" s="5" t="str">
        <f>HYPERLINK("#'Results - Activity period'!A1", "Results - Activity period")</f>
        <v>Results - Activity period</v>
      </c>
    </row>
    <row r="5" spans="1:12" ht="20" customHeight="1" x14ac:dyDescent="0.25">
      <c r="A5" s="5" t="str">
        <f>HYPERLINK("#'Results - Product EI'!A1", "Results - Product Emissions Intensity")</f>
        <v>Results - Product Emissions Intensity</v>
      </c>
      <c r="D5" s="2" t="str" cm="1">
        <f t="array" ref="D5">WasteSolid_Equations.VEERG_10_1_1_1__2_MassOfWasteFromVolume_Title()</f>
        <v>Mass of waste from waste volume</v>
      </c>
    </row>
    <row r="6" spans="1:12" ht="20" customHeight="1" x14ac:dyDescent="0.25">
      <c r="D6" s="17" t="str" cm="1">
        <f t="array" ref="D6">WasteSolid_Equations.VEERG_10_1_1_1__2_MassOfWasteFromVolume_Source()</f>
        <v>VEERG 2026: 10.1.1.1, Equation (2)</v>
      </c>
    </row>
    <row r="7" spans="1:12" ht="20" customHeight="1" x14ac:dyDescent="0.25">
      <c r="D7" s="103" t="s">
        <v>372</v>
      </c>
      <c r="E7" s="103" t="str" cm="1">
        <f t="array" aca="1" ref="E7" ca="1">Common_InputFunctions.Utility_DisplayFunctionName(I21)</f>
        <v>=WasteSolid_Equations.VEERG_10_1_1_1__2_MassOfWasteFromVolume</v>
      </c>
    </row>
    <row r="8" spans="1:12" ht="20" customHeight="1" x14ac:dyDescent="0.25">
      <c r="A8" s="7" t="s">
        <v>0</v>
      </c>
    </row>
    <row r="9" spans="1:12" ht="20" customHeight="1" x14ac:dyDescent="0.25">
      <c r="A9" s="5" t="str">
        <f>HYPERLINK("#'Input - Enterprise'!A1", "Enterprise")</f>
        <v>Enterprise</v>
      </c>
    </row>
    <row r="10" spans="1:12" ht="20" customHeight="1" x14ac:dyDescent="0.25">
      <c r="A10" s="5" t="str">
        <f>HYPERLINK("#'Input - Site'!A1", "Site")</f>
        <v>Site</v>
      </c>
      <c r="D10" s="77" t="s">
        <v>374</v>
      </c>
      <c r="E10" s="1" t="str" cm="1">
        <f t="array" ref="E10">WasteSolid_Equations.VEERG_10_1_1_1__2_MassOfWasteFromVolume_Variable()</f>
        <v>Q_wt</v>
      </c>
    </row>
    <row r="11" spans="1:12" ht="20" customHeight="1" x14ac:dyDescent="0.25">
      <c r="A11" s="5" t="str">
        <f>HYPERLINK("#'Input - Pasture Beef'!A1", "Pasture Beef")</f>
        <v>Pasture Beef</v>
      </c>
      <c r="D11" s="77" t="s">
        <v>121</v>
      </c>
      <c r="E11" s="9" t="str" cm="1">
        <f t="array" ref="E11">WasteSolid_Equations.VEERG_10_1_1_1__2_MassOfWasteFromVolume_Unit()</f>
        <v>t</v>
      </c>
    </row>
    <row r="12" spans="1:12" ht="20" customHeight="1" x14ac:dyDescent="0.25">
      <c r="A12" s="5" t="str">
        <f>HYPERLINK("#'Input - Livestock sales'!A1", "Livestock sales")</f>
        <v>Livestock sales</v>
      </c>
    </row>
    <row r="13" spans="1:12" ht="20" customHeight="1" x14ac:dyDescent="0.25">
      <c r="A13" s="5" t="str">
        <f>HYPERLINK("#'Input - Beef cattle purchases'!A1", "Beef cattle purchases")</f>
        <v>Beef cattle purchases</v>
      </c>
      <c r="D13" s="105" t="str" cm="1">
        <f t="array" ref="D13:E16">_xlfn.CHOOSECOLS(WasteSolid_Equations.VEERG_10_1_1_1__2_MassOfWasteFromVolume_Arguments(),1,2)</f>
        <v>V_wt</v>
      </c>
      <c r="E13" s="106" t="str">
        <v>volume of solid waste type w being sent to treatment facility t</v>
      </c>
      <c r="F13" s="108"/>
      <c r="G13" s="105" t="str" cm="1">
        <f t="array" ref="G13:H16">_xlfn.CHOOSECOLS(WasteSolid_Equations.VEERG_10_1_1_1__2_MassOfWasteFromVolume_Arguments(),3,4)</f>
        <v>m3</v>
      </c>
      <c r="H13" s="109" t="str">
        <v>Input</v>
      </c>
      <c r="I13" s="111" t="str" cm="1">
        <f t="array" aca="1" ref="I13" ca="1">HYPERLINK(Common_InputFunctions.Utility_SourceHyperlink($D$18),$D$18)</f>
        <v>Table_V_w_t_onsite</v>
      </c>
      <c r="J13" s="111" t="str" cm="1">
        <f t="array" aca="1" ref="J13" ca="1">HYPERLINK(Common_InputFunctions.Utility_SourceHyperlink($D$56),$D$56)</f>
        <v>Table_V_w_t_offsite</v>
      </c>
    </row>
    <row r="14" spans="1:12" ht="20" customHeight="1" x14ac:dyDescent="0.25">
      <c r="A14" s="5" t="str">
        <f>HYPERLINK("#'Input - Pasture'!A1", "Pasture")</f>
        <v>Pasture</v>
      </c>
      <c r="D14" s="105" t="str">
        <v>VTM_w</v>
      </c>
      <c r="E14" s="106" t="str">
        <v>conversion factor of volume to mass for waste type w</v>
      </c>
      <c r="F14" s="108"/>
      <c r="G14" s="105" t="str">
        <v>t/m3</v>
      </c>
      <c r="H14" s="110" t="str">
        <v>Constant</v>
      </c>
      <c r="I14" s="111" t="str" cm="1">
        <f t="array" aca="1" ref="I14" ca="1">HYPERLINK(Common_InputFunctions.Utility_SourceHyperlink($D$18),$D$18)</f>
        <v>Table_V_w_t_onsite</v>
      </c>
      <c r="J14" s="111" t="str" cm="1">
        <f t="array" aca="1" ref="J14" ca="1">HYPERLINK(Common_InputFunctions.Utility_SourceHyperlink($D$56),$D$56)</f>
        <v>Table_V_w_t_offsite</v>
      </c>
    </row>
    <row r="15" spans="1:12" ht="20" customHeight="1" x14ac:dyDescent="0.25">
      <c r="A15" s="5" t="str">
        <f>HYPERLINK("#'Input - Fert Prod System'!A1", "Fert Prod System")</f>
        <v>Fert Prod System</v>
      </c>
      <c r="D15" s="105" t="str">
        <v>w</v>
      </c>
      <c r="E15" s="106" t="str">
        <v>waste type</v>
      </c>
      <c r="F15" s="108"/>
      <c r="G15" s="105" t="str">
        <v/>
      </c>
      <c r="H15" s="109" t="str">
        <v>Input</v>
      </c>
      <c r="I15" s="111" t="str" cm="1">
        <f t="array" aca="1" ref="I15" ca="1">HYPERLINK(Common_InputFunctions.Utility_SourceHyperlink($D$18),$D$18)</f>
        <v>Table_V_w_t_onsite</v>
      </c>
      <c r="J15" s="111" t="str" cm="1">
        <f t="array" aca="1" ref="J15" ca="1">HYPERLINK(Common_InputFunctions.Utility_SourceHyperlink($D$56),$D$56)</f>
        <v>Table_V_w_t_offsite</v>
      </c>
    </row>
    <row r="16" spans="1:12" ht="20" customHeight="1" x14ac:dyDescent="0.25">
      <c r="A16" s="5" t="str">
        <f>HYPERLINK("#'Input - Fertiliser'!A1", "Fertiliser")</f>
        <v>Fertiliser</v>
      </c>
      <c r="D16" s="105" t="str">
        <v>t</v>
      </c>
      <c r="E16" s="106" t="str">
        <v>treatment facility</v>
      </c>
      <c r="F16" s="108"/>
      <c r="G16" s="105" t="str">
        <v/>
      </c>
      <c r="H16" s="109" t="str">
        <v>Input</v>
      </c>
      <c r="I16" s="111" t="str" cm="1">
        <f t="array" aca="1" ref="I16" ca="1">HYPERLINK(Common_InputFunctions.Utility_SourceHyperlink($D$18),$D$18)</f>
        <v>Table_V_w_t_onsite</v>
      </c>
      <c r="J16" s="111" t="str" cm="1">
        <f t="array" aca="1" ref="J16" ca="1">HYPERLINK(Common_InputFunctions.Utility_SourceHyperlink($D$56),$D$56)</f>
        <v>Table_V_w_t_offsite</v>
      </c>
    </row>
    <row r="17" spans="1:9" ht="20" customHeight="1" x14ac:dyDescent="0.25">
      <c r="A17" s="5" t="str">
        <f>HYPERLINK("#'Input - Fuel'!A1", "Fuel")</f>
        <v>Fuel</v>
      </c>
    </row>
    <row r="18" spans="1:9" ht="20" customHeight="1" x14ac:dyDescent="0.25">
      <c r="A18" s="5" t="str">
        <f>HYPERLINK("#'Input - Electricity'!A1", "Electricity")</f>
        <v>Electricity</v>
      </c>
      <c r="D18" s="112" t="s">
        <v>902</v>
      </c>
    </row>
    <row r="19" spans="1:9" ht="20" customHeight="1" x14ac:dyDescent="0.25">
      <c r="A19" s="5" t="str">
        <f>HYPERLINK("#'Input - Common farm inputs'!A1", "Common farm inputs")</f>
        <v>Common farm inputs</v>
      </c>
      <c r="D19" s="113" t="s">
        <v>903</v>
      </c>
    </row>
    <row r="20" spans="1:9" ht="20" customHeight="1" x14ac:dyDescent="0.25">
      <c r="A20" s="5" t="str">
        <f>HYPERLINK("#'Input - Crop pasture farm input'!A1", "Crop pasture farm input")</f>
        <v>Crop pasture farm input</v>
      </c>
      <c r="D20" s="82" t="s">
        <v>904</v>
      </c>
      <c r="E20" s="82" t="s">
        <v>905</v>
      </c>
      <c r="F20" s="82"/>
      <c r="G20" s="82" t="s">
        <v>906</v>
      </c>
      <c r="H20" s="114" t="s">
        <v>907</v>
      </c>
      <c r="I20" s="114" t="s">
        <v>908</v>
      </c>
    </row>
    <row r="21" spans="1:9" ht="20" customHeight="1" x14ac:dyDescent="0.25">
      <c r="A21" s="5" t="str">
        <f>HYPERLINK("#'Input - Livestock farm Inputs'!A1", "Livestock farm Inputs")</f>
        <v>Livestock farm Inputs</v>
      </c>
      <c r="D21" s="105" t="str" cm="1">
        <f t="array" ref="D21:D54">Table_SourceData_WasteSolid_WasteTreatmentEFs[Treatment type t]</f>
        <v>Landfill</v>
      </c>
      <c r="E21" s="106" t="str" cm="1">
        <f t="array" ref="E21:E54">Table_SourceData_WasteSolid_WasteTreatmentEFs[Waste type w]</f>
        <v>Food waste (including animal carcasses, spoiled animal feed or crop)</v>
      </c>
      <c r="F21" s="164"/>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0</v>
      </c>
    </row>
    <row r="22" spans="1:9" ht="20" customHeight="1" x14ac:dyDescent="0.25">
      <c r="A22" s="5" t="str">
        <f>HYPERLINK("#'Input - Freight'!A1", "Freight")</f>
        <v>Freight</v>
      </c>
      <c r="D22" s="105" t="str">
        <v>Landfill</v>
      </c>
      <c r="E22" s="106" t="str">
        <v>Paper and cardboard</v>
      </c>
      <c r="F22" s="164"/>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0</v>
      </c>
    </row>
    <row r="23" spans="1:9" ht="20" customHeight="1" x14ac:dyDescent="0.25">
      <c r="A23" s="5" t="str">
        <f>HYPERLINK("#'Input - Solid waste'!A1", "Solid waste")</f>
        <v>Solid waste</v>
      </c>
      <c r="D23" s="105" t="str">
        <v>Landfill</v>
      </c>
      <c r="E23" s="106" t="str">
        <v>Green waste (including crop residues or prunings)</v>
      </c>
      <c r="F23" s="164"/>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0</v>
      </c>
    </row>
    <row r="24" spans="1:9" ht="20" customHeight="1" x14ac:dyDescent="0.25">
      <c r="A24" s="5" t="str">
        <f>HYPERLINK("#'Input - Manure sent off-site'!A1", "Manure sent off-site")</f>
        <v>Manure sent off-site</v>
      </c>
      <c r="D24" s="105" t="str">
        <v>Landfill</v>
      </c>
      <c r="E24" s="106" t="str">
        <v>Wood</v>
      </c>
      <c r="F24" s="164"/>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 customHeight="1" x14ac:dyDescent="0.25">
      <c r="A25" s="5" t="str">
        <f>HYPERLINK("#'Input - Data quality'!A1", "Data quality")</f>
        <v>Data quality</v>
      </c>
      <c r="D25" s="105" t="str">
        <v>Landfill</v>
      </c>
      <c r="E25" s="106" t="str">
        <v>Textiles</v>
      </c>
      <c r="F25" s="164"/>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 customHeight="1" x14ac:dyDescent="0.25">
      <c r="D26" s="105" t="str">
        <v>Landfill</v>
      </c>
      <c r="E26" s="106" t="str">
        <v>Sludge</v>
      </c>
      <c r="F26" s="164"/>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 customHeight="1" x14ac:dyDescent="0.25">
      <c r="D27" s="105" t="str">
        <v>Landfill</v>
      </c>
      <c r="E27" s="106" t="str">
        <v>Rubber and leather</v>
      </c>
      <c r="F27" s="164"/>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 customHeight="1" x14ac:dyDescent="0.25">
      <c r="A28" s="6" t="s">
        <v>2</v>
      </c>
      <c r="D28" s="105" t="str">
        <v>Landfill</v>
      </c>
      <c r="E28" s="106" t="str">
        <v>Inert waste (including concrete, metal, plastic or glass)</v>
      </c>
      <c r="F28" s="164"/>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 customHeight="1" x14ac:dyDescent="0.25">
      <c r="A29" s="5" t="str">
        <f>HYPERLINK("#'3.2.1.1-2 Enteric Methane'!A1", "3.2.1.1-2 Enteric Methane")</f>
        <v>3.2.1.1-2 Enteric Methane</v>
      </c>
      <c r="D29" s="105" t="str">
        <v>Landfill</v>
      </c>
      <c r="E29" s="106" t="str">
        <v>Municipal solid waste</v>
      </c>
      <c r="F29" s="164"/>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 customHeight="1" x14ac:dyDescent="0.25">
      <c r="A30" s="5" t="str">
        <f>HYPERLINK("#'4.2.1.1-2 Methane'!A1", "4.2.1.1-2 Manure methane")</f>
        <v>4.2.1.1-2 Manure methane</v>
      </c>
      <c r="D30" s="105" t="str">
        <v>Landfill</v>
      </c>
      <c r="E30" s="106" t="str">
        <v>Commercial and industrial waste</v>
      </c>
      <c r="F30" s="164"/>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 customHeight="1" x14ac:dyDescent="0.25">
      <c r="A31" s="5" t="str">
        <f>HYPERLINK("#'4.2.1.3-4 Soil direct N20'!A1", "4.2.1.3-4 Soil direct N2O")</f>
        <v>4.2.1.3-4 Soil direct N2O</v>
      </c>
      <c r="D31" s="105" t="str">
        <v>Landfill</v>
      </c>
      <c r="E31" s="106" t="str">
        <v>Construction and demolition waste</v>
      </c>
      <c r="F31" s="164"/>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 customHeight="1" x14ac:dyDescent="0.25">
      <c r="A32" s="5" t="str">
        <f>HYPERLINK("#'4.2.1.5-6 Soil Atmos Dep'!A1", "4.2.1.5-6 Soil atm. deposition")</f>
        <v>4.2.1.5-6 Soil atm. deposition</v>
      </c>
      <c r="D32" s="105" t="str">
        <v>Incineration</v>
      </c>
      <c r="E32" s="106" t="str">
        <v>Food waste, green waste, wood, sludge</v>
      </c>
      <c r="F32" s="164"/>
      <c r="G32" s="15" t="s">
        <v>661</v>
      </c>
      <c r="H32" s="15" t="s">
        <v>661</v>
      </c>
      <c r="I32" s="15" t="s">
        <v>661</v>
      </c>
    </row>
    <row r="33" spans="1:9" ht="20" customHeight="1" x14ac:dyDescent="0.25">
      <c r="A33" s="5" t="str">
        <f>HYPERLINK("#'4.2.1.7-8 Soil leach runoff'!A1", "4.2.1.7-8 Soil leach &amp; runoff")</f>
        <v>4.2.1.7-8 Soil leach &amp; runoff</v>
      </c>
      <c r="D33" s="105" t="str">
        <v>Incineration</v>
      </c>
      <c r="E33" s="106" t="str">
        <v>Food waste (including animal carcasses, spoiled animal feed or crop)</v>
      </c>
      <c r="F33" s="164"/>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 customHeight="1" x14ac:dyDescent="0.25">
      <c r="A34" s="5" t="str">
        <f>HYPERLINK("#'5.1.1.1-2 Inorganic fert N2O'!A1", "5.1.1.1-2 Inorganic fert N2O")</f>
        <v>5.1.1.1-2 Inorganic fert N2O</v>
      </c>
      <c r="D34" s="105" t="str">
        <v>Incineration</v>
      </c>
      <c r="E34" s="106" t="str">
        <v>Green waste (including crop residues or prunings)</v>
      </c>
      <c r="F34" s="164"/>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0</v>
      </c>
    </row>
    <row r="35" spans="1:9" ht="20" customHeight="1" x14ac:dyDescent="0.25">
      <c r="A35" s="5" t="str">
        <f>HYPERLINK("#'5.1.1.3-4 Inorganic fert CO2'!A1", "5.1.1.3-4 Inorganic fert CO2")</f>
        <v>5.1.1.3-4 Inorganic fert CO2</v>
      </c>
      <c r="D35" s="105" t="str">
        <v>Incineration</v>
      </c>
      <c r="E35" s="106" t="str">
        <v>Wood</v>
      </c>
      <c r="F35" s="164"/>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 customHeight="1" x14ac:dyDescent="0.25">
      <c r="A36" s="5" t="str">
        <f>HYPERLINK("#'5.2.1.1-2 Organic Fert N2O'!A1", "5.2.1.1-2 Organic fert N2O")</f>
        <v>5.2.1.1-2 Organic fert N2O</v>
      </c>
      <c r="D36" s="105" t="str">
        <v>Incineration</v>
      </c>
      <c r="E36" s="106" t="str">
        <v>Sludge</v>
      </c>
      <c r="F36" s="164"/>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 customHeight="1" x14ac:dyDescent="0.25">
      <c r="A37" s="5" t="str">
        <f>HYPERLINK("#'5.3.1.1-2 Lime CO2'!A1", "5.3.1.1-2 Lime CO2")</f>
        <v>5.3.1.1-2 Lime CO2</v>
      </c>
      <c r="D37" s="105" t="str">
        <v>Incineration</v>
      </c>
      <c r="E37" s="106" t="str">
        <v>Paper and cardboard</v>
      </c>
      <c r="F37" s="164"/>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0</v>
      </c>
    </row>
    <row r="38" spans="1:9" ht="20" customHeight="1" x14ac:dyDescent="0.25">
      <c r="A38" s="5" t="str">
        <f>HYPERLINK("#'5.4.1.1-4 Atmos deposition'!A1", "5.4.1.1-4 Atmos. deposition")</f>
        <v>5.4.1.1-4 Atmos. deposition</v>
      </c>
      <c r="D38" s="105" t="str">
        <v>Incineration</v>
      </c>
      <c r="E38" s="106" t="str">
        <v>Textiles</v>
      </c>
      <c r="F38" s="164"/>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 customHeight="1" x14ac:dyDescent="0.25">
      <c r="A39" s="5" t="str">
        <f>HYPERLINK("#'5.5.1.1-2 Leaching and runoff'!A1", "5.5.1.1-2 Leaching &amp; runoff")</f>
        <v>5.5.1.1-2 Leaching &amp; runoff</v>
      </c>
      <c r="D39" s="105" t="str">
        <v>Incineration</v>
      </c>
      <c r="E39" s="106" t="str">
        <v>Rubber and leather</v>
      </c>
      <c r="F39" s="164"/>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 customHeight="1" x14ac:dyDescent="0.25">
      <c r="A40" s="5" t="str">
        <f>HYPERLINK("#'6.2.1.1-2 Pasture residue N2O'!A1", "6.2.1.1-2 Pasture residue N2O")</f>
        <v>6.2.1.1-2 Pasture residue N2O</v>
      </c>
      <c r="D40" s="105" t="str">
        <v>Incineration</v>
      </c>
      <c r="E40" s="105" t="str">
        <v>Inert waste (including concrete, metal, plastic or glass)</v>
      </c>
      <c r="F40" s="105"/>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 customHeight="1" x14ac:dyDescent="0.25">
      <c r="A41" s="5" t="str">
        <f>HYPERLINK("#'6.3.1.1-2 Leach runoff pasture'!A1", "6.3.1.1-2 Leach &amp; runoff (pasture)")</f>
        <v>6.3.1.1-2 Leach &amp; runoff (pasture)</v>
      </c>
      <c r="D41" s="105" t="str">
        <v>Incineration</v>
      </c>
      <c r="E41" s="106" t="str">
        <v>Municipal solid waste</v>
      </c>
      <c r="F41" s="108"/>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 customHeight="1" x14ac:dyDescent="0.25">
      <c r="A42" s="5" t="str">
        <f>HYPERLINK("#'8.1.1.1-2 Transport fuel'!A1", "8.1.1.1-2 Transport fuel")</f>
        <v>8.1.1.1-2 Transport fuel</v>
      </c>
      <c r="D42" s="105" t="str">
        <v>Incineration</v>
      </c>
      <c r="E42" s="106" t="str">
        <v>Commercial and industrial waste</v>
      </c>
      <c r="F42" s="108"/>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 customHeight="1" x14ac:dyDescent="0.25">
      <c r="A43" s="5" t="str">
        <f>HYPERLINK("#'8.2.1.1-2 Stationary fuel'!A1", "8.2.1.1-2 Stationary fuel")</f>
        <v>8.2.1.1-2 Stationary fuel</v>
      </c>
      <c r="D43" s="105" t="str">
        <v>Composting</v>
      </c>
      <c r="E43" s="106" t="str">
        <v>All organic waste</v>
      </c>
      <c r="F43" s="108"/>
      <c r="G43" s="15" t="s">
        <v>661</v>
      </c>
      <c r="H43" s="15" t="s">
        <v>661</v>
      </c>
      <c r="I43" s="15" t="s">
        <v>661</v>
      </c>
    </row>
    <row r="44" spans="1:9" ht="20" customHeight="1" x14ac:dyDescent="0.25">
      <c r="A44" s="104" t="str">
        <f>HYPERLINK("#'10.1.1-2 Solid waste treatment'!A1", "10.1.1.1-2 Solid waste")</f>
        <v>10.1.1.1-2 Solid waste</v>
      </c>
      <c r="D44" s="105" t="str">
        <v>Composting</v>
      </c>
      <c r="E44" s="106" t="str">
        <v>Food waste (including animal carcasses, spoiled animal feed or crop)</v>
      </c>
      <c r="F44" s="108"/>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0</v>
      </c>
    </row>
    <row r="45" spans="1:9" ht="20" customHeight="1" x14ac:dyDescent="0.25">
      <c r="A45" s="5" t="str">
        <f>HYPERLINK("#'14.1.1-2 Purchased electricity'!A1", "14.1.1-2 Purchased electricity")</f>
        <v>14.1.1-2 Purchased electricity</v>
      </c>
      <c r="D45" s="105" t="str">
        <v>Composting</v>
      </c>
      <c r="E45" s="106" t="str">
        <v>Green waste (including crop residues or prunings)</v>
      </c>
      <c r="F45" s="108"/>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 customHeight="1" x14ac:dyDescent="0.25">
      <c r="A46" s="5" t="str">
        <f>HYPERLINK("#'15 Scope 3'!A1", "15 Scope 3")</f>
        <v>15 Scope 3</v>
      </c>
      <c r="D46" s="105" t="str">
        <v>Composting</v>
      </c>
      <c r="E46" s="106" t="str">
        <v>Wood</v>
      </c>
      <c r="F46" s="108"/>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 customHeight="1" x14ac:dyDescent="0.25">
      <c r="A47" s="5" t="str">
        <f>HYPERLINK("#'Calcs - Manure sent off-site'!A1", "Calcs - Manure sent off-site")</f>
        <v>Calcs - Manure sent off-site</v>
      </c>
      <c r="D47" s="105" t="str">
        <v>Composting</v>
      </c>
      <c r="E47" s="106" t="str">
        <v>Sludge</v>
      </c>
      <c r="F47" s="108"/>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 customHeight="1" x14ac:dyDescent="0.25">
      <c r="D48" s="105" t="str">
        <v>Composting</v>
      </c>
      <c r="E48" s="106" t="str">
        <v>Paper and cardboard</v>
      </c>
      <c r="F48" s="108"/>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0</v>
      </c>
    </row>
    <row r="49" spans="1:9" ht="20" customHeight="1" x14ac:dyDescent="0.25">
      <c r="D49" s="105" t="str">
        <v>Anaerobic digestion</v>
      </c>
      <c r="E49" s="106" t="str">
        <v>All organic waste</v>
      </c>
      <c r="F49" s="108"/>
      <c r="G49" s="15" t="s">
        <v>661</v>
      </c>
      <c r="H49" s="15" t="s">
        <v>661</v>
      </c>
      <c r="I49" s="15" t="s">
        <v>661</v>
      </c>
    </row>
    <row r="50" spans="1:9" ht="20" customHeight="1" x14ac:dyDescent="0.25">
      <c r="A50" s="85" t="s">
        <v>1</v>
      </c>
      <c r="D50" s="105" t="str">
        <v>Anaerobic digestion</v>
      </c>
      <c r="E50" s="106" t="str">
        <v>Food waste (including animal carcasses, spoiled animal feed or crop)</v>
      </c>
      <c r="F50" s="108"/>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1:9" ht="20" customHeight="1" x14ac:dyDescent="0.25">
      <c r="A51" s="5" t="str">
        <f>HYPERLINK("#'Constants - Pasture Beef'!A1", "Constants - Pasture Beef")</f>
        <v>Constants - Pasture Beef</v>
      </c>
      <c r="D51" s="105" t="str">
        <v>Anaerobic digestion</v>
      </c>
      <c r="E51" s="106" t="str">
        <v>Green waste (including crop residues or prunings)</v>
      </c>
      <c r="F51" s="108"/>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1:9" ht="20" customHeight="1" x14ac:dyDescent="0.25">
      <c r="A52" s="5" t="str">
        <f>HYPERLINK("#'Constants - Ag Residue'!A1", "Constants - Ag residue")</f>
        <v>Constants - Ag residue</v>
      </c>
      <c r="D52" s="105" t="str">
        <v>Anaerobic digestion</v>
      </c>
      <c r="E52" s="106" t="str">
        <v>Wood</v>
      </c>
      <c r="F52" s="108"/>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1:9" ht="20" customHeight="1" x14ac:dyDescent="0.25">
      <c r="A53" s="5" t="str">
        <f>HYPERLINK("#'Constants - Common Livestock'!A1", "Constants - Common Livestock")</f>
        <v>Constants - Common Livestock</v>
      </c>
      <c r="D53" s="105" t="str">
        <v>Anaerobic digestion</v>
      </c>
      <c r="E53" s="106" t="str">
        <v>Sludge</v>
      </c>
      <c r="F53" s="108"/>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1:9" ht="20" customHeight="1" x14ac:dyDescent="0.25">
      <c r="A54" s="5" t="str">
        <f>HYPERLINK("#'Constants - Electricity'!A1", "Constants - Electricity")</f>
        <v>Constants - Electricity</v>
      </c>
      <c r="D54" s="105" t="str">
        <v>Anaerobic digestion</v>
      </c>
      <c r="E54" s="106" t="str">
        <v>Paper and cardboard</v>
      </c>
      <c r="F54" s="108"/>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5" spans="1:9" ht="20" customHeight="1" x14ac:dyDescent="0.25">
      <c r="A55" s="5" t="str">
        <f>HYPERLINK("#'Constants - Fertiliser'!A1", "Constants - Fertiliser")</f>
        <v>Constants - Fertiliser</v>
      </c>
    </row>
    <row r="56" spans="1:9" ht="20" customHeight="1" x14ac:dyDescent="0.25">
      <c r="A56" s="5" t="str">
        <f>HYPERLINK("#'Constants - Fuel'!A1", "Constants - Fuel")</f>
        <v>Constants - Fuel</v>
      </c>
      <c r="D56" s="112" t="s">
        <v>909</v>
      </c>
    </row>
    <row r="57" spans="1:9" ht="20" customHeight="1" x14ac:dyDescent="0.25">
      <c r="A57" s="5" t="str">
        <f>HYPERLINK("#'Constants - Scope 3'!A1", "Constants - Scope 3")</f>
        <v>Constants - Scope 3</v>
      </c>
      <c r="D57" s="113" t="s">
        <v>910</v>
      </c>
    </row>
    <row r="58" spans="1:9" ht="20" customHeight="1" x14ac:dyDescent="0.25">
      <c r="A58" s="5" t="str">
        <f>HYPERLINK("#'Constants - Solid Waste'!A1", "Constants - Solid Waste")</f>
        <v>Constants - Solid Waste</v>
      </c>
      <c r="D58" s="82" t="s">
        <v>904</v>
      </c>
      <c r="E58" s="82" t="s">
        <v>905</v>
      </c>
      <c r="F58" s="82"/>
      <c r="G58" s="82" t="s">
        <v>906</v>
      </c>
      <c r="H58" s="114" t="s">
        <v>907</v>
      </c>
      <c r="I58" s="114" t="s">
        <v>908</v>
      </c>
    </row>
    <row r="59" spans="1:9" ht="20" customHeight="1" x14ac:dyDescent="0.25">
      <c r="A59" s="5" t="str">
        <f>HYPERLINK("#'Constants - Common'!A1", "Constants - Common")</f>
        <v>Constants - Common</v>
      </c>
      <c r="D59" s="105" t="str" cm="1">
        <f t="array" ref="D59:D92">Table_SourceData_WasteSolid_WasteTreatmentEFs[Treatment type t]</f>
        <v>Landfill</v>
      </c>
      <c r="E59" s="106" t="str" cm="1">
        <f t="array" ref="E59:E92">Table_SourceData_WasteSolid_WasteTreatmentEFs[Waste type w]</f>
        <v>Food waste (including animal carcasses, spoiled animal feed or crop)</v>
      </c>
      <c r="F59" s="164"/>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0</v>
      </c>
    </row>
    <row r="60" spans="1:9" ht="20" customHeight="1" x14ac:dyDescent="0.25">
      <c r="A60" s="5" t="str">
        <f>HYPERLINK("#'Acknowledgements'!A1", "Acknowledgements")</f>
        <v>Acknowledgements</v>
      </c>
      <c r="D60" s="105" t="str">
        <v>Landfill</v>
      </c>
      <c r="E60" s="106" t="str">
        <v>Paper and cardboard</v>
      </c>
      <c r="F60" s="164"/>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0</v>
      </c>
    </row>
    <row r="61" spans="1:9" ht="20" customHeight="1" x14ac:dyDescent="0.25">
      <c r="D61" s="105" t="str">
        <v>Landfill</v>
      </c>
      <c r="E61" s="106" t="str">
        <v>Green waste (including crop residues or prunings)</v>
      </c>
      <c r="F61" s="164"/>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0</v>
      </c>
    </row>
    <row r="62" spans="1:9" ht="20" customHeight="1" x14ac:dyDescent="0.25">
      <c r="D62" s="105" t="str">
        <v>Landfill</v>
      </c>
      <c r="E62" s="106" t="str">
        <v>Wood</v>
      </c>
      <c r="F62" s="164"/>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1:9" ht="20" customHeight="1" x14ac:dyDescent="0.25">
      <c r="D63" s="105" t="str">
        <v>Landfill</v>
      </c>
      <c r="E63" s="106" t="str">
        <v>Textiles</v>
      </c>
      <c r="F63" s="164"/>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1:9" ht="20" customHeight="1" x14ac:dyDescent="0.25">
      <c r="D64" s="105" t="str">
        <v>Landfill</v>
      </c>
      <c r="E64" s="106" t="str">
        <v>Sludge</v>
      </c>
      <c r="F64" s="164"/>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4:9" ht="20" customHeight="1" x14ac:dyDescent="0.25">
      <c r="D65" s="105" t="str">
        <v>Landfill</v>
      </c>
      <c r="E65" s="106" t="str">
        <v>Rubber and leather</v>
      </c>
      <c r="F65" s="164"/>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4:9" ht="20" customHeight="1" x14ac:dyDescent="0.25">
      <c r="D66" s="105" t="str">
        <v>Landfill</v>
      </c>
      <c r="E66" s="106" t="str">
        <v>Inert waste (including concrete, metal, plastic or glass)</v>
      </c>
      <c r="F66" s="164"/>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4:9" ht="20" customHeight="1" x14ac:dyDescent="0.25">
      <c r="D67" s="105" t="str">
        <v>Landfill</v>
      </c>
      <c r="E67" s="106" t="str">
        <v>Municipal solid waste</v>
      </c>
      <c r="F67" s="164"/>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4:9" ht="20" customHeight="1" x14ac:dyDescent="0.25">
      <c r="D68" s="105" t="str">
        <v>Landfill</v>
      </c>
      <c r="E68" s="106" t="str">
        <v>Commercial and industrial waste</v>
      </c>
      <c r="F68" s="164"/>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4:9" ht="20" customHeight="1" x14ac:dyDescent="0.25">
      <c r="D69" s="105" t="str">
        <v>Landfill</v>
      </c>
      <c r="E69" s="106" t="str">
        <v>Construction and demolition waste</v>
      </c>
      <c r="F69" s="164"/>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4:9" ht="20" customHeight="1" x14ac:dyDescent="0.25">
      <c r="D70" s="105" t="str">
        <v>Incineration</v>
      </c>
      <c r="E70" s="106" t="str">
        <v>Food waste, green waste, wood, sludge</v>
      </c>
      <c r="F70" s="164"/>
      <c r="G70" s="15" t="s">
        <v>661</v>
      </c>
      <c r="H70" s="15" t="s">
        <v>661</v>
      </c>
      <c r="I70" s="15" t="s">
        <v>661</v>
      </c>
    </row>
    <row r="71" spans="4:9" ht="20" customHeight="1" x14ac:dyDescent="0.25">
      <c r="D71" s="105" t="str">
        <v>Incineration</v>
      </c>
      <c r="E71" s="106" t="str">
        <v>Food waste (including animal carcasses, spoiled animal feed or crop)</v>
      </c>
      <c r="F71" s="164"/>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4:9" ht="20" customHeight="1" x14ac:dyDescent="0.25">
      <c r="D72" s="105" t="str">
        <v>Incineration</v>
      </c>
      <c r="E72" s="106" t="str">
        <v>Green waste (including crop residues or prunings)</v>
      </c>
      <c r="F72" s="164"/>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0</v>
      </c>
    </row>
    <row r="73" spans="4:9" ht="20" customHeight="1" x14ac:dyDescent="0.25">
      <c r="D73" s="105" t="str">
        <v>Incineration</v>
      </c>
      <c r="E73" s="106" t="str">
        <v>Wood</v>
      </c>
      <c r="F73" s="164"/>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4:9" ht="20" customHeight="1" x14ac:dyDescent="0.25">
      <c r="D74" s="105" t="str">
        <v>Incineration</v>
      </c>
      <c r="E74" s="106" t="str">
        <v>Sludge</v>
      </c>
      <c r="F74" s="164"/>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4:9" ht="20" customHeight="1" x14ac:dyDescent="0.25">
      <c r="D75" s="105" t="str">
        <v>Incineration</v>
      </c>
      <c r="E75" s="106" t="str">
        <v>Paper and cardboard</v>
      </c>
      <c r="F75" s="164"/>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4:9" ht="20" customHeight="1" x14ac:dyDescent="0.25">
      <c r="D76" s="105" t="str">
        <v>Incineration</v>
      </c>
      <c r="E76" s="106" t="str">
        <v>Textiles</v>
      </c>
      <c r="F76" s="164"/>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4:9" ht="20" customHeight="1" x14ac:dyDescent="0.25">
      <c r="D77" s="105" t="str">
        <v>Incineration</v>
      </c>
      <c r="E77" s="106" t="str">
        <v>Rubber and leather</v>
      </c>
      <c r="F77" s="164"/>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4:9" ht="20" customHeight="1" x14ac:dyDescent="0.25">
      <c r="D78" s="105" t="str">
        <v>Incineration</v>
      </c>
      <c r="E78" s="106" t="str">
        <v>Inert waste (including concrete, metal, plastic or glass)</v>
      </c>
      <c r="F78" s="164"/>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4:9" ht="20" customHeight="1" x14ac:dyDescent="0.25">
      <c r="D79" s="105" t="str">
        <v>Incineration</v>
      </c>
      <c r="E79" s="106" t="str">
        <v>Municipal solid waste</v>
      </c>
      <c r="F79" s="108"/>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4:9" ht="20" customHeight="1" x14ac:dyDescent="0.25">
      <c r="D80" s="105" t="str">
        <v>Incineration</v>
      </c>
      <c r="E80" s="106" t="str">
        <v>Commercial and industrial waste</v>
      </c>
      <c r="F80" s="108"/>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3:12" ht="20" customHeight="1" x14ac:dyDescent="0.25">
      <c r="D81" s="105" t="str">
        <v>Composting</v>
      </c>
      <c r="E81" s="106" t="str">
        <v>All organic waste</v>
      </c>
      <c r="F81" s="108"/>
      <c r="G81" s="15" t="s">
        <v>661</v>
      </c>
      <c r="H81" s="15" t="s">
        <v>661</v>
      </c>
      <c r="I81" s="15" t="s">
        <v>661</v>
      </c>
    </row>
    <row r="82" spans="3:12" ht="20" customHeight="1" x14ac:dyDescent="0.25">
      <c r="D82" s="105" t="str">
        <v>Composting</v>
      </c>
      <c r="E82" s="106" t="str">
        <v>Food waste (including animal carcasses, spoiled animal feed or crop)</v>
      </c>
      <c r="F82" s="108"/>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3:12" ht="20" customHeight="1" x14ac:dyDescent="0.25">
      <c r="D83" s="105" t="str">
        <v>Composting</v>
      </c>
      <c r="E83" s="106" t="str">
        <v>Green waste (including crop residues or prunings)</v>
      </c>
      <c r="F83" s="108"/>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3:12" ht="20" customHeight="1" x14ac:dyDescent="0.25">
      <c r="D84" s="105" t="str">
        <v>Composting</v>
      </c>
      <c r="E84" s="106" t="str">
        <v>Wood</v>
      </c>
      <c r="F84" s="108"/>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3:12" ht="20" customHeight="1" x14ac:dyDescent="0.25">
      <c r="D85" s="105" t="str">
        <v>Composting</v>
      </c>
      <c r="E85" s="106" t="str">
        <v>Sludge</v>
      </c>
      <c r="F85" s="108"/>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3:12" ht="20" customHeight="1" x14ac:dyDescent="0.25">
      <c r="D86" s="105" t="str">
        <v>Composting</v>
      </c>
      <c r="E86" s="106" t="str">
        <v>Paper and cardboard</v>
      </c>
      <c r="F86" s="108"/>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3:12" ht="20" customHeight="1" x14ac:dyDescent="0.25">
      <c r="D87" s="105" t="str">
        <v>Anaerobic digestion</v>
      </c>
      <c r="E87" s="106" t="str">
        <v>All organic waste</v>
      </c>
      <c r="F87" s="108"/>
      <c r="G87" s="15" t="s">
        <v>661</v>
      </c>
      <c r="H87" s="15" t="s">
        <v>661</v>
      </c>
      <c r="I87" s="15" t="s">
        <v>661</v>
      </c>
    </row>
    <row r="88" spans="3:12" ht="20" customHeight="1" x14ac:dyDescent="0.25">
      <c r="D88" s="105" t="str">
        <v>Anaerobic digestion</v>
      </c>
      <c r="E88" s="106" t="str">
        <v>Food waste (including animal carcasses, spoiled animal feed or crop)</v>
      </c>
      <c r="F88" s="108"/>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3:12" ht="20" customHeight="1" x14ac:dyDescent="0.25">
      <c r="D89" s="105" t="str">
        <v>Anaerobic digestion</v>
      </c>
      <c r="E89" s="106" t="str">
        <v>Green waste (including crop residues or prunings)</v>
      </c>
      <c r="F89" s="108"/>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3:12" ht="20" customHeight="1" x14ac:dyDescent="0.25">
      <c r="D90" s="105" t="str">
        <v>Anaerobic digestion</v>
      </c>
      <c r="E90" s="106" t="str">
        <v>Wood</v>
      </c>
      <c r="F90" s="108"/>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3:12" ht="20" customHeight="1" x14ac:dyDescent="0.25">
      <c r="D91" s="105" t="str">
        <v>Anaerobic digestion</v>
      </c>
      <c r="E91" s="106" t="str">
        <v>Sludge</v>
      </c>
      <c r="F91" s="108"/>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3:12" ht="20" customHeight="1" x14ac:dyDescent="0.25">
      <c r="D92" s="105" t="str">
        <v>Anaerobic digestion</v>
      </c>
      <c r="E92" s="106" t="str">
        <v>Paper and cardboard</v>
      </c>
      <c r="F92" s="108"/>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3" spans="3:12" ht="20" customHeight="1" x14ac:dyDescent="0.25"/>
    <row r="94" spans="3:12" ht="20" customHeight="1" x14ac:dyDescent="0.25"/>
    <row r="95" spans="3:12" ht="20" customHeight="1" x14ac:dyDescent="0.25">
      <c r="C95" s="87"/>
      <c r="D95" s="87"/>
      <c r="E95" s="87"/>
      <c r="F95" s="87"/>
      <c r="G95" s="87"/>
      <c r="H95" s="87"/>
      <c r="I95" s="87"/>
      <c r="J95" s="87"/>
      <c r="K95" s="87"/>
      <c r="L95" s="87"/>
    </row>
    <row r="96" spans="3:12" ht="20" customHeight="1" x14ac:dyDescent="0.25">
      <c r="D96" s="2" t="str" cm="1">
        <f t="array" ref="D96">WasteSolid_Equations.VEERG_10_1_1_1__1_EmissionsFromWasteManagement_Title()</f>
        <v>Emissions from waste management by greenhouse gas</v>
      </c>
    </row>
    <row r="97" spans="4:9" ht="20" customHeight="1" x14ac:dyDescent="0.25">
      <c r="D97" s="17" t="str" cm="1">
        <f t="array" ref="D97">WasteSolid_Equations.VEERG_10_1_1_1__1_EmissionsFromWasteManagement_Source()</f>
        <v>VEERG 2026: 10.1.1.1, Equation (1)</v>
      </c>
    </row>
    <row r="98" spans="4:9" ht="20" customHeight="1" x14ac:dyDescent="0.25">
      <c r="D98" s="26" t="str" cm="1">
        <f t="array" ref="D98">WasteSolid_Equations.VEERG_10_1_1_1__1_EmissionsFromWasteManagement_Variation()</f>
        <v>VARIATION ON SOURCE: Added Q_volwt and Q_masswt variables to clearly track input or calculated Q values</v>
      </c>
    </row>
    <row r="99" spans="4:9" ht="20" customHeight="1" x14ac:dyDescent="0.25">
      <c r="D99" s="103" t="s">
        <v>372</v>
      </c>
      <c r="E99" s="103" t="str" cm="1">
        <f t="array" aca="1" ref="E99" ca="1">Common_InputFunctions.Utility_DisplayFunctionName(K116)</f>
        <v>=WasteSolid_Equations.VEERG_10_1_1_1__1_EmissionsFromWasteManagement</v>
      </c>
    </row>
    <row r="100" spans="4:9" ht="20" customHeight="1" x14ac:dyDescent="0.25"/>
    <row r="101" spans="4:9" ht="20" customHeight="1" x14ac:dyDescent="0.25"/>
    <row r="102" spans="4:9" ht="20" customHeight="1" x14ac:dyDescent="0.25">
      <c r="D102" s="77" t="s">
        <v>374</v>
      </c>
      <c r="E102" s="1" t="str" cm="1">
        <f t="array" ref="E102">WasteSolid_Equations.VEERG_10_1_1_1__1_EmissionsFromWasteManagement_Variable()</f>
        <v>E_g</v>
      </c>
    </row>
    <row r="103" spans="4:9" ht="20" customHeight="1" x14ac:dyDescent="0.25">
      <c r="D103" s="77" t="s">
        <v>121</v>
      </c>
      <c r="E103" s="9" t="str" cm="1">
        <f t="array" ref="E103">WasteSolid_Equations.VEERG_10_1_1_1__1_EmissionsFromWasteManagement_Unit()</f>
        <v>t CO2e</v>
      </c>
    </row>
    <row r="104" spans="4:9" ht="20" customHeight="1" x14ac:dyDescent="0.25"/>
    <row r="105" spans="4:9" ht="20" customHeight="1" x14ac:dyDescent="0.25">
      <c r="D105" s="105" t="str" cm="1">
        <f t="array" ref="D105:E111">_xlfn.CHOOSECOLS(WasteSolid_Equations.VEERG_10_1_1_1__1_EmissionsFromWasteManagement_Arguments(),1,2)</f>
        <v>Q_wt</v>
      </c>
      <c r="E105" s="106" t="str">
        <v>quantity of solid waste of type w being sent to treatment facility t, on a wet weight basis</v>
      </c>
      <c r="F105" s="107"/>
      <c r="G105" s="108"/>
      <c r="H105" s="105" t="str" cm="1">
        <f t="array" ref="H105:I111">_xlfn.CHOOSECOLS(WasteSolid_Equations.VEERG_10_1_1_1__1_EmissionsFromWasteManagement_Arguments(),3,4)</f>
        <v>t</v>
      </c>
      <c r="I105" s="110" t="str">
        <v>Sum of Q_volwt and Q_masswt</v>
      </c>
    </row>
    <row r="106" spans="4:9" ht="20" customHeight="1" x14ac:dyDescent="0.25">
      <c r="D106" s="105" t="str">
        <v>EF_wtg</v>
      </c>
      <c r="E106" s="106" t="str">
        <v>emission factor for greenhouse gas g for the management of waste at treatment facility t</v>
      </c>
      <c r="F106" s="107"/>
      <c r="G106" s="108"/>
      <c r="H106" s="105" t="str">
        <v>t CO2e/t</v>
      </c>
      <c r="I106" s="110" t="str">
        <v>Constant</v>
      </c>
    </row>
    <row r="107" spans="4:9" ht="20" customHeight="1" x14ac:dyDescent="0.25">
      <c r="D107" s="105" t="str">
        <v>w</v>
      </c>
      <c r="E107" s="106" t="str">
        <v>waste type</v>
      </c>
      <c r="F107" s="107"/>
      <c r="G107" s="108"/>
      <c r="H107" s="105" t="str">
        <v/>
      </c>
      <c r="I107" s="109" t="str">
        <v>Input</v>
      </c>
    </row>
    <row r="108" spans="4:9" ht="20" customHeight="1" x14ac:dyDescent="0.25">
      <c r="D108" s="105" t="str">
        <v>t</v>
      </c>
      <c r="E108" s="106" t="str">
        <v>treatment facility</v>
      </c>
      <c r="F108" s="107"/>
      <c r="G108" s="108"/>
      <c r="H108" s="105" t="str">
        <v/>
      </c>
      <c r="I108" s="109" t="str">
        <v>Input</v>
      </c>
    </row>
    <row r="109" spans="4:9" ht="20" customHeight="1" x14ac:dyDescent="0.25">
      <c r="D109" s="105" t="str">
        <v>g</v>
      </c>
      <c r="E109" s="106" t="str">
        <v>greenhouse gas</v>
      </c>
      <c r="F109" s="107"/>
      <c r="G109" s="108"/>
      <c r="H109" s="105" t="str">
        <v/>
      </c>
      <c r="I109" s="109" t="str">
        <v>Input</v>
      </c>
    </row>
    <row r="110" spans="4:9" ht="20" customHeight="1" x14ac:dyDescent="0.25">
      <c r="D110" s="105" t="str">
        <v>Q_volwt</v>
      </c>
      <c r="E110" s="106" t="str">
        <v>quantity of sold waste input as volume and converted to tonnes</v>
      </c>
      <c r="F110" s="107"/>
      <c r="G110" s="108"/>
      <c r="H110" s="105" t="str">
        <v>tonnes</v>
      </c>
      <c r="I110" s="110" t="str">
        <v>Calculated from 10.1.1.1 (2)</v>
      </c>
    </row>
    <row r="111" spans="4:9" ht="20" customHeight="1" x14ac:dyDescent="0.25">
      <c r="D111" s="105" t="str">
        <v>Q_masswt</v>
      </c>
      <c r="E111" s="106" t="str">
        <v>quantity of solid waste input as mass</v>
      </c>
      <c r="F111" s="107"/>
      <c r="G111" s="108"/>
      <c r="H111" s="105" t="str">
        <v>tonnes</v>
      </c>
      <c r="I111" s="109" t="str">
        <v>Input</v>
      </c>
    </row>
    <row r="112" spans="4:9" ht="20" customHeight="1" x14ac:dyDescent="0.25"/>
    <row r="113" spans="4:11" ht="20" customHeight="1" x14ac:dyDescent="0.25">
      <c r="D113" s="112" t="s">
        <v>911</v>
      </c>
    </row>
    <row r="114" spans="4:11" ht="20" customHeight="1" x14ac:dyDescent="0.25">
      <c r="D114" s="113" t="s">
        <v>912</v>
      </c>
    </row>
    <row r="115" spans="4:11" ht="20" customHeight="1" x14ac:dyDescent="0.25">
      <c r="D115" s="82" t="s">
        <v>904</v>
      </c>
      <c r="E115" s="82" t="s">
        <v>905</v>
      </c>
      <c r="F115" s="82"/>
      <c r="G115" s="82" t="s">
        <v>913</v>
      </c>
      <c r="H115" s="114" t="s">
        <v>914</v>
      </c>
      <c r="I115" s="114" t="s">
        <v>908</v>
      </c>
      <c r="J115" s="114" t="s">
        <v>915</v>
      </c>
      <c r="K115" s="114" t="s">
        <v>916</v>
      </c>
    </row>
    <row r="116" spans="4:11" ht="20" customHeight="1" x14ac:dyDescent="0.25">
      <c r="D116" s="105" t="str" cm="1">
        <f t="array" ref="D116:D149">Table_SourceData_WasteSolid_WasteTreatmentEFs[Treatment type t]</f>
        <v>Landfill</v>
      </c>
      <c r="E116" s="106" t="str" cm="1">
        <f t="array" ref="E116:E149">Table_SourceData_WasteSolid_WasteTreatmentEFs[Waste type w]</f>
        <v>Food waste (including animal carcasses, spoiled animal feed or crop)</v>
      </c>
      <c r="F116" s="164"/>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116" s="15">
        <f t="shared" ref="H116:H149" si="0">I21</f>
        <v>0</v>
      </c>
      <c r="I116" s="15">
        <f>G116+H116</f>
        <v>0</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0</v>
      </c>
    </row>
    <row r="117" spans="4:11" ht="20" customHeight="1" x14ac:dyDescent="0.25">
      <c r="D117" s="105" t="str">
        <v>Landfill</v>
      </c>
      <c r="E117" s="106" t="str">
        <v>Paper and cardboard</v>
      </c>
      <c r="F117" s="164"/>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117" s="15">
        <f t="shared" si="0"/>
        <v>0</v>
      </c>
      <c r="I117" s="15">
        <f t="shared" ref="I117:I126" si="1">G117+H117</f>
        <v>0</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0</v>
      </c>
    </row>
    <row r="118" spans="4:11" ht="20" customHeight="1" x14ac:dyDescent="0.25">
      <c r="D118" s="105" t="str">
        <v>Landfill</v>
      </c>
      <c r="E118" s="106" t="str">
        <v>Green waste (including crop residues or prunings)</v>
      </c>
      <c r="F118" s="164"/>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118" s="15">
        <f t="shared" si="0"/>
        <v>0</v>
      </c>
      <c r="I118" s="15">
        <f t="shared" si="1"/>
        <v>0</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0</v>
      </c>
    </row>
    <row r="119" spans="4:11" ht="20" customHeight="1" x14ac:dyDescent="0.25">
      <c r="D119" s="105" t="str">
        <v>Landfill</v>
      </c>
      <c r="E119" s="106" t="str">
        <v>Wood</v>
      </c>
      <c r="F119" s="164"/>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4:11" ht="20" customHeight="1" x14ac:dyDescent="0.25">
      <c r="D120" s="105" t="str">
        <v>Landfill</v>
      </c>
      <c r="E120" s="106" t="str">
        <v>Textiles</v>
      </c>
      <c r="F120" s="164"/>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4:11" ht="20" customHeight="1" x14ac:dyDescent="0.25">
      <c r="D121" s="105" t="str">
        <v>Landfill</v>
      </c>
      <c r="E121" s="106" t="str">
        <v>Sludge</v>
      </c>
      <c r="F121" s="164"/>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4:11" ht="20" customHeight="1" x14ac:dyDescent="0.25">
      <c r="D122" s="105" t="str">
        <v>Landfill</v>
      </c>
      <c r="E122" s="106" t="str">
        <v>Rubber and leather</v>
      </c>
      <c r="F122" s="164"/>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4:11" ht="20" customHeight="1" x14ac:dyDescent="0.25">
      <c r="D123" s="105" t="str">
        <v>Landfill</v>
      </c>
      <c r="E123" s="106" t="str">
        <v>Inert waste (including concrete, metal, plastic or glass)</v>
      </c>
      <c r="F123" s="164"/>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4:11" ht="20" customHeight="1" x14ac:dyDescent="0.25">
      <c r="D124" s="105" t="str">
        <v>Landfill</v>
      </c>
      <c r="E124" s="106" t="str">
        <v>Municipal solid waste</v>
      </c>
      <c r="F124" s="164"/>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4:11" ht="20" customHeight="1" x14ac:dyDescent="0.25">
      <c r="D125" s="105" t="str">
        <v>Landfill</v>
      </c>
      <c r="E125" s="106" t="str">
        <v>Commercial and industrial waste</v>
      </c>
      <c r="F125" s="164"/>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4:11" ht="20" customHeight="1" x14ac:dyDescent="0.25">
      <c r="D126" s="105" t="str">
        <v>Landfill</v>
      </c>
      <c r="E126" s="106" t="str">
        <v>Construction and demolition waste</v>
      </c>
      <c r="F126" s="164"/>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4:11" ht="20" customHeight="1" x14ac:dyDescent="0.25">
      <c r="D127" s="105" t="str">
        <v>Incineration</v>
      </c>
      <c r="E127" s="106" t="str">
        <v>Food waste, green waste, wood, sludge</v>
      </c>
      <c r="F127" s="164"/>
      <c r="G127" s="15" t="s">
        <v>661</v>
      </c>
      <c r="H127" s="15" t="str">
        <f t="shared" si="0"/>
        <v>Not used</v>
      </c>
      <c r="I127" s="15">
        <f>SUM(G128:G131)+SUM(H128:H131)+N("Partial sum")</f>
        <v>0</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4:11" ht="20" customHeight="1" x14ac:dyDescent="0.25">
      <c r="D128" s="105" t="str">
        <v>Incineration</v>
      </c>
      <c r="E128" s="106" t="str">
        <v>Food waste (including animal carcasses, spoiled animal feed or crop)</v>
      </c>
      <c r="F128" s="164"/>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917</v>
      </c>
      <c r="J128" s="15" t="s">
        <v>661</v>
      </c>
      <c r="K128" s="15" t="s">
        <v>661</v>
      </c>
    </row>
    <row r="129" spans="4:11" ht="20" customHeight="1" x14ac:dyDescent="0.25">
      <c r="D129" s="105" t="str">
        <v>Incineration</v>
      </c>
      <c r="E129" s="106" t="str">
        <v>Green waste (including crop residues or prunings)</v>
      </c>
      <c r="F129" s="164"/>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29" s="15">
        <f t="shared" si="0"/>
        <v>0</v>
      </c>
      <c r="I129" s="15" t="s">
        <v>917</v>
      </c>
      <c r="J129" s="15" t="s">
        <v>661</v>
      </c>
      <c r="K129" s="15" t="s">
        <v>661</v>
      </c>
    </row>
    <row r="130" spans="4:11" ht="20" customHeight="1" x14ac:dyDescent="0.25">
      <c r="D130" s="105" t="str">
        <v>Incineration</v>
      </c>
      <c r="E130" s="106" t="str">
        <v>Wood</v>
      </c>
      <c r="F130" s="164"/>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917</v>
      </c>
      <c r="J130" s="15" t="s">
        <v>661</v>
      </c>
      <c r="K130" s="15" t="s">
        <v>661</v>
      </c>
    </row>
    <row r="131" spans="4:11" ht="20" customHeight="1" x14ac:dyDescent="0.25">
      <c r="D131" s="105" t="str">
        <v>Incineration</v>
      </c>
      <c r="E131" s="106" t="str">
        <v>Sludge</v>
      </c>
      <c r="F131" s="164"/>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917</v>
      </c>
      <c r="J131" s="15" t="s">
        <v>661</v>
      </c>
      <c r="K131" s="15" t="s">
        <v>661</v>
      </c>
    </row>
    <row r="132" spans="4:11" ht="20" customHeight="1" x14ac:dyDescent="0.25">
      <c r="D132" s="105" t="str">
        <v>Incineration</v>
      </c>
      <c r="E132" s="106" t="str">
        <v>Paper and cardboard</v>
      </c>
      <c r="F132" s="164"/>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32" s="15">
        <f t="shared" si="0"/>
        <v>0</v>
      </c>
      <c r="I132" s="15">
        <f>G132+H132+N("Partial sum")</f>
        <v>0</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v>
      </c>
    </row>
    <row r="133" spans="4:11" ht="20" customHeight="1" x14ac:dyDescent="0.25">
      <c r="D133" s="105" t="str">
        <v>Incineration</v>
      </c>
      <c r="E133" s="106" t="str">
        <v>Textiles</v>
      </c>
      <c r="F133" s="164"/>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4:11" ht="20" customHeight="1" x14ac:dyDescent="0.25">
      <c r="D134" s="105" t="str">
        <v>Incineration</v>
      </c>
      <c r="E134" s="106" t="str">
        <v>Rubber and leather</v>
      </c>
      <c r="F134" s="164"/>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4:11" ht="20" customHeight="1" x14ac:dyDescent="0.25">
      <c r="D135" s="105" t="str">
        <v>Incineration</v>
      </c>
      <c r="E135" s="106" t="str">
        <v>Inert waste (including concrete, metal, plastic or glass)</v>
      </c>
      <c r="F135" s="164"/>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4:11" ht="20" customHeight="1" x14ac:dyDescent="0.25">
      <c r="D136" s="105" t="str">
        <v>Incineration</v>
      </c>
      <c r="E136" s="106" t="str">
        <v>Municipal solid waste</v>
      </c>
      <c r="F136" s="108"/>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4:11" ht="20" customHeight="1" x14ac:dyDescent="0.25">
      <c r="D137" s="105" t="str">
        <v>Incineration</v>
      </c>
      <c r="E137" s="106" t="str">
        <v>Commercial and industrial waste</v>
      </c>
      <c r="F137" s="108"/>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4:11" ht="20" customHeight="1" x14ac:dyDescent="0.25">
      <c r="D138" s="105" t="str">
        <v>Composting</v>
      </c>
      <c r="E138" s="106" t="str">
        <v>All organic waste</v>
      </c>
      <c r="F138" s="108"/>
      <c r="G138" s="15" t="s">
        <v>661</v>
      </c>
      <c r="H138" s="15" t="str">
        <f t="shared" si="0"/>
        <v>Not used</v>
      </c>
      <c r="I138" s="15">
        <f>SUM(G139:G143)+SUM(H139:H143)+N("Partial sum")</f>
        <v>0</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0</v>
      </c>
    </row>
    <row r="139" spans="4:11" ht="20" customHeight="1" x14ac:dyDescent="0.25">
      <c r="D139" s="105" t="str">
        <v>Composting</v>
      </c>
      <c r="E139" s="106" t="str">
        <v>Food waste (including animal carcasses, spoiled animal feed or crop)</v>
      </c>
      <c r="F139" s="108"/>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0</v>
      </c>
      <c r="I139" s="15" t="s">
        <v>917</v>
      </c>
      <c r="J139" s="15" t="s">
        <v>661</v>
      </c>
      <c r="K139" s="15" t="s">
        <v>661</v>
      </c>
    </row>
    <row r="140" spans="4:11" ht="20" customHeight="1" x14ac:dyDescent="0.25">
      <c r="D140" s="105" t="str">
        <v>Composting</v>
      </c>
      <c r="E140" s="106" t="str">
        <v>Green waste (including crop residues or prunings)</v>
      </c>
      <c r="F140" s="108"/>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917</v>
      </c>
      <c r="J140" s="15" t="s">
        <v>661</v>
      </c>
      <c r="K140" s="15" t="s">
        <v>661</v>
      </c>
    </row>
    <row r="141" spans="4:11" ht="20" customHeight="1" x14ac:dyDescent="0.25">
      <c r="D141" s="105" t="str">
        <v>Composting</v>
      </c>
      <c r="E141" s="106" t="str">
        <v>Wood</v>
      </c>
      <c r="F141" s="108"/>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917</v>
      </c>
      <c r="J141" s="15" t="s">
        <v>661</v>
      </c>
      <c r="K141" s="15" t="s">
        <v>661</v>
      </c>
    </row>
    <row r="142" spans="4:11" ht="20" customHeight="1" x14ac:dyDescent="0.25">
      <c r="D142" s="105" t="str">
        <v>Composting</v>
      </c>
      <c r="E142" s="106" t="str">
        <v>Sludge</v>
      </c>
      <c r="F142" s="108"/>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917</v>
      </c>
      <c r="J142" s="15" t="s">
        <v>661</v>
      </c>
      <c r="K142" s="15" t="s">
        <v>661</v>
      </c>
    </row>
    <row r="143" spans="4:11" ht="20" customHeight="1" x14ac:dyDescent="0.25">
      <c r="D143" s="105" t="str">
        <v>Composting</v>
      </c>
      <c r="E143" s="106" t="str">
        <v>Paper and cardboard</v>
      </c>
      <c r="F143" s="108"/>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0</v>
      </c>
      <c r="I143" s="15" t="s">
        <v>917</v>
      </c>
      <c r="J143" s="15" t="s">
        <v>661</v>
      </c>
      <c r="K143" s="15" t="s">
        <v>661</v>
      </c>
    </row>
    <row r="144" spans="4:11" ht="20" customHeight="1" x14ac:dyDescent="0.25">
      <c r="D144" s="105" t="str">
        <v>Anaerobic digestion</v>
      </c>
      <c r="E144" s="106" t="str">
        <v>All organic waste</v>
      </c>
      <c r="F144" s="108"/>
      <c r="G144" s="15" t="s">
        <v>661</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4:11" ht="20" customHeight="1" x14ac:dyDescent="0.25">
      <c r="D145" s="105" t="str">
        <v>Anaerobic digestion</v>
      </c>
      <c r="E145" s="106" t="str">
        <v>Food waste (including animal carcasses, spoiled animal feed or crop)</v>
      </c>
      <c r="F145" s="108"/>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917</v>
      </c>
      <c r="J145" s="15" t="s">
        <v>661</v>
      </c>
      <c r="K145" s="15" t="s">
        <v>661</v>
      </c>
    </row>
    <row r="146" spans="4:11" ht="20" customHeight="1" x14ac:dyDescent="0.25">
      <c r="D146" s="105" t="str">
        <v>Anaerobic digestion</v>
      </c>
      <c r="E146" s="106" t="str">
        <v>Green waste (including crop residues or prunings)</v>
      </c>
      <c r="F146" s="108"/>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917</v>
      </c>
      <c r="J146" s="15" t="s">
        <v>661</v>
      </c>
      <c r="K146" s="15" t="s">
        <v>661</v>
      </c>
    </row>
    <row r="147" spans="4:11" ht="20" customHeight="1" x14ac:dyDescent="0.25">
      <c r="D147" s="105" t="str">
        <v>Anaerobic digestion</v>
      </c>
      <c r="E147" s="106" t="str">
        <v>Wood</v>
      </c>
      <c r="F147" s="108"/>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917</v>
      </c>
      <c r="J147" s="15" t="s">
        <v>661</v>
      </c>
      <c r="K147" s="15" t="s">
        <v>661</v>
      </c>
    </row>
    <row r="148" spans="4:11" ht="20" customHeight="1" x14ac:dyDescent="0.25">
      <c r="D148" s="105" t="str">
        <v>Anaerobic digestion</v>
      </c>
      <c r="E148" s="106" t="str">
        <v>Sludge</v>
      </c>
      <c r="F148" s="108"/>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917</v>
      </c>
      <c r="J148" s="15" t="s">
        <v>661</v>
      </c>
      <c r="K148" s="15" t="s">
        <v>661</v>
      </c>
    </row>
    <row r="149" spans="4:11" ht="20" customHeight="1" x14ac:dyDescent="0.25">
      <c r="D149" s="105" t="str">
        <v>Anaerobic digestion</v>
      </c>
      <c r="E149" s="106" t="str">
        <v>Paper and cardboard</v>
      </c>
      <c r="F149" s="108"/>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917</v>
      </c>
      <c r="J149" s="15" t="s">
        <v>661</v>
      </c>
      <c r="K149" s="15" t="s">
        <v>661</v>
      </c>
    </row>
    <row r="150" spans="4:11" ht="20" customHeight="1" x14ac:dyDescent="0.25"/>
    <row r="151" spans="4:11" ht="20" customHeight="1" x14ac:dyDescent="0.25">
      <c r="D151" s="90" t="s">
        <v>918</v>
      </c>
      <c r="E151" s="91">
        <f>SUM(K116:K149)</f>
        <v>0</v>
      </c>
      <c r="F151" s="95" t="str">
        <f>$E$103</f>
        <v>t CO2e</v>
      </c>
    </row>
    <row r="152" spans="4:11" ht="20" customHeight="1" x14ac:dyDescent="0.25"/>
    <row r="153" spans="4:11" ht="20" customHeight="1" x14ac:dyDescent="0.25"/>
    <row r="154" spans="4:11" ht="20" customHeight="1" x14ac:dyDescent="0.25">
      <c r="D154" s="112" t="s">
        <v>919</v>
      </c>
    </row>
    <row r="155" spans="4:11" ht="20" customHeight="1" x14ac:dyDescent="0.25">
      <c r="D155" s="113" t="s">
        <v>920</v>
      </c>
    </row>
    <row r="156" spans="4:11" ht="20" customHeight="1" x14ac:dyDescent="0.25">
      <c r="D156" s="82" t="s">
        <v>904</v>
      </c>
      <c r="E156" s="82" t="s">
        <v>905</v>
      </c>
      <c r="F156" s="82"/>
      <c r="G156" s="82" t="s">
        <v>913</v>
      </c>
      <c r="H156" s="114" t="s">
        <v>914</v>
      </c>
      <c r="I156" s="114" t="s">
        <v>908</v>
      </c>
      <c r="J156" s="114" t="s">
        <v>915</v>
      </c>
      <c r="K156" s="114" t="s">
        <v>916</v>
      </c>
    </row>
    <row r="157" spans="4:11" ht="20" customHeight="1" x14ac:dyDescent="0.25">
      <c r="D157" s="105" t="str" cm="1">
        <f t="array" ref="D157:D190">Table_SourceData_WasteSolid_WasteTreatmentEFs[Treatment type t]</f>
        <v>Landfill</v>
      </c>
      <c r="E157" s="106" t="str" cm="1">
        <f t="array" ref="E157:E190">Table_SourceData_WasteSolid_WasteTreatmentEFs[Waste type w]</f>
        <v>Food waste (including animal carcasses, spoiled animal feed or crop)</v>
      </c>
      <c r="F157" s="164"/>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0</v>
      </c>
      <c r="H157" s="15">
        <f t="shared" ref="H157:H190" si="3">I59</f>
        <v>0</v>
      </c>
      <c r="I157" s="15">
        <f>G157+H157</f>
        <v>0</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0</v>
      </c>
    </row>
    <row r="158" spans="4:11" ht="20" customHeight="1" x14ac:dyDescent="0.25">
      <c r="D158" s="105" t="str">
        <v>Landfill</v>
      </c>
      <c r="E158" s="106" t="str">
        <v>Paper and cardboard</v>
      </c>
      <c r="F158" s="164"/>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58" s="15">
        <f t="shared" si="3"/>
        <v>0</v>
      </c>
      <c r="I158" s="15">
        <f t="shared" ref="I158:I167" si="4">G158+H158</f>
        <v>0</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0</v>
      </c>
    </row>
    <row r="159" spans="4:11" ht="20" customHeight="1" x14ac:dyDescent="0.25">
      <c r="D159" s="105" t="str">
        <v>Landfill</v>
      </c>
      <c r="E159" s="106" t="str">
        <v>Green waste (including crop residues or prunings)</v>
      </c>
      <c r="F159" s="164"/>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59" s="15">
        <f t="shared" si="3"/>
        <v>0</v>
      </c>
      <c r="I159" s="15">
        <f t="shared" si="4"/>
        <v>0</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0</v>
      </c>
    </row>
    <row r="160" spans="4:11" ht="20" customHeight="1" x14ac:dyDescent="0.25">
      <c r="D160" s="105" t="str">
        <v>Landfill</v>
      </c>
      <c r="E160" s="106" t="str">
        <v>Wood</v>
      </c>
      <c r="F160" s="164"/>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4:11" ht="20" customHeight="1" x14ac:dyDescent="0.25">
      <c r="D161" s="105" t="str">
        <v>Landfill</v>
      </c>
      <c r="E161" s="106" t="str">
        <v>Textiles</v>
      </c>
      <c r="F161" s="164"/>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4:11" ht="20" customHeight="1" x14ac:dyDescent="0.25">
      <c r="D162" s="105" t="str">
        <v>Landfill</v>
      </c>
      <c r="E162" s="106" t="str">
        <v>Sludge</v>
      </c>
      <c r="F162" s="164"/>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4:11" ht="20" customHeight="1" x14ac:dyDescent="0.25">
      <c r="D163" s="105" t="str">
        <v>Landfill</v>
      </c>
      <c r="E163" s="106" t="str">
        <v>Rubber and leather</v>
      </c>
      <c r="F163" s="164"/>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4:11" ht="20" customHeight="1" x14ac:dyDescent="0.25">
      <c r="D164" s="105" t="str">
        <v>Landfill</v>
      </c>
      <c r="E164" s="106" t="str">
        <v>Inert waste (including concrete, metal, plastic or glass)</v>
      </c>
      <c r="F164" s="164"/>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4:11" ht="20" customHeight="1" x14ac:dyDescent="0.25">
      <c r="D165" s="105" t="str">
        <v>Landfill</v>
      </c>
      <c r="E165" s="106" t="str">
        <v>Municipal solid waste</v>
      </c>
      <c r="F165" s="164"/>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4:11" ht="20" customHeight="1" x14ac:dyDescent="0.25">
      <c r="D166" s="105" t="str">
        <v>Landfill</v>
      </c>
      <c r="E166" s="106" t="str">
        <v>Commercial and industrial waste</v>
      </c>
      <c r="F166" s="164"/>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4:11" ht="20" customHeight="1" x14ac:dyDescent="0.25">
      <c r="D167" s="105" t="str">
        <v>Landfill</v>
      </c>
      <c r="E167" s="106" t="str">
        <v>Construction and demolition waste</v>
      </c>
      <c r="F167" s="164"/>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4:11" ht="20" customHeight="1" x14ac:dyDescent="0.25">
      <c r="D168" s="105" t="str">
        <v>Incineration</v>
      </c>
      <c r="E168" s="106" t="str">
        <v>Food waste, green waste, wood, sludge</v>
      </c>
      <c r="F168" s="164"/>
      <c r="G168" s="15" t="s">
        <v>661</v>
      </c>
      <c r="H168" s="15" t="str">
        <f t="shared" si="3"/>
        <v>Not used</v>
      </c>
      <c r="I168" s="15">
        <f>SUM(G169:G172)+SUM(H169:H172)+N("Partial sum")</f>
        <v>0</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4:11" ht="20" customHeight="1" x14ac:dyDescent="0.25">
      <c r="D169" s="105" t="str">
        <v>Incineration</v>
      </c>
      <c r="E169" s="106" t="str">
        <v>Food waste (including animal carcasses, spoiled animal feed or crop)</v>
      </c>
      <c r="F169" s="164"/>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917</v>
      </c>
      <c r="J169" s="15" t="s">
        <v>661</v>
      </c>
      <c r="K169" s="15" t="s">
        <v>661</v>
      </c>
    </row>
    <row r="170" spans="4:11" ht="20" customHeight="1" x14ac:dyDescent="0.25">
      <c r="D170" s="105" t="str">
        <v>Incineration</v>
      </c>
      <c r="E170" s="106" t="str">
        <v>Green waste (including crop residues or prunings)</v>
      </c>
      <c r="F170" s="164"/>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70" s="15">
        <f t="shared" si="3"/>
        <v>0</v>
      </c>
      <c r="I170" s="15" t="s">
        <v>917</v>
      </c>
      <c r="J170" s="15" t="s">
        <v>661</v>
      </c>
      <c r="K170" s="15" t="s">
        <v>661</v>
      </c>
    </row>
    <row r="171" spans="4:11" ht="20" customHeight="1" x14ac:dyDescent="0.25">
      <c r="D171" s="105" t="str">
        <v>Incineration</v>
      </c>
      <c r="E171" s="106" t="str">
        <v>Wood</v>
      </c>
      <c r="F171" s="164"/>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917</v>
      </c>
      <c r="J171" s="15" t="s">
        <v>661</v>
      </c>
      <c r="K171" s="15" t="s">
        <v>661</v>
      </c>
    </row>
    <row r="172" spans="4:11" ht="20" customHeight="1" x14ac:dyDescent="0.25">
      <c r="D172" s="105" t="str">
        <v>Incineration</v>
      </c>
      <c r="E172" s="106" t="str">
        <v>Sludge</v>
      </c>
      <c r="F172" s="164"/>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917</v>
      </c>
      <c r="J172" s="15" t="s">
        <v>661</v>
      </c>
      <c r="K172" s="15" t="s">
        <v>661</v>
      </c>
    </row>
    <row r="173" spans="4:11" ht="20" customHeight="1" x14ac:dyDescent="0.25">
      <c r="D173" s="105" t="str">
        <v>Incineration</v>
      </c>
      <c r="E173" s="106" t="str">
        <v>Paper and cardboard</v>
      </c>
      <c r="F173" s="164"/>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4:11" ht="20" customHeight="1" x14ac:dyDescent="0.25">
      <c r="D174" s="105" t="str">
        <v>Incineration</v>
      </c>
      <c r="E174" s="106" t="str">
        <v>Textiles</v>
      </c>
      <c r="F174" s="164"/>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4:11" ht="20" customHeight="1" x14ac:dyDescent="0.25">
      <c r="D175" s="105" t="str">
        <v>Incineration</v>
      </c>
      <c r="E175" s="106" t="str">
        <v>Rubber and leather</v>
      </c>
      <c r="F175" s="164"/>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4:11" ht="20" customHeight="1" x14ac:dyDescent="0.25">
      <c r="D176" s="105" t="str">
        <v>Incineration</v>
      </c>
      <c r="E176" s="106" t="str">
        <v>Inert waste (including concrete, metal, plastic or glass)</v>
      </c>
      <c r="F176" s="164"/>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4:11" ht="20" customHeight="1" x14ac:dyDescent="0.25">
      <c r="D177" s="105" t="str">
        <v>Incineration</v>
      </c>
      <c r="E177" s="106" t="str">
        <v>Municipal solid waste</v>
      </c>
      <c r="F177" s="108"/>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4:11" ht="20" customHeight="1" x14ac:dyDescent="0.25">
      <c r="D178" s="105" t="str">
        <v>Incineration</v>
      </c>
      <c r="E178" s="106" t="str">
        <v>Commercial and industrial waste</v>
      </c>
      <c r="F178" s="108"/>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4:11" ht="20" customHeight="1" x14ac:dyDescent="0.25">
      <c r="D179" s="105" t="str">
        <v>Composting</v>
      </c>
      <c r="E179" s="106" t="str">
        <v>All organic waste</v>
      </c>
      <c r="F179" s="108"/>
      <c r="G179" s="15" t="s">
        <v>661</v>
      </c>
      <c r="H179" s="15" t="str">
        <f t="shared" si="3"/>
        <v>Not used</v>
      </c>
      <c r="I179" s="15">
        <f>SUM(G180:G184)+SUM(H180:H184)+N("Partial sum")</f>
        <v>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0</v>
      </c>
    </row>
    <row r="180" spans="4:11" ht="20" customHeight="1" x14ac:dyDescent="0.25">
      <c r="D180" s="105" t="str">
        <v>Composting</v>
      </c>
      <c r="E180" s="106" t="str">
        <v>Food waste (including animal carcasses, spoiled animal feed or crop)</v>
      </c>
      <c r="F180" s="108"/>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0</v>
      </c>
      <c r="H180" s="15">
        <f t="shared" si="3"/>
        <v>0</v>
      </c>
      <c r="I180" s="15" t="s">
        <v>917</v>
      </c>
      <c r="J180" s="15" t="s">
        <v>661</v>
      </c>
      <c r="K180" s="15" t="s">
        <v>661</v>
      </c>
    </row>
    <row r="181" spans="4:11" ht="20" customHeight="1" x14ac:dyDescent="0.25">
      <c r="D181" s="105" t="str">
        <v>Composting</v>
      </c>
      <c r="E181" s="106" t="str">
        <v>Green waste (including crop residues or prunings)</v>
      </c>
      <c r="F181" s="108"/>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917</v>
      </c>
      <c r="J181" s="15" t="s">
        <v>661</v>
      </c>
      <c r="K181" s="15" t="s">
        <v>661</v>
      </c>
    </row>
    <row r="182" spans="4:11" ht="20" customHeight="1" x14ac:dyDescent="0.25">
      <c r="D182" s="105" t="str">
        <v>Composting</v>
      </c>
      <c r="E182" s="106" t="str">
        <v>Wood</v>
      </c>
      <c r="F182" s="108"/>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917</v>
      </c>
      <c r="J182" s="15" t="s">
        <v>661</v>
      </c>
      <c r="K182" s="15" t="s">
        <v>661</v>
      </c>
    </row>
    <row r="183" spans="4:11" ht="20" customHeight="1" x14ac:dyDescent="0.25">
      <c r="D183" s="105" t="str">
        <v>Composting</v>
      </c>
      <c r="E183" s="106" t="str">
        <v>Sludge</v>
      </c>
      <c r="F183" s="108"/>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917</v>
      </c>
      <c r="J183" s="15" t="s">
        <v>661</v>
      </c>
      <c r="K183" s="15" t="s">
        <v>661</v>
      </c>
    </row>
    <row r="184" spans="4:11" ht="20" customHeight="1" x14ac:dyDescent="0.25">
      <c r="D184" s="105" t="str">
        <v>Composting</v>
      </c>
      <c r="E184" s="106" t="str">
        <v>Paper and cardboard</v>
      </c>
      <c r="F184" s="108"/>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0</v>
      </c>
      <c r="H184" s="15">
        <f t="shared" si="3"/>
        <v>0</v>
      </c>
      <c r="I184" s="15" t="s">
        <v>917</v>
      </c>
      <c r="J184" s="15" t="s">
        <v>661</v>
      </c>
      <c r="K184" s="15" t="s">
        <v>661</v>
      </c>
    </row>
    <row r="185" spans="4:11" ht="20" customHeight="1" x14ac:dyDescent="0.25">
      <c r="D185" s="105" t="str">
        <v>Anaerobic digestion</v>
      </c>
      <c r="E185" s="106" t="str">
        <v>All organic waste</v>
      </c>
      <c r="F185" s="108"/>
      <c r="G185" s="15" t="s">
        <v>661</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4:11" ht="20" customHeight="1" x14ac:dyDescent="0.25">
      <c r="D186" s="105" t="str">
        <v>Anaerobic digestion</v>
      </c>
      <c r="E186" s="106" t="str">
        <v>Food waste (including animal carcasses, spoiled animal feed or crop)</v>
      </c>
      <c r="F186" s="108"/>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917</v>
      </c>
      <c r="J186" s="15" t="s">
        <v>661</v>
      </c>
      <c r="K186" s="15" t="s">
        <v>661</v>
      </c>
    </row>
    <row r="187" spans="4:11" ht="20" customHeight="1" x14ac:dyDescent="0.25">
      <c r="D187" s="105" t="str">
        <v>Anaerobic digestion</v>
      </c>
      <c r="E187" s="106" t="str">
        <v>Green waste (including crop residues or prunings)</v>
      </c>
      <c r="F187" s="108"/>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917</v>
      </c>
      <c r="J187" s="15" t="s">
        <v>661</v>
      </c>
      <c r="K187" s="15" t="s">
        <v>661</v>
      </c>
    </row>
    <row r="188" spans="4:11" ht="20" customHeight="1" x14ac:dyDescent="0.25">
      <c r="D188" s="105" t="str">
        <v>Anaerobic digestion</v>
      </c>
      <c r="E188" s="106" t="str">
        <v>Wood</v>
      </c>
      <c r="F188" s="108"/>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917</v>
      </c>
      <c r="J188" s="15" t="s">
        <v>661</v>
      </c>
      <c r="K188" s="15" t="s">
        <v>661</v>
      </c>
    </row>
    <row r="189" spans="4:11" ht="20" customHeight="1" x14ac:dyDescent="0.25">
      <c r="D189" s="105" t="str">
        <v>Anaerobic digestion</v>
      </c>
      <c r="E189" s="106" t="str">
        <v>Sludge</v>
      </c>
      <c r="F189" s="108"/>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917</v>
      </c>
      <c r="J189" s="15" t="s">
        <v>661</v>
      </c>
      <c r="K189" s="15" t="s">
        <v>661</v>
      </c>
    </row>
    <row r="190" spans="4:11" ht="20" customHeight="1" x14ac:dyDescent="0.25">
      <c r="D190" s="105" t="str">
        <v>Anaerobic digestion</v>
      </c>
      <c r="E190" s="106" t="str">
        <v>Paper and cardboard</v>
      </c>
      <c r="F190" s="108"/>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917</v>
      </c>
      <c r="J190" s="15" t="s">
        <v>661</v>
      </c>
      <c r="K190" s="15" t="s">
        <v>661</v>
      </c>
    </row>
    <row r="191" spans="4:11" ht="20" customHeight="1" x14ac:dyDescent="0.25"/>
    <row r="192" spans="4:11" ht="20" customHeight="1" x14ac:dyDescent="0.25">
      <c r="D192" s="90" t="s">
        <v>918</v>
      </c>
      <c r="E192" s="91">
        <f>SUM(K157:K190)</f>
        <v>0</v>
      </c>
      <c r="F192" s="95" t="str">
        <f>$E$103</f>
        <v>t CO2e</v>
      </c>
    </row>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8"/>
    </row>
    <row r="342" spans="8:8" x14ac:dyDescent="0.25" ht="20" customHeight="1">
      <c r="H342" s="8"/>
    </row>
  </sheetData>
  <dataValidations count="1">
    <dataValidation operator="equal" allowBlank="1" showInputMessage="1" showErrorMessage="1" sqref="E269 E228" xr:uid="{32430948-B5DA-4040-A983-79200F811899}"/>
  </dataValidation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5115-3529-4D1A-A3FD-43BEC65E8525}">
  <sheetPr>
    <tabColor rgb="FF008000"/>
  </sheetPr>
  <dimension ref="A1:K342"/>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1" customFormat="1" ht="30" customHeight="1" x14ac:dyDescent="0.35">
      <c r="A1" s="10" t="e" vm="1">
        <v>#VALUE!</v>
      </c>
      <c r="C1" s="21" t="s">
        <v>787</v>
      </c>
    </row>
    <row r="2" spans="1:11" s="3" customFormat="1" ht="20" customHeight="1" x14ac:dyDescent="0.25">
      <c r="A2"/>
    </row>
    <row r="3" spans="1:11" ht="20" customHeight="1" x14ac:dyDescent="0.25">
      <c r="A3" s="5" t="str">
        <f>HYPERLINK("#'Home'!A1", "Home")</f>
        <v>Home</v>
      </c>
      <c r="C3" s="23"/>
      <c r="D3" s="23" t="s">
        <v>136</v>
      </c>
      <c r="E3" s="23"/>
      <c r="F3" s="23"/>
      <c r="G3" s="23"/>
      <c r="H3" s="23"/>
      <c r="I3" s="23"/>
      <c r="J3" s="23"/>
      <c r="K3" s="23"/>
    </row>
    <row r="4" spans="1:11" ht="20" customHeight="1" x14ac:dyDescent="0.25">
      <c r="A4" s="5" t="str">
        <f>HYPERLINK("#'Results - Activity period'!A1", "Results - Activity period")</f>
        <v>Results - Activity period</v>
      </c>
    </row>
    <row r="5" spans="1:11" ht="20" customHeight="1" x14ac:dyDescent="0.25">
      <c r="A5" s="5" t="str">
        <f>HYPERLINK("#'Results - Product EI'!A1", "Results - Product Emissions Intensity")</f>
        <v>Results - Product Emissions Intensity</v>
      </c>
      <c r="D5" s="2" t="str" cm="1">
        <f t="array" ref="D5">Electricity_Equations.VEERG_14_1_1__1_LocationBasedScopeElectricityEmissions_Title()</f>
        <v>Location-based Scope 2 emissions from purchased electricity</v>
      </c>
    </row>
    <row r="6" spans="1:11" ht="20" customHeight="1" x14ac:dyDescent="0.25">
      <c r="D6" s="17" t="str" cm="1">
        <f t="array" ref="D6">Electricity_Equations.VEERG_14_1_1__1_LocationBasedScopeElectricityEmissions_Source()</f>
        <v>VEERG 2026: 14.1.1, Equation (1)</v>
      </c>
    </row>
    <row r="7" spans="1:11" ht="20" customHeight="1" x14ac:dyDescent="0.25">
      <c r="D7" s="26" t="str" cm="1">
        <f t="array" ref="D7">Electricity_Equations.VEERG_14_1_1__1_LocationBasedScopeElectricityEmissions_Variation()</f>
        <v>Added g variable to capture which grid electricity was purchased from</v>
      </c>
    </row>
    <row r="8" spans="1:11" ht="20" customHeight="1" x14ac:dyDescent="0.25">
      <c r="A8" s="7" t="s">
        <v>0</v>
      </c>
      <c r="D8" s="103" t="s">
        <v>372</v>
      </c>
      <c r="E8" s="103" t="str">
        <f ca="1">Common_InputFunctions.Utility_DisplayFunctionName(VEERG_14_1_1__1_LocationBasedScopeElectricityEmissions_Result_Method1)</f>
        <v>=Electricity_Equations.VEERG_14_1_1__1_LocationBasedScopeElectricityEmissions</v>
      </c>
    </row>
    <row r="9" spans="1:11" ht="20" customHeight="1" x14ac:dyDescent="0.25">
      <c r="A9" s="5" t="str">
        <f>HYPERLINK("#'Input - Enterprise'!A1", "Enterprise")</f>
        <v>Enterprise</v>
      </c>
    </row>
    <row r="10" spans="1:11" ht="20" customHeight="1" x14ac:dyDescent="0.25">
      <c r="A10" s="5" t="str">
        <f>HYPERLINK("#'Input - Site'!A1", "Site")</f>
        <v>Site</v>
      </c>
    </row>
    <row r="11" spans="1:11" ht="20" customHeight="1" x14ac:dyDescent="0.25">
      <c r="A11" s="5" t="str">
        <f>HYPERLINK("#'Input - Pasture Beef'!A1", "Pasture Beef")</f>
        <v>Pasture Beef</v>
      </c>
      <c r="D11" s="77" t="s">
        <v>374</v>
      </c>
      <c r="E11" s="1" t="str" cm="1">
        <f t="array" ref="E11">Electricity_Equations.VEERG_14_1_1__1_LocationBasedScopeElectricityEmissions_Variable()</f>
        <v>E_2elec</v>
      </c>
    </row>
    <row r="12" spans="1:11" ht="20" customHeight="1" x14ac:dyDescent="0.25">
      <c r="A12" s="5" t="str">
        <f>HYPERLINK("#'Input - Livestock sales'!A1", "Livestock sales")</f>
        <v>Livestock sales</v>
      </c>
      <c r="D12" s="77" t="s">
        <v>121</v>
      </c>
      <c r="E12" s="9" t="str" cm="1">
        <f t="array" ref="E12">Electricity_Equations.VEERG_14_1_1__1_LocationBasedScopeElectricityEmissions_Unit()</f>
        <v>t CO2e</v>
      </c>
    </row>
    <row r="13" spans="1:11" ht="20" customHeight="1" x14ac:dyDescent="0.25">
      <c r="A13" s="5" t="str">
        <f>HYPERLINK("#'Input - Beef cattle purchases'!A1", "Beef cattle purchases")</f>
        <v>Beef cattle purchases</v>
      </c>
    </row>
    <row r="14" spans="1:11" ht="20" customHeight="1" x14ac:dyDescent="0.25">
      <c r="A14" s="5" t="str">
        <f>HYPERLINK("#'Input - Pasture'!A1", "Pasture")</f>
        <v>Pasture</v>
      </c>
      <c r="D14" s="105" t="str" cm="1">
        <f t="array" ref="D14:E16">_xlfn.CHOOSECOLS(Electricity_Equations.VEERG_14_1_1__1_LocationBasedScopeElectricityEmissions_Arguments(),1,2)</f>
        <v>Q_elec</v>
      </c>
      <c r="E14" s="106" t="str">
        <v>amount of electricity purchased from the grid</v>
      </c>
      <c r="F14" s="108"/>
      <c r="G14" s="105" t="str" cm="1">
        <f t="array" ref="G14:H16">_xlfn.CHOOSECOLS(Electricity_Equations.VEERG_14_1_1__1_LocationBasedScopeElectricityEmissions_Arguments(),3,4)</f>
        <v>kWh</v>
      </c>
      <c r="H14" s="109" t="str">
        <v>Input</v>
      </c>
      <c r="I14" s="106">
        <f>X_Cell_Electricity_Location_AmountPurchasedInkWh</f>
        <v>0</v>
      </c>
      <c r="J14" s="108"/>
    </row>
    <row r="15" spans="1:11" ht="20" customHeight="1" x14ac:dyDescent="0.25">
      <c r="A15" s="5" t="str">
        <f>HYPERLINK("#'Input - Fert Prod System'!A1", "Fert Prod System")</f>
        <v>Fert Prod System</v>
      </c>
      <c r="D15" s="105" t="str">
        <v>EF_2elec</v>
      </c>
      <c r="E15" s="106" t="str">
        <v>location-based Scope 2 emission factor for electricity</v>
      </c>
      <c r="F15" s="108"/>
      <c r="G15" s="105" t="str">
        <v>kg CO2e/kWh</v>
      </c>
      <c r="H15" s="110" t="str">
        <v>Constant</v>
      </c>
      <c r="I15" s="106" cm="1">
        <f t="array" ref="I15">Common_InputFunctions.Utility_LookupValueInTableNumber(I16,Table_SourceData_ElectricityEFs[State, Territory or grid description],Table_SourceData_ElectricityEFs[Scope 2 Emission Factors (kg CO2-e/kWh)])</f>
        <v>0</v>
      </c>
      <c r="J15" s="108"/>
    </row>
    <row r="16" spans="1:11" ht="20" customHeight="1" x14ac:dyDescent="0.25">
      <c r="A16" s="5" t="str">
        <f>HYPERLINK("#'Input - Fertiliser'!A1", "Fertiliser")</f>
        <v>Fertiliser</v>
      </c>
      <c r="D16" s="105" t="str">
        <v>g</v>
      </c>
      <c r="E16" s="106" t="str">
        <v>Grid electricity was purchased from</v>
      </c>
      <c r="F16" s="108"/>
      <c r="G16" s="105" t="str">
        <v/>
      </c>
      <c r="H16" s="109" t="str">
        <v>Input</v>
      </c>
      <c r="I16" s="106">
        <f>X_Cell_Electricity_Location_GridElectricityPurchasedFrom</f>
        <v>0</v>
      </c>
      <c r="J16" s="108"/>
    </row>
    <row r="17" spans="1:11" ht="20" customHeight="1" x14ac:dyDescent="0.25">
      <c r="A17" s="5" t="str">
        <f>HYPERLINK("#'Input - Fuel'!A1", "Fuel")</f>
        <v>Fuel</v>
      </c>
    </row>
    <row r="18" spans="1:11" ht="20" customHeight="1" x14ac:dyDescent="0.25">
      <c r="A18" s="5" t="str">
        <f>HYPERLINK("#'Input - Electricity'!A1", "Electricity")</f>
        <v>Electricity</v>
      </c>
      <c r="D18" s="90" t="s">
        <v>788</v>
      </c>
      <c r="E18" s="91" cm="1">
        <f t="array" ref="E18">Electricity_Equations.VEERG_14_1_1__1_LocationBasedScopeElectricityEmissions(I14,I15)</f>
        <v>0</v>
      </c>
      <c r="F18" s="95" t="str">
        <f>$E$12</f>
        <v>t CO2e</v>
      </c>
    </row>
    <row r="19" spans="1:11" ht="20" customHeight="1" x14ac:dyDescent="0.25">
      <c r="A19" s="5" t="str">
        <f>HYPERLINK("#'Input - Common farm inputs'!A1", "Common farm inputs")</f>
        <v>Common farm inputs</v>
      </c>
    </row>
    <row r="20" spans="1:11" ht="20" customHeight="1" x14ac:dyDescent="0.25">
      <c r="A20" s="5" t="str">
        <f>HYPERLINK("#'Input - Crop pasture farm input'!A1", "Crop pasture farm input")</f>
        <v>Crop pasture farm input</v>
      </c>
    </row>
    <row r="21" spans="1:11" ht="20" customHeight="1" x14ac:dyDescent="0.25">
      <c r="A21" s="5" t="str">
        <f>HYPERLINK("#'Input - Livestock farm Inputs'!A1", "Livestock farm Inputs")</f>
        <v>Livestock farm Inputs</v>
      </c>
      <c r="C21" s="87"/>
      <c r="D21" s="87"/>
      <c r="E21" s="87"/>
      <c r="F21" s="87"/>
      <c r="G21" s="87"/>
      <c r="H21" s="87"/>
      <c r="I21" s="87"/>
      <c r="J21" s="87"/>
      <c r="K21" s="87"/>
    </row>
    <row r="22" spans="1:11" ht="20" customHeight="1" x14ac:dyDescent="0.25">
      <c r="A22" s="5" t="str">
        <f>HYPERLINK("#'Input - Freight'!A1", "Freight")</f>
        <v>Freight</v>
      </c>
      <c r="D22" s="2" t="str" cm="1">
        <f t="array" ref="D22">Electricity_Equations.VEERG_14_1_2__1_MarketBasedScopeElectricityEmissions_Title()</f>
        <v>Market-based Scope 2 emissions from purchased electricity</v>
      </c>
    </row>
    <row r="23" spans="1:11" ht="20" customHeight="1" x14ac:dyDescent="0.25">
      <c r="A23" s="5" t="str">
        <f>HYPERLINK("#'Input - Solid waste'!A1", "Solid waste")</f>
        <v>Solid waste</v>
      </c>
      <c r="D23" s="17" t="str" cm="1">
        <f t="array" ref="D23">Electricity_Equations.VEERG_14_1_2__1_MarketBasedScopeElectricityEmissions_Source()</f>
        <v>VEERG 2026: 14.1.2, Equation (1)</v>
      </c>
    </row>
    <row r="24" spans="1:11" ht="20" customHeight="1" x14ac:dyDescent="0.25">
      <c r="A24" s="5" t="str">
        <f>HYPERLINK("#'Input - Manure sent off-site'!A1", "Manure sent off-site")</f>
        <v>Manure sent off-site</v>
      </c>
      <c r="D24" s="2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 customHeight="1" x14ac:dyDescent="0.25">
      <c r="A25" s="5" t="str">
        <f>HYPERLINK("#'Input - Data quality'!A1", "Data quality")</f>
        <v>Data quality</v>
      </c>
      <c r="D25" s="103" t="s">
        <v>372</v>
      </c>
      <c r="E25" s="103" t="str">
        <f ca="1">Common_InputFunctions.Utility_DisplayFunctionName(VEERG_14_1_2__1_MarketBasedScopeElectricityEmissionsVariation_Result_Method1)</f>
        <v>=Electricity_Equations.VEERG_14_1_2__1_MarketBasedScopeElectricityEmissionsVariation</v>
      </c>
    </row>
    <row r="26" spans="1:11" ht="20" customHeight="1" x14ac:dyDescent="0.25"/>
    <row r="27" spans="1:11" ht="20" customHeight="1" x14ac:dyDescent="0.25"/>
    <row r="28" spans="1:11" ht="20" customHeight="1" x14ac:dyDescent="0.25">
      <c r="A28" s="6" t="s">
        <v>2</v>
      </c>
      <c r="D28" s="77" t="s">
        <v>374</v>
      </c>
      <c r="E28" s="1" t="str" cm="1">
        <f t="array" ref="E28">Electricity_Equations.VEERG_14_1_2__1_MarketBasedScopeElectricityEmissions_Variable()</f>
        <v>E_2elec</v>
      </c>
    </row>
    <row r="29" spans="1:11" ht="20" customHeight="1" x14ac:dyDescent="0.25">
      <c r="A29" s="5" t="str">
        <f>HYPERLINK("#'3.2.1.1-2 Enteric Methane'!A1", "3.2.1.1-2 Enteric Methane")</f>
        <v>3.2.1.1-2 Enteric Methane</v>
      </c>
      <c r="D29" s="77" t="s">
        <v>121</v>
      </c>
      <c r="E29" s="9" t="str" cm="1">
        <f t="array" ref="E29">Electricity_Equations.VEERG_14_1_2__1_MarketBasedScopeElectricityEmissions_Unit()</f>
        <v>t CO2e</v>
      </c>
    </row>
    <row r="30" spans="1:11" ht="20" customHeight="1" x14ac:dyDescent="0.25">
      <c r="A30" s="5" t="str">
        <f>HYPERLINK("#'4.2.1.1-2 Methane'!A1", "4.2.1.1-2 Manure methane")</f>
        <v>4.2.1.1-2 Manure methane</v>
      </c>
    </row>
    <row r="31" spans="1:11" ht="20" customHeight="1" x14ac:dyDescent="0.25">
      <c r="A31" s="5" t="str">
        <f>HYPERLINK("#'4.2.1.3-4 Soil direct N20'!A1", "4.2.1.3-4 Soil direct N2O")</f>
        <v>4.2.1.3-4 Soil direct N2O</v>
      </c>
      <c r="D31" s="105" t="str" cm="1">
        <f t="array" ref="D31:E37">_xlfn.CHOOSECOLS(Electricity_Equations.VEERG_14_1_2__1_MarketBasedScopeElectricityEmissions_Arguments(),1,2)</f>
        <v>Q_elec</v>
      </c>
      <c r="E31" s="106" t="str">
        <v>amount of electricity purchased from the grid</v>
      </c>
      <c r="F31" s="107"/>
      <c r="G31" s="107"/>
      <c r="H31" s="105" t="str" cm="1">
        <f t="array" ref="H31:I37">_xlfn.CHOOSECOLS(Electricity_Equations.VEERG_14_1_2__1_MarketBasedScopeElectricityEmissions_Arguments(),3,4)</f>
        <v>kWh</v>
      </c>
      <c r="I31" s="109" t="str">
        <v>Input</v>
      </c>
      <c r="J31" s="105">
        <f>X_Cell_Electricity_Market_AmountPurchasedExcludingGreenPower</f>
        <v>0</v>
      </c>
    </row>
    <row r="32" spans="1:11" ht="20" customHeight="1" x14ac:dyDescent="0.25">
      <c r="A32" s="5" t="str">
        <f>HYPERLINK("#'4.2.1.5-6 Soil Atmos Dep'!A1", "4.2.1.5-6 Soil atm. deposition")</f>
        <v>4.2.1.5-6 Soil atm. deposition</v>
      </c>
      <c r="D32" s="105" t="str">
        <v>RPP</v>
      </c>
      <c r="E32" s="106" t="str">
        <v>Renewable Power Percentage under the Large-scale Renewable Energy Target (LRET)</v>
      </c>
      <c r="F32" s="107"/>
      <c r="G32" s="107"/>
      <c r="H32" s="105" t="str">
        <v>per cent</v>
      </c>
      <c r="I32" s="109" t="str">
        <v>Input</v>
      </c>
      <c r="J32" s="185">
        <f>X_Cell_Electricity_Market_RenewablePowerPercentage</f>
        <v>0</v>
      </c>
    </row>
    <row r="33" spans="1:10" ht="20" customHeight="1" x14ac:dyDescent="0.25">
      <c r="A33" s="5" t="str">
        <f>HYPERLINK("#'4.2.1.7-8 Soil leach runoff'!A1", "4.2.1.7-8 Soil leach &amp; runoff")</f>
        <v>4.2.1.7-8 Soil leach &amp; runoff</v>
      </c>
      <c r="D33" s="105" t="str">
        <v>JRPP</v>
      </c>
      <c r="E33" s="106" t="str">
        <v>jurisdictional renewable power percentage for the applicable period (ACT only)</v>
      </c>
      <c r="F33" s="107"/>
      <c r="G33" s="107"/>
      <c r="H33" s="105" t="str">
        <v>per cent</v>
      </c>
      <c r="I33" s="109" t="str">
        <v>Input</v>
      </c>
      <c r="J33" s="185" t="str">
        <f>IF(J37="ACT", X_Cell_Electricity_Market_JurisdictionalRenewablePowerPercentage, "N/A")</f>
        <v>N/A</v>
      </c>
    </row>
    <row r="34" spans="1:10" ht="20" customHeight="1" x14ac:dyDescent="0.25">
      <c r="A34" s="5" t="str">
        <f>HYPERLINK("#'5.1.1.1-2 Inorganic fert N2O'!A1", "5.1.1.1-2 Inorganic fert N2O")</f>
        <v>5.1.1.1-2 Inorganic fert N2O</v>
      </c>
      <c r="D34" s="105" t="str">
        <v>REC_surrendered</v>
      </c>
      <c r="E34" s="106" t="str">
        <v>Renewable Energy Certificates voluntarily surrendered in the reporting year</v>
      </c>
      <c r="F34" s="107"/>
      <c r="G34" s="107"/>
      <c r="H34" s="105" t="str">
        <v>MWh</v>
      </c>
      <c r="I34" s="109" t="str">
        <v>Input</v>
      </c>
      <c r="J34" s="105">
        <f>(X_Cell_Electricity_Market_AmountPurchasedGreenPower*10^-3)+X_Cell_TotalElegibleVoluntarilySurrenderedRECs</f>
        <v>0</v>
      </c>
    </row>
    <row r="35" spans="1:10" ht="20" customHeight="1" x14ac:dyDescent="0.25">
      <c r="A35" s="5" t="str">
        <f>HYPERLINK("#'5.1.1.3-4 Inorganic fert CO2'!A1", "5.1.1.3-4 Inorganic fert CO2")</f>
        <v>5.1.1.3-4 Inorganic fert CO2</v>
      </c>
      <c r="D35" s="105" t="str">
        <v>REC_onsite</v>
      </c>
      <c r="E35" s="106" t="str">
        <v>Renewable Energy Certificates issued for electricity produced on-site during the year and consumed by the entity</v>
      </c>
      <c r="F35" s="107"/>
      <c r="G35" s="107"/>
      <c r="H35" s="105" t="str">
        <v>MWh</v>
      </c>
      <c r="I35" s="109" t="str">
        <v>Input</v>
      </c>
      <c r="J35" s="105">
        <f>X_Cell_TotalElegibleRECsForElectricityProducedOnSite</f>
        <v>0</v>
      </c>
    </row>
    <row r="36" spans="1:10" ht="20" customHeight="1" x14ac:dyDescent="0.25">
      <c r="A36" s="5" t="str">
        <f>HYPERLINK("#'5.2.1.1-2 Organic Fert N2O'!A1", "5.2.1.1-2 Organic fert N2O")</f>
        <v>5.2.1.1-2 Organic fert N2O</v>
      </c>
      <c r="D36" s="105" t="str">
        <v>EF_RMF2elec</v>
      </c>
      <c r="E36" s="106" t="str">
        <v>Scope 2 residual mix emission factor for electricity</v>
      </c>
      <c r="F36" s="107"/>
      <c r="G36" s="107"/>
      <c r="H36" s="105" t="str">
        <v>kg CO2e/kWh</v>
      </c>
      <c r="I36" s="110" t="str">
        <v>Constant</v>
      </c>
      <c r="J36" s="105" cm="1">
        <f t="array" ref="J36">Table_SourceData_ElectricityEFsMarketBased[Scope 2 EF (kg CO2-e/kWh)]</f>
        <v>0.81</v>
      </c>
    </row>
    <row r="37" spans="1:10" ht="20" customHeight="1" x14ac:dyDescent="0.25">
      <c r="A37" s="5" t="str">
        <f>HYPERLINK("#'5.3.1.1-2 Lime CO2'!A1", "5.3.1.1-2 Lime CO2")</f>
        <v>5.3.1.1-2 Lime CO2</v>
      </c>
      <c r="D37" s="105" t="str">
        <v>i</v>
      </c>
      <c r="E37" s="106" t="str">
        <v>state</v>
      </c>
      <c r="F37" s="107"/>
      <c r="G37" s="108"/>
      <c r="H37" s="105" t="str">
        <v/>
      </c>
      <c r="I37" s="109" t="str">
        <v>Input</v>
      </c>
      <c r="J37" s="105">
        <f>X_Cell_Site_State</f>
        <v>0</v>
      </c>
    </row>
    <row r="38" spans="1:10" ht="20" customHeight="1" x14ac:dyDescent="0.25">
      <c r="A38" s="5" t="str">
        <f>HYPERLINK("#'5.4.1.1-4 Atmos deposition'!A1", "5.4.1.1-4 Atmos. deposition")</f>
        <v>5.4.1.1-4 Atmos. deposition</v>
      </c>
    </row>
    <row r="39" spans="1:10" ht="20" customHeight="1" x14ac:dyDescent="0.25">
      <c r="A39" s="5" t="str">
        <f>HYPERLINK("#'5.5.1.1-2 Leaching and runoff'!A1", "5.5.1.1-2 Leaching &amp; runoff")</f>
        <v>5.5.1.1-2 Leaching &amp; runoff</v>
      </c>
      <c r="D39" s="90" t="s">
        <v>788</v>
      </c>
      <c r="E39" s="91" cm="1">
        <f t="array" ref="E39">Electricity_Equations.VEERG_14_1_2__1_MarketBasedScopeElectricityEmissionsVariation(J31,J32,IF(ISNUMBER(J33), J33, 0),J34,J35,J36)</f>
        <v>0</v>
      </c>
      <c r="F39" s="95" t="str">
        <f>E29</f>
        <v>t CO2e</v>
      </c>
    </row>
    <row r="40" spans="1:10" ht="20" customHeight="1" x14ac:dyDescent="0.25">
      <c r="A40" s="5" t="str">
        <f>HYPERLINK("#'6.2.1.1-2 Pasture residue N2O'!A1", "6.2.1.1-2 Pasture residue N2O")</f>
        <v>6.2.1.1-2 Pasture residue N2O</v>
      </c>
      <c r="H40" s="1" t="s">
        <v>782</v>
      </c>
    </row>
    <row r="41" spans="1:10" ht="20" customHeight="1" x14ac:dyDescent="0.25">
      <c r="A41" s="5" t="str">
        <f>HYPERLINK("#'6.3.1.1-2 Leach runoff pasture'!A1", "6.3.1.1-2 Leach &amp; runoff (pasture)")</f>
        <v>6.3.1.1-2 Leach &amp; runoff (pasture)</v>
      </c>
    </row>
    <row r="42" spans="1:10" ht="20" customHeight="1" x14ac:dyDescent="0.25">
      <c r="A42" s="5" t="str">
        <f>HYPERLINK("#'8.1.1.1-2 Transport fuel'!A1", "8.1.1.1-2 Transport fuel")</f>
        <v>8.1.1.1-2 Transport fuel</v>
      </c>
    </row>
    <row r="43" spans="1:10" ht="20" customHeight="1" x14ac:dyDescent="0.25">
      <c r="A43" s="5" t="str">
        <f>HYPERLINK("#'8.2.1.1-2 Stationary fuel'!A1", "8.2.1.1-2 Stationary fuel")</f>
        <v>8.2.1.1-2 Stationary fuel</v>
      </c>
    </row>
    <row r="44" spans="1:10" ht="20" customHeight="1" x14ac:dyDescent="0.25">
      <c r="A44" s="5" t="str">
        <f>HYPERLINK("#'10.1.1-2 Solid waste treatment'!A1", "10.1.1.1-2 Solid waste")</f>
        <v>10.1.1.1-2 Solid waste</v>
      </c>
      <c r="E44" s="143"/>
    </row>
    <row r="45" spans="1:10" ht="20" customHeight="1" x14ac:dyDescent="0.25">
      <c r="A45" s="104" t="str">
        <f>HYPERLINK("#'14.1.1-2 Purchased electricity'!A1", "14.1.1-2 Purchased electricity")</f>
        <v>14.1.1-2 Purchased electricity</v>
      </c>
    </row>
    <row r="46" spans="1:10" ht="20" customHeight="1" x14ac:dyDescent="0.25">
      <c r="A46" s="5" t="str">
        <f>HYPERLINK("#'15 Scope 3'!A1", "15 Scope 3")</f>
        <v>15 Scope 3</v>
      </c>
    </row>
    <row r="47" spans="1:10" ht="20" customHeight="1" x14ac:dyDescent="0.25">
      <c r="A47" s="5" t="str">
        <f>HYPERLINK("#'Calcs - Manure sent off-site'!A1", "Calcs - Manure sent off-site")</f>
        <v>Calcs - Manure sent off-site</v>
      </c>
    </row>
    <row r="48" spans="1:10" ht="20" customHeight="1" x14ac:dyDescent="0.25"/>
    <row r="49" spans="1:1" ht="20" customHeight="1" x14ac:dyDescent="0.25"/>
    <row r="50" spans="1:1" ht="20" customHeight="1" x14ac:dyDescent="0.25">
      <c r="A50" s="85" t="s">
        <v>1</v>
      </c>
    </row>
    <row r="51" spans="1:1" ht="20" customHeight="1" x14ac:dyDescent="0.25">
      <c r="A51" s="5" t="str">
        <f>HYPERLINK("#'Constants - Pasture Beef'!A1", "Constants - Pasture Beef")</f>
        <v>Constants - Pasture Beef</v>
      </c>
    </row>
    <row r="52" spans="1:1" ht="20" customHeight="1" x14ac:dyDescent="0.25">
      <c r="A52" s="5" t="str">
        <f>HYPERLINK("#'Constants - Ag Residue'!A1", "Constants - Ag residue")</f>
        <v>Constants - Ag residue</v>
      </c>
    </row>
    <row r="53" spans="1:1" ht="20" customHeight="1" x14ac:dyDescent="0.25">
      <c r="A53" s="5" t="str">
        <f>HYPERLINK("#'Constants - Common Livestock'!A1", "Constants - Common Livestock")</f>
        <v>Constants - Common Livestock</v>
      </c>
    </row>
    <row r="54" spans="1:1" ht="20" customHeight="1" x14ac:dyDescent="0.25">
      <c r="A54" s="5" t="str">
        <f>HYPERLINK("#'Constants - Electricity'!A1", "Constants - Electricity")</f>
        <v>Constants - Electricity</v>
      </c>
    </row>
    <row r="55" spans="1:1" ht="20" customHeight="1" x14ac:dyDescent="0.25">
      <c r="A55" s="5" t="str">
        <f>HYPERLINK("#'Constants - Fertiliser'!A1", "Constants - Fertiliser")</f>
        <v>Constants - Fertiliser</v>
      </c>
    </row>
    <row r="56" spans="1:1" ht="20" customHeight="1" x14ac:dyDescent="0.25">
      <c r="A56" s="5" t="str">
        <f>HYPERLINK("#'Constants - Fuel'!A1", "Constants - Fuel")</f>
        <v>Constants - Fuel</v>
      </c>
    </row>
    <row r="57" spans="1:1" ht="20" customHeight="1" x14ac:dyDescent="0.25">
      <c r="A57" s="5" t="str">
        <f>HYPERLINK("#'Constants - Scope 3'!A1", "Constants - Scope 3")</f>
        <v>Constants - Scope 3</v>
      </c>
    </row>
    <row r="58" spans="1:1" ht="20" customHeight="1" x14ac:dyDescent="0.25">
      <c r="A58" s="5" t="str">
        <f>HYPERLINK("#'Constants - Solid Waste'!A1", "Constants - Solid Waste")</f>
        <v>Constants - Solid Waste</v>
      </c>
    </row>
    <row r="59" spans="1:1" ht="20" customHeight="1" x14ac:dyDescent="0.25">
      <c r="A59" s="5" t="str">
        <f>HYPERLINK("#'Constants - Common'!A1", "Constants - Common")</f>
        <v>Constants - Common</v>
      </c>
    </row>
    <row r="60" spans="1:1" ht="20" customHeight="1" x14ac:dyDescent="0.25">
      <c r="A60" s="5" t="str">
        <f>HYPERLINK("#'Acknowledgements'!A1", "Acknowledgements")</f>
        <v>Acknowledgements</v>
      </c>
    </row>
    <row r="61" spans="1:1" ht="20" customHeight="1" x14ac:dyDescent="0.25"/>
    <row r="62" spans="1:1" ht="20" customHeight="1" x14ac:dyDescent="0.25"/>
    <row r="63" spans="1:1" ht="20" customHeight="1" x14ac:dyDescent="0.25"/>
    <row r="64" spans="1:1"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8"/>
    </row>
    <row r="342" spans="8:8" x14ac:dyDescent="0.25" ht="20" customHeight="1">
      <c r="H342" s="8"/>
    </row>
  </sheetData>
  <dataValidations count="1">
    <dataValidation operator="equal" allowBlank="1" showInputMessage="1" showErrorMessage="1" sqref="E269 E228 G132 I129:I133 F134:I134 F129:F132 H128:H132 G129 F148:I148 I149 F150:I150" xr:uid="{922A659E-CCB9-448F-AFD0-721AA201B401}"/>
  </dataValidation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AFEC-1D33-479F-9E3C-F5D7FB80AECF}">
  <sheetPr>
    <tabColor theme="9" tint="-0.249977111117893"/>
  </sheetPr>
  <dimension ref="A1:AO657"/>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style="239" customWidth="1"/>
    <col min="2" max="2" width="5.28515625" style="239" customWidth="1"/>
    <col min="3" max="3" width="5.28515625" style="1" customWidth="1"/>
    <col min="4" max="40" width="35" style="1" customWidth="1"/>
    <col min="41" max="41" width="5.28515625" style="1" customWidth="1"/>
    <col min="42" max="16384" width="9.140625" style="239"/>
  </cols>
  <sheetData>
    <row r="1" spans="1:41" s="21" customFormat="1" ht="30" customHeight="1" x14ac:dyDescent="0.35">
      <c r="A1" s="10" t="e" vm="1">
        <v>#VALUE!</v>
      </c>
      <c r="C1" s="21" t="s">
        <v>1060</v>
      </c>
    </row>
    <row r="2" spans="1:41" s="3" customFormat="1" ht="20" customHeight="1" x14ac:dyDescent="0.25">
      <c r="A2"/>
    </row>
    <row r="3" spans="1:41" ht="20"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row>
    <row r="4" spans="1:41" ht="20" customHeight="1" x14ac:dyDescent="0.25">
      <c r="A4" s="5" t="str">
        <f>HYPERLINK("#'Results - Activity period'!A1", "Results - Activity period")</f>
        <v>Results - Activity period</v>
      </c>
    </row>
    <row r="5" spans="1:41" ht="20" customHeight="1" x14ac:dyDescent="0.25">
      <c r="A5" s="5" t="str">
        <f>HYPERLINK("#'Results - Product EI'!A1", "Results - Product Emissions Intensity")</f>
        <v>Results - Product Emissions Intensity</v>
      </c>
      <c r="D5" s="2" t="str" cm="1">
        <f t="array" ref="D5">Scope3_Equations.VEERG_15_1_1_1__1_EmissionsFromPurchasedLivestock_Title()</f>
        <v>Total emissions from purchased livestock</v>
      </c>
    </row>
    <row r="6" spans="1:41" ht="20" customHeight="1" x14ac:dyDescent="0.25">
      <c r="A6"/>
      <c r="D6" s="17" t="str" cm="1">
        <f t="array" ref="D6">Scope3_Equations.VEERG_15_1_1_1__1_EmissionsFromPurchasedLivestock_Source()</f>
        <v>VEERG 2026: 15.1.1.1, Equation (1)</v>
      </c>
    </row>
    <row r="7" spans="1:41" ht="20" customHeight="1" x14ac:dyDescent="0.25">
      <c r="A7"/>
      <c r="D7" s="103" t="s">
        <v>372</v>
      </c>
      <c r="E7" s="103" t="str" cm="1">
        <f t="array" aca="1" ref="E7" ca="1">Common_InputFunctions.Utility_DisplayFunctionName(J23)</f>
        <v>=Scope3_Equations.VEERG_15_1_1_1__1_EmissionsFromPurchasedLivestock</v>
      </c>
    </row>
    <row r="8" spans="1:41" ht="20" customHeight="1" x14ac:dyDescent="0.25">
      <c r="A8" s="7" t="s">
        <v>0</v>
      </c>
    </row>
    <row r="9" spans="1:41" ht="20" customHeight="1" x14ac:dyDescent="0.25">
      <c r="A9" s="5" t="str">
        <f>HYPERLINK("#'Input - Enterprise'!A1", "Enterprise")</f>
        <v>Enterprise</v>
      </c>
      <c r="H9" s="103"/>
    </row>
    <row r="10" spans="1:41" ht="20" customHeight="1" x14ac:dyDescent="0.25">
      <c r="A10" s="5" t="str">
        <f>HYPERLINK("#'Input - Site'!A1", "Site")</f>
        <v>Site</v>
      </c>
      <c r="D10" s="77" t="s">
        <v>374</v>
      </c>
      <c r="E10" s="1" t="str" cm="1">
        <f t="array" ref="E10">Scope3_Equations.VEERG_15_1_1_1__1_EmissionsFromPurchasedLivestock_Variable()</f>
        <v>E</v>
      </c>
    </row>
    <row r="11" spans="1:41" ht="20" customHeight="1" x14ac:dyDescent="0.25">
      <c r="A11" s="5" t="str">
        <f>HYPERLINK("#'Input - Pasture Beef'!A1", "Pasture Beef")</f>
        <v>Pasture Beef</v>
      </c>
      <c r="D11" s="77" t="s">
        <v>121</v>
      </c>
      <c r="E11" s="9" t="str" cm="1">
        <f t="array" ref="E11">Scope3_Equations.VEERG_15_1_1_1__1_EmissionsFromPurchasedLivestock_Unit()</f>
        <v>t CO2e</v>
      </c>
    </row>
    <row r="12" spans="1:41" ht="20" customHeight="1" x14ac:dyDescent="0.25">
      <c r="A12" s="5" t="str">
        <f>HYPERLINK("#'Input - Livestock sales'!A1", "Livestock sales")</f>
        <v>Livestock sales</v>
      </c>
    </row>
    <row r="13" spans="1:41" ht="20" customHeight="1" x14ac:dyDescent="0.25">
      <c r="A13" s="5" t="str">
        <f>HYPERLINK("#'Input - Beef cattle purchases'!A1", "Beef cattle purchases")</f>
        <v>Beef cattle purchases</v>
      </c>
      <c r="D13" s="105" t="str" cm="1">
        <f t="array" ref="D13:E17">_xlfn.CHOOSECOLS(Scope3_Equations.VEERG_15_1_1_1__1_EmissionsFromPurchasedLivestock_Arguments(),1,2)</f>
        <v>N_co</v>
      </c>
      <c r="E13" s="106" t="str">
        <v>number of animals purchased in livestock type c from origin o</v>
      </c>
      <c r="F13" s="108"/>
      <c r="G13" s="105" t="str" cm="1">
        <f t="array" ref="G13:H17">_xlfn.CHOOSECOLS(Scope3_Equations.VEERG_15_1_1_1__1_EmissionsFromPurchasedLivestock_Arguments(),3,4)</f>
        <v>head</v>
      </c>
      <c r="H13" s="255" t="str">
        <v>Input</v>
      </c>
    </row>
    <row r="14" spans="1:41" ht="20" customHeight="1" x14ac:dyDescent="0.25">
      <c r="A14" s="5" t="str">
        <f>HYPERLINK("#'Input - Pasture'!A1", "Pasture")</f>
        <v>Pasture</v>
      </c>
      <c r="D14" s="105" t="str">
        <v>W_co</v>
      </c>
      <c r="E14" s="106" t="str">
        <v>average liveweight of purchased livestock at point of purchase</v>
      </c>
      <c r="F14" s="108"/>
      <c r="G14" s="105" t="str">
        <v>kg/head</v>
      </c>
      <c r="H14" s="255" t="str">
        <v>Input</v>
      </c>
    </row>
    <row r="15" spans="1:41" ht="20" customHeight="1" x14ac:dyDescent="0.25">
      <c r="A15" s="5" t="str">
        <f>HYPERLINK("#'Input - Fert Prod System'!A1", "Fert Prod System")</f>
        <v>Fert Prod System</v>
      </c>
      <c r="D15" s="105" t="str">
        <v>EF_co</v>
      </c>
      <c r="E15" s="106" t="str">
        <v>emission factor per livestock type and origin</v>
      </c>
      <c r="F15" s="108"/>
      <c r="G15" s="105" t="str">
        <v>kg CO2e/kg</v>
      </c>
      <c r="H15" s="110" t="str">
        <v>Constant</v>
      </c>
    </row>
    <row r="16" spans="1:41" ht="20" customHeight="1" x14ac:dyDescent="0.25">
      <c r="A16" s="5" t="str">
        <f>HYPERLINK("#'Input - Fertiliser'!A1", "Fertiliser")</f>
        <v>Fertiliser</v>
      </c>
      <c r="D16" s="105" t="str">
        <v>c</v>
      </c>
      <c r="E16" s="106" t="str">
        <v>livestock type</v>
      </c>
      <c r="F16" s="108"/>
      <c r="G16" s="105" t="str">
        <v/>
      </c>
      <c r="H16" s="255" t="str">
        <v>Input</v>
      </c>
    </row>
    <row r="17" spans="1:16" ht="20" customHeight="1" x14ac:dyDescent="0.25">
      <c r="A17" s="5" t="str">
        <f>HYPERLINK("#'Input - Fuel'!A1", "Fuel")</f>
        <v>Fuel</v>
      </c>
      <c r="D17" s="105" t="str">
        <v>o</v>
      </c>
      <c r="E17" s="106" t="str">
        <v>origin</v>
      </c>
      <c r="F17" s="108"/>
      <c r="G17" s="105" t="str">
        <v/>
      </c>
      <c r="H17" s="255" t="str">
        <v>Input</v>
      </c>
    </row>
    <row r="18" spans="1:16" ht="20" customHeight="1" x14ac:dyDescent="0.25">
      <c r="A18" s="5" t="str">
        <f>HYPERLINK("#'Input - Electricity'!A1", "Electricity")</f>
        <v>Electricity</v>
      </c>
    </row>
    <row r="19" spans="1:16" ht="20" customHeight="1" x14ac:dyDescent="0.25">
      <c r="A19" s="5" t="str">
        <f>HYPERLINK("#'Input - Common farm inputs'!A1", "Common farm inputs")</f>
        <v>Common farm inputs</v>
      </c>
      <c r="D19" s="36" t="s">
        <v>1061</v>
      </c>
      <c r="E19" s="38"/>
      <c r="F19" s="39"/>
    </row>
    <row r="20" spans="1:16" ht="20" customHeight="1" x14ac:dyDescent="0.25">
      <c r="A20" s="5" t="str">
        <f>HYPERLINK("#'Input - Crop pasture farm input'!A1", "Crop pasture farm input")</f>
        <v>Crop pasture farm input</v>
      </c>
    </row>
    <row r="21" spans="1:16" ht="20" customHeight="1" x14ac:dyDescent="0.25">
      <c r="A21" s="5" t="str">
        <f>HYPERLINK("#'Input - Livestock farm Inputs'!A1", "Livestock farm Inputs")</f>
        <v>Livestock farm Inputs</v>
      </c>
      <c r="D21" s="243" t="s">
        <v>1062</v>
      </c>
    </row>
    <row r="22" spans="1:16" ht="20" customHeight="1" x14ac:dyDescent="0.25">
      <c r="A22" s="5" t="str">
        <f>HYPERLINK("#'Input - Freight'!A1", "Freight")</f>
        <v>Freight</v>
      </c>
      <c r="D22" s="82" t="s">
        <v>1063</v>
      </c>
      <c r="E22" s="256" t="s">
        <v>1064</v>
      </c>
      <c r="F22" s="256" t="s">
        <v>1065</v>
      </c>
      <c r="G22" s="256" t="s">
        <v>1066</v>
      </c>
      <c r="H22" s="256" t="s">
        <v>1067</v>
      </c>
      <c r="I22" s="114" t="s">
        <v>1068</v>
      </c>
      <c r="J22" s="114" t="s">
        <v>1069</v>
      </c>
      <c r="K22" s="256" t="s">
        <v>1070</v>
      </c>
      <c r="L22" s="82" t="s">
        <v>1071</v>
      </c>
      <c r="M22" s="114" t="s">
        <v>1072</v>
      </c>
      <c r="N22" s="82" t="s">
        <v>1073</v>
      </c>
      <c r="O22" s="82" t="s">
        <v>1074</v>
      </c>
      <c r="P22" s="82" t="s">
        <v>1075</v>
      </c>
    </row>
    <row r="23" spans="1:16" ht="20" customHeight="1" x14ac:dyDescent="0.25">
      <c r="A23" s="5" t="str">
        <f>HYPERLINK("#'Input - Solid waste'!A1", "Solid waste")</f>
        <v>Solid waste</v>
      </c>
      <c r="D23" s="15" cm="1">
        <f t="array" ref="D23:D32">IFERROR(INDEX(Table_Input_LivestockPurchases_Beefcattle[Transaction name], _xlfn.SEQUENCE(10)), "")</f>
        <v>0</v>
      </c>
      <c r="E23" s="15" cm="1">
        <f t="array" ref="E23:E32">IFERROR(INDEX(Table_Input_LivestockPurchases_Beefcattle[Purchase class (select)], _xlfn.SEQUENCE(10)), "")</f>
        <v>0</v>
      </c>
      <c r="F23" s="15" t="str" cm="1">
        <f t="array" ref="F23:F32">IFERROR(_xlfn.XLOOKUP(INDEX(Table_Input_LivestockPurchases_Beefcattle[Source region (Select)], _xlfn.SEQUENCE(10)), Table_ProductRegions_Beefcattle[Region],Table_ProductRegions_Beefcattle[Scope3 region]), "")</f>
        <v/>
      </c>
      <c r="G23" s="15" cm="1">
        <f t="array" ref="G23:G32">IFERROR(INDEX(Table_Input_LivestockPurchases_Beefcattle[Quantity (head)], _xlfn.SEQUENCE(10)), "")</f>
        <v>0</v>
      </c>
      <c r="H23" s="15" cm="1">
        <f t="array" ref="H23:H32">IFERROR(INDEX(Table_Input_LivestockPurchases_Beefcattle[Liveweight (kg/head) Method 1], _xlfn.SEQUENCE(10)), 0)</f>
        <v>0</v>
      </c>
      <c r="I23" s="15">
        <v>20.8</v>
      </c>
      <c r="J23" s="257" cm="1">
        <f t="array" ref="J23">Scope3_Equations.VEERG_15_1_1_1__1_EmissionsFromPurchasedLivestock(G23,H23,I23)</f>
        <v>0</v>
      </c>
      <c r="K23" s="15" cm="1">
        <f t="array" ref="K23:K32">IFERROR(INDEX(Table_Input_LivestockPurchases_Beefcattle[Liveweight (kg/head) Method 2], _xlfn.SEQUENCE(10)), "")</f>
        <v>0</v>
      </c>
      <c r="L23" s="76">
        <v>20</v>
      </c>
      <c r="M23" s="257" cm="1">
        <f t="array" ref="M23">Scope3_Equations.VEERG_15_1_1_1__1_EmissionsFromPurchasedLivestock(G23,K23,IF(L23, L23, I23))</f>
        <v>0</v>
      </c>
      <c r="N23" s="34" t="s">
        <v>1076</v>
      </c>
      <c r="O23" s="13" t="s">
        <v>1077</v>
      </c>
      <c r="P23" s="239" t="s">
        <v>1078</v>
      </c>
    </row>
    <row r="24" spans="1:16" ht="20" customHeight="1" x14ac:dyDescent="0.25">
      <c r="A24" s="5" t="str">
        <f>HYPERLINK("#'Input - Manure sent off-site'!A1", "Manure sent off-site")</f>
        <v>Manure sent off-site</v>
      </c>
      <c r="D24" s="15">
        <v>0</v>
      </c>
      <c r="E24" s="15">
        <v>0</v>
      </c>
      <c r="F24" s="15" t="str">
        <v/>
      </c>
      <c r="G24" s="15">
        <v>0</v>
      </c>
      <c r="H24" s="15">
        <v>0</v>
      </c>
      <c r="I24" s="15">
        <v>13.1</v>
      </c>
      <c r="J24" s="257" cm="1">
        <f t="array" ref="J24">Scope3_Equations.VEERG_15_1_1_1__1_EmissionsFromPurchasedLivestock(G24,H24,I24)</f>
        <v>0</v>
      </c>
      <c r="K24" s="15">
        <v>0</v>
      </c>
      <c r="L24" s="76">
        <v>13</v>
      </c>
      <c r="M24" s="257" cm="1">
        <f t="array" ref="M24">Scope3_Equations.VEERG_15_1_1_1__1_EmissionsFromPurchasedLivestock(G24,K24,IF(L24, L24, I24))</f>
        <v>0</v>
      </c>
      <c r="N24" s="34"/>
      <c r="O24" s="13"/>
      <c r="P24" s="34"/>
    </row>
    <row r="25" spans="1:16" ht="20" customHeight="1" x14ac:dyDescent="0.25">
      <c r="A25" s="5" t="str">
        <f>HYPERLINK("#'Input - Data quality'!A1", "Data quality")</f>
        <v>Data quality</v>
      </c>
      <c r="D25" s="15">
        <v>0</v>
      </c>
      <c r="E25" s="15">
        <v>0</v>
      </c>
      <c r="F25" s="15" t="str">
        <v/>
      </c>
      <c r="G25" s="15">
        <v>0</v>
      </c>
      <c r="H25" s="15">
        <v>0</v>
      </c>
      <c r="I25" s="15">
        <v>0</v>
      </c>
      <c r="J25" s="257" cm="1">
        <f t="array" ref="J25">Scope3_Equations.VEERG_15_1_1_1__1_EmissionsFromPurchasedLivestock(G25,H25,I25)</f>
        <v>0</v>
      </c>
      <c r="K25" s="15">
        <v>0</v>
      </c>
      <c r="L25" s="76"/>
      <c r="M25" s="257" cm="1">
        <f t="array" ref="M25">Scope3_Equations.VEERG_15_1_1_1__1_EmissionsFromPurchasedLivestock(G25,K25,IF(L25, L25, I25))</f>
        <v>0</v>
      </c>
      <c r="N25" s="34"/>
      <c r="O25" s="13"/>
      <c r="P25" s="34"/>
    </row>
    <row r="26" spans="1:16" ht="20" customHeight="1" x14ac:dyDescent="0.25">
      <c r="A26"/>
      <c r="D26" s="15">
        <v>0</v>
      </c>
      <c r="E26" s="15">
        <v>0</v>
      </c>
      <c r="F26" s="15" t="str">
        <v/>
      </c>
      <c r="G26" s="15">
        <v>0</v>
      </c>
      <c r="H26" s="15">
        <v>0</v>
      </c>
      <c r="I26" s="15">
        <v>0</v>
      </c>
      <c r="J26" s="257" cm="1">
        <f t="array" ref="J26">Scope3_Equations.VEERG_15_1_1_1__1_EmissionsFromPurchasedLivestock(G26,H26,I26)</f>
        <v>0</v>
      </c>
      <c r="K26" s="15">
        <v>0</v>
      </c>
      <c r="L26" s="76"/>
      <c r="M26" s="257" cm="1">
        <f t="array" ref="M26">Scope3_Equations.VEERG_15_1_1_1__1_EmissionsFromPurchasedLivestock(G26,K26,IF(L26, L26, I26))</f>
        <v>0</v>
      </c>
      <c r="N26" s="34"/>
      <c r="O26" s="13"/>
      <c r="P26" s="34"/>
    </row>
    <row r="27" spans="1:16" ht="20" customHeight="1" x14ac:dyDescent="0.25">
      <c r="A27"/>
      <c r="D27" s="15">
        <v>0</v>
      </c>
      <c r="E27" s="15">
        <v>0</v>
      </c>
      <c r="F27" s="15" t="str">
        <v/>
      </c>
      <c r="G27" s="15">
        <v>0</v>
      </c>
      <c r="H27" s="15">
        <v>0</v>
      </c>
      <c r="I27" s="15">
        <v>0</v>
      </c>
      <c r="J27" s="257" cm="1">
        <f t="array" ref="J27">Scope3_Equations.VEERG_15_1_1_1__1_EmissionsFromPurchasedLivestock(G27,H27,I27)</f>
        <v>0</v>
      </c>
      <c r="K27" s="15">
        <v>0</v>
      </c>
      <c r="L27" s="76"/>
      <c r="M27" s="257" cm="1">
        <f t="array" ref="M27">Scope3_Equations.VEERG_15_1_1_1__1_EmissionsFromPurchasedLivestock(G27,K27,IF(L27, L27, I27))</f>
        <v>0</v>
      </c>
      <c r="N27" s="34"/>
      <c r="O27" s="13"/>
      <c r="P27" s="34"/>
    </row>
    <row r="28" spans="1:16" ht="20" customHeight="1" x14ac:dyDescent="0.25">
      <c r="A28" s="6" t="s">
        <v>2</v>
      </c>
      <c r="D28" s="15">
        <v>0</v>
      </c>
      <c r="E28" s="15">
        <v>0</v>
      </c>
      <c r="F28" s="15" t="str">
        <v/>
      </c>
      <c r="G28" s="15">
        <v>0</v>
      </c>
      <c r="H28" s="15">
        <v>0</v>
      </c>
      <c r="I28" s="15">
        <v>0</v>
      </c>
      <c r="J28" s="257" cm="1">
        <f t="array" ref="J28">Scope3_Equations.VEERG_15_1_1_1__1_EmissionsFromPurchasedLivestock(G28,H28,I28)</f>
        <v>0</v>
      </c>
      <c r="K28" s="15">
        <v>0</v>
      </c>
      <c r="L28" s="76"/>
      <c r="M28" s="257" cm="1">
        <f t="array" ref="M28">Scope3_Equations.VEERG_15_1_1_1__1_EmissionsFromPurchasedLivestock(G28,K28,IF(L28, L28, I28))</f>
        <v>0</v>
      </c>
      <c r="N28" s="34"/>
      <c r="O28" s="13"/>
      <c r="P28" s="34"/>
    </row>
    <row r="29" spans="1:16" ht="20" customHeight="1" x14ac:dyDescent="0.25">
      <c r="A29" s="5" t="str">
        <f>HYPERLINK("#'3.2.1.1-2 Enteric Methane'!A1", "3.2.1.1-2 Enteric Methane")</f>
        <v>3.2.1.1-2 Enteric Methane</v>
      </c>
      <c r="D29" s="15">
        <v>0</v>
      </c>
      <c r="E29" s="15">
        <v>0</v>
      </c>
      <c r="F29" s="15" t="str">
        <v/>
      </c>
      <c r="G29" s="15">
        <v>0</v>
      </c>
      <c r="H29" s="15">
        <v>0</v>
      </c>
      <c r="I29" s="15">
        <v>0</v>
      </c>
      <c r="J29" s="257" cm="1">
        <f t="array" ref="J29">Scope3_Equations.VEERG_15_1_1_1__1_EmissionsFromPurchasedLivestock(G29,H29,I29)</f>
        <v>0</v>
      </c>
      <c r="K29" s="15">
        <v>0</v>
      </c>
      <c r="L29" s="76"/>
      <c r="M29" s="257" cm="1">
        <f t="array" ref="M29">Scope3_Equations.VEERG_15_1_1_1__1_EmissionsFromPurchasedLivestock(G29,K29,IF(L29, L29, I29))</f>
        <v>0</v>
      </c>
      <c r="N29" s="34"/>
      <c r="O29" s="13"/>
      <c r="P29" s="34"/>
    </row>
    <row r="30" spans="1:16" ht="20" customHeight="1" x14ac:dyDescent="0.25">
      <c r="A30" s="5" t="str">
        <f>HYPERLINK("#'4.2.1.1-2 Methane'!A1", "4.2.1.1-2 Manure methane")</f>
        <v>4.2.1.1-2 Manure methane</v>
      </c>
      <c r="D30" s="15">
        <v>0</v>
      </c>
      <c r="E30" s="15">
        <v>0</v>
      </c>
      <c r="F30" s="15" t="str">
        <v/>
      </c>
      <c r="G30" s="15">
        <v>0</v>
      </c>
      <c r="H30" s="15">
        <v>0</v>
      </c>
      <c r="I30" s="15">
        <v>0</v>
      </c>
      <c r="J30" s="257" cm="1">
        <f t="array" ref="J30">Scope3_Equations.VEERG_15_1_1_1__1_EmissionsFromPurchasedLivestock(G30,H30,I30)</f>
        <v>0</v>
      </c>
      <c r="K30" s="15">
        <v>0</v>
      </c>
      <c r="L30" s="76"/>
      <c r="M30" s="257" cm="1">
        <f t="array" ref="M30">Scope3_Equations.VEERG_15_1_1_1__1_EmissionsFromPurchasedLivestock(G30,K30,IF(L30, L30, I30))</f>
        <v>0</v>
      </c>
      <c r="N30" s="34"/>
      <c r="O30" s="13"/>
      <c r="P30" s="34"/>
    </row>
    <row r="31" spans="1:16" ht="20" customHeight="1" x14ac:dyDescent="0.25">
      <c r="A31" s="5" t="str">
        <f>HYPERLINK("#'4.2.1.3-4 Soil direct N20'!A1", "4.2.1.3-4 Soil direct N2O")</f>
        <v>4.2.1.3-4 Soil direct N2O</v>
      </c>
      <c r="D31" s="15">
        <v>0</v>
      </c>
      <c r="E31" s="15">
        <v>0</v>
      </c>
      <c r="F31" s="15" t="str">
        <v/>
      </c>
      <c r="G31" s="15">
        <v>0</v>
      </c>
      <c r="H31" s="15">
        <v>0</v>
      </c>
      <c r="I31" s="15">
        <v>0</v>
      </c>
      <c r="J31" s="257" cm="1">
        <f t="array" ref="J31">Scope3_Equations.VEERG_15_1_1_1__1_EmissionsFromPurchasedLivestock(G31,H31,I31)</f>
        <v>0</v>
      </c>
      <c r="K31" s="15">
        <v>0</v>
      </c>
      <c r="L31" s="76"/>
      <c r="M31" s="257" cm="1">
        <f t="array" ref="M31">Scope3_Equations.VEERG_15_1_1_1__1_EmissionsFromPurchasedLivestock(G31,K31,IF(L31, L31, I31))</f>
        <v>0</v>
      </c>
      <c r="N31" s="34"/>
      <c r="O31" s="13"/>
      <c r="P31" s="34"/>
    </row>
    <row r="32" spans="1:16" ht="20" customHeight="1" x14ac:dyDescent="0.25">
      <c r="A32" s="5" t="str">
        <f>HYPERLINK("#'4.2.1.5-6 Soil Atmos Dep'!A1", "4.2.1.5-6 Soil atm. deposition")</f>
        <v>4.2.1.5-6 Soil atm. deposition</v>
      </c>
      <c r="D32" s="15">
        <v>0</v>
      </c>
      <c r="E32" s="15">
        <v>0</v>
      </c>
      <c r="F32" s="15" t="str">
        <v/>
      </c>
      <c r="G32" s="15">
        <v>0</v>
      </c>
      <c r="H32" s="15">
        <v>0</v>
      </c>
      <c r="I32" s="15">
        <v>0</v>
      </c>
      <c r="J32" s="257" cm="1">
        <f t="array" ref="J32">Scope3_Equations.VEERG_15_1_1_1__1_EmissionsFromPurchasedLivestock(G32,H32,I32)</f>
        <v>0</v>
      </c>
      <c r="K32" s="15">
        <v>0</v>
      </c>
      <c r="L32" s="76"/>
      <c r="M32" s="257" cm="1">
        <f t="array" ref="M32">Scope3_Equations.VEERG_15_1_1_1__1_EmissionsFromPurchasedLivestock(G32,K32,IF(L32, L32, I32))</f>
        <v>0</v>
      </c>
      <c r="N32" s="34"/>
      <c r="O32" s="13"/>
      <c r="P32" s="34"/>
    </row>
    <row r="33" spans="1:13" ht="20" customHeight="1" x14ac:dyDescent="0.25">
      <c r="A33" s="5" t="str">
        <f>HYPERLINK("#'4.2.1.7-8 Soil leach runoff'!A1", "4.2.1.7-8 Soil leach &amp; runoff")</f>
        <v>4.2.1.7-8 Soil leach &amp; runoff</v>
      </c>
    </row>
    <row r="34" spans="1:13" ht="20" customHeight="1" x14ac:dyDescent="0.25">
      <c r="A34" s="5" t="str">
        <f>HYPERLINK("#'5.1.1.1-2 Inorganic fert N2O'!A1", "5.1.1.1-2 Inorganic fert N2O")</f>
        <v>5.1.1.1-2 Inorganic fert N2O</v>
      </c>
      <c r="D34" s="93" t="s">
        <v>1079</v>
      </c>
      <c r="E34" s="87">
        <f>SUM(J23:J32)</f>
        <v>0</v>
      </c>
      <c r="F34" s="94" t="str">
        <f>$E$11</f>
        <v>t CO2e</v>
      </c>
    </row>
    <row r="35" spans="1:13" ht="20" customHeight="1" x14ac:dyDescent="0.25">
      <c r="A35" s="5" t="str">
        <f>HYPERLINK("#'5.1.1.3-4 Inorganic fert CO2'!A1", "5.1.1.3-4 Inorganic fert CO2")</f>
        <v>5.1.1.3-4 Inorganic fert CO2</v>
      </c>
      <c r="D35" s="93" t="s">
        <v>1080</v>
      </c>
      <c r="E35" s="87">
        <f>SUM(M23:M32)</f>
        <v>0</v>
      </c>
      <c r="F35" s="94" t="str">
        <f>$E$11</f>
        <v>t CO2e</v>
      </c>
    </row>
    <row r="36" spans="1:13" ht="20" customHeight="1" x14ac:dyDescent="0.25">
      <c r="A36" s="5" t="str">
        <f>HYPERLINK("#'5.2.1.1-2 Organic Fert N2O'!A1", "5.2.1.1-2 Organic fert N2O")</f>
        <v>5.2.1.1-2 Organic fert N2O</v>
      </c>
    </row>
    <row r="37" spans="1:13" ht="20" customHeight="1" x14ac:dyDescent="0.25">
      <c r="A37" s="5" t="str">
        <f>HYPERLINK("#'5.3.1.1-2 Lime CO2'!A1", "5.3.1.1-2 Lime CO2")</f>
        <v>5.3.1.1-2 Lime CO2</v>
      </c>
    </row>
    <row r="38" spans="1:13" ht="20" customHeight="1" x14ac:dyDescent="0.25">
      <c r="A38" s="5" t="str">
        <f>HYPERLINK("#'5.4.1.1-4 Atmos deposition'!A1", "5.4.1.1-4 Atmos. deposition")</f>
        <v>5.4.1.1-4 Atmos. deposition</v>
      </c>
      <c r="D38" s="243" t="s">
        <v>1081</v>
      </c>
    </row>
    <row r="39" spans="1:13" ht="20" customHeight="1" x14ac:dyDescent="0.25">
      <c r="A39" s="5" t="str">
        <f>HYPERLINK("#'5.5.1.1-2 Leaching and runoff'!A1", "5.5.1.1-2 Leaching &amp; runoff")</f>
        <v>5.5.1.1-2 Leaching &amp; runoff</v>
      </c>
      <c r="D39" s="105" t="s">
        <v>1082</v>
      </c>
      <c r="E39" s="15">
        <v>4.41</v>
      </c>
    </row>
    <row r="40" spans="1:13" ht="20" customHeight="1" x14ac:dyDescent="0.25">
      <c r="A40" s="5" t="str">
        <f>HYPERLINK("#'6.2.1.1-2 Pasture residue N2O'!A1", "6.2.1.1-2 Pasture residue N2O")</f>
        <v>6.2.1.1-2 Pasture residue N2O</v>
      </c>
    </row>
    <row r="41" spans="1:13" ht="20" customHeight="1" x14ac:dyDescent="0.25">
      <c r="A41" s="5" t="str">
        <f>HYPERLINK("#'6.3.1.1-2 Leach runoff pasture'!A1", "6.3.1.1-2 Leach &amp; runoff (pasture)")</f>
        <v>6.3.1.1-2 Leach &amp; runoff (pasture)</v>
      </c>
      <c r="D41" s="82" t="s">
        <v>1063</v>
      </c>
      <c r="E41" s="256" t="s">
        <v>1066</v>
      </c>
      <c r="F41" s="256" t="s">
        <v>1067</v>
      </c>
      <c r="G41" s="114" t="s">
        <v>1069</v>
      </c>
      <c r="H41" s="256" t="s">
        <v>1070</v>
      </c>
      <c r="I41" s="82" t="s">
        <v>1071</v>
      </c>
      <c r="J41" s="114" t="s">
        <v>1072</v>
      </c>
      <c r="K41" s="82" t="s">
        <v>1073</v>
      </c>
      <c r="L41" s="82" t="s">
        <v>1074</v>
      </c>
      <c r="M41" s="82" t="s">
        <v>1075</v>
      </c>
    </row>
    <row r="42" spans="1:13" ht="20" customHeight="1" x14ac:dyDescent="0.25">
      <c r="A42" s="5" t="str">
        <f>HYPERLINK("#'8.1.1.1-2 Transport fuel'!A1", "8.1.1.1-2 Transport fuel")</f>
        <v>8.1.1.1-2 Transport fuel</v>
      </c>
      <c r="D42" s="15"/>
      <c r="E42" s="15"/>
      <c r="F42" s="15"/>
      <c r="G42" s="257" cm="1">
        <f t="array" ref="G42">Scope3_Equations.VEERG_15_1_1_1__1_EmissionsFromPurchasedLivestock(E42,F42,$E$39)</f>
        <v>0</v>
      </c>
      <c r="H42" s="15"/>
      <c r="I42" s="76">
        <v>4</v>
      </c>
      <c r="J42" s="257" cm="1">
        <f t="array" ref="J42">Scope3_Equations.VEERG_15_1_1_1__1_EmissionsFromPurchasedLivestock(E42,H42,IF(I42,I42,$E$39))</f>
        <v>0</v>
      </c>
      <c r="K42" s="34" t="s">
        <v>1076</v>
      </c>
      <c r="L42" s="13" t="s">
        <v>1077</v>
      </c>
      <c r="M42" s="239" t="s">
        <v>1078</v>
      </c>
    </row>
    <row r="43" spans="1:13" ht="20" customHeight="1" x14ac:dyDescent="0.25">
      <c r="A43" s="5" t="str">
        <f>HYPERLINK("#'8.2.1.1-2 Stationary fuel'!A1", "8.2.1.1-2 Stationary fuel")</f>
        <v>8.2.1.1-2 Stationary fuel</v>
      </c>
      <c r="D43" s="15"/>
      <c r="E43" s="15"/>
      <c r="F43" s="15"/>
      <c r="G43" s="257" cm="1">
        <f t="array" ref="G43">Scope3_Equations.VEERG_15_1_1_1__1_EmissionsFromPurchasedLivestock(E43,F43,$E$39)</f>
        <v>0</v>
      </c>
      <c r="H43" s="15"/>
      <c r="I43" s="76"/>
      <c r="J43" s="257" cm="1">
        <f t="array" ref="J43">Scope3_Equations.VEERG_15_1_1_1__1_EmissionsFromPurchasedLivestock(E43,H43,IF(I43,I43,$E$39))</f>
        <v>0</v>
      </c>
      <c r="K43" s="34"/>
      <c r="L43" s="13"/>
      <c r="M43" s="34"/>
    </row>
    <row r="44" spans="1:13" ht="20" customHeight="1" x14ac:dyDescent="0.25">
      <c r="A44" s="5" t="str">
        <f>HYPERLINK("#'10.1.1-2 Solid waste treatment'!A1", "10.1.1.1-2 Solid waste")</f>
        <v>10.1.1.1-2 Solid waste</v>
      </c>
      <c r="D44" s="15"/>
      <c r="E44" s="15"/>
      <c r="F44" s="15"/>
      <c r="G44" s="257" cm="1">
        <f t="array" ref="G44">Scope3_Equations.VEERG_15_1_1_1__1_EmissionsFromPurchasedLivestock(E44,F44,$E$39)</f>
        <v>0</v>
      </c>
      <c r="H44" s="15"/>
      <c r="I44" s="76"/>
      <c r="J44" s="257" cm="1">
        <f t="array" ref="J44">Scope3_Equations.VEERG_15_1_1_1__1_EmissionsFromPurchasedLivestock(E44,H44,IF(I44,I44,$E$39))</f>
        <v>0</v>
      </c>
      <c r="K44" s="34"/>
      <c r="L44" s="13"/>
      <c r="M44" s="34"/>
    </row>
    <row r="45" spans="1:13" ht="20" customHeight="1" x14ac:dyDescent="0.25">
      <c r="A45" s="5" t="str">
        <f>HYPERLINK("#'14.1.1-2 Purchased electricity'!A1", "14.1.1-2 Purchased electricity")</f>
        <v>14.1.1-2 Purchased electricity</v>
      </c>
      <c r="D45" s="15"/>
      <c r="E45" s="15"/>
      <c r="F45" s="15"/>
      <c r="G45" s="257" cm="1">
        <f t="array" ref="G45">Scope3_Equations.VEERG_15_1_1_1__1_EmissionsFromPurchasedLivestock(E45,F45,$E$39)</f>
        <v>0</v>
      </c>
      <c r="H45" s="15"/>
      <c r="I45" s="76"/>
      <c r="J45" s="257" cm="1">
        <f t="array" ref="J45">Scope3_Equations.VEERG_15_1_1_1__1_EmissionsFromPurchasedLivestock(E45,H45,IF(I45,I45,$E$39))</f>
        <v>0</v>
      </c>
      <c r="K45" s="34"/>
      <c r="L45" s="13"/>
      <c r="M45" s="34"/>
    </row>
    <row r="46" spans="1:13" ht="20" customHeight="1" x14ac:dyDescent="0.25">
      <c r="A46" s="104" t="str">
        <f>HYPERLINK("#'15 Scope 3'!A1", "15 Scope 3")</f>
        <v>15 Scope 3</v>
      </c>
      <c r="D46" s="15"/>
      <c r="E46" s="15"/>
      <c r="F46" s="15"/>
      <c r="G46" s="257" cm="1">
        <f t="array" ref="G46">Scope3_Equations.VEERG_15_1_1_1__1_EmissionsFromPurchasedLivestock(E46,F46,$E$39)</f>
        <v>0</v>
      </c>
      <c r="H46" s="15"/>
      <c r="I46" s="76"/>
      <c r="J46" s="257" cm="1">
        <f t="array" ref="J46">Scope3_Equations.VEERG_15_1_1_1__1_EmissionsFromPurchasedLivestock(E46,H46,IF(I46,I46,$E$39))</f>
        <v>0</v>
      </c>
      <c r="K46" s="34"/>
      <c r="L46" s="13"/>
      <c r="M46" s="34"/>
    </row>
    <row r="47" spans="1:13" ht="20" customHeight="1" x14ac:dyDescent="0.25">
      <c r="A47" s="5" t="str">
        <f>HYPERLINK("#'Calcs - Manure sent off-site'!A1", "Calcs - Manure sent off-site")</f>
        <v>Calcs - Manure sent off-site</v>
      </c>
      <c r="D47" s="15"/>
      <c r="E47" s="15"/>
      <c r="F47" s="15"/>
      <c r="G47" s="257" cm="1">
        <f t="array" ref="G47">Scope3_Equations.VEERG_15_1_1_1__1_EmissionsFromPurchasedLivestock(E47,F47,$E$39)</f>
        <v>0</v>
      </c>
      <c r="H47" s="15"/>
      <c r="I47" s="76"/>
      <c r="J47" s="257" cm="1">
        <f t="array" ref="J47">Scope3_Equations.VEERG_15_1_1_1__1_EmissionsFromPurchasedLivestock(E47,H47,IF(I47,I47,$E$39))</f>
        <v>0</v>
      </c>
      <c r="K47" s="34"/>
      <c r="L47" s="13"/>
      <c r="M47" s="34"/>
    </row>
    <row r="48" spans="1:13" ht="20" customHeight="1" x14ac:dyDescent="0.25">
      <c r="A48"/>
      <c r="D48" s="15"/>
      <c r="E48" s="15"/>
      <c r="F48" s="15"/>
      <c r="G48" s="257" cm="1">
        <f t="array" ref="G48">Scope3_Equations.VEERG_15_1_1_1__1_EmissionsFromPurchasedLivestock(E48,F48,$E$39)</f>
        <v>0</v>
      </c>
      <c r="H48" s="15"/>
      <c r="I48" s="76"/>
      <c r="J48" s="257" cm="1">
        <f t="array" ref="J48">Scope3_Equations.VEERG_15_1_1_1__1_EmissionsFromPurchasedLivestock(E48,H48,IF(I48,I48,$E$39))</f>
        <v>0</v>
      </c>
      <c r="K48" s="34"/>
      <c r="L48" s="13"/>
      <c r="M48" s="34"/>
    </row>
    <row r="49" spans="1:13" ht="20" customHeight="1" x14ac:dyDescent="0.25">
      <c r="A49"/>
      <c r="D49" s="15"/>
      <c r="E49" s="15"/>
      <c r="F49" s="15"/>
      <c r="G49" s="257" cm="1">
        <f t="array" ref="G49">Scope3_Equations.VEERG_15_1_1_1__1_EmissionsFromPurchasedLivestock(E49,F49,$E$39)</f>
        <v>0</v>
      </c>
      <c r="H49" s="15"/>
      <c r="I49" s="76"/>
      <c r="J49" s="257" cm="1">
        <f t="array" ref="J49">Scope3_Equations.VEERG_15_1_1_1__1_EmissionsFromPurchasedLivestock(E49,H49,IF(I49,I49,$E$39))</f>
        <v>0</v>
      </c>
      <c r="K49" s="34"/>
      <c r="L49" s="13"/>
      <c r="M49" s="34"/>
    </row>
    <row r="50" spans="1:13" ht="20" customHeight="1" x14ac:dyDescent="0.25">
      <c r="A50" s="85" t="s">
        <v>1</v>
      </c>
      <c r="D50" s="15"/>
      <c r="E50" s="15"/>
      <c r="F50" s="15"/>
      <c r="G50" s="257" cm="1">
        <f t="array" ref="G50">Scope3_Equations.VEERG_15_1_1_1__1_EmissionsFromPurchasedLivestock(E50,F50,$E$39)</f>
        <v>0</v>
      </c>
      <c r="H50" s="15"/>
      <c r="I50" s="76"/>
      <c r="J50" s="257" cm="1">
        <f t="array" ref="J50">Scope3_Equations.VEERG_15_1_1_1__1_EmissionsFromPurchasedLivestock(E50,H50,IF(I50,I50,$E$39))</f>
        <v>0</v>
      </c>
      <c r="K50" s="34"/>
      <c r="L50" s="13"/>
      <c r="M50" s="34"/>
    </row>
    <row r="51" spans="1:13" ht="20" customHeight="1" x14ac:dyDescent="0.25">
      <c r="A51" s="5" t="str">
        <f>HYPERLINK("#'Constants - Pasture Beef'!A1", "Constants - Pasture Beef")</f>
        <v>Constants - Pasture Beef</v>
      </c>
      <c r="D51" s="15"/>
      <c r="E51" s="15"/>
      <c r="F51" s="15"/>
      <c r="G51" s="257" cm="1">
        <f t="array" ref="G51">Scope3_Equations.VEERG_15_1_1_1__1_EmissionsFromPurchasedLivestock(E51,F51,$E$39)</f>
        <v>0</v>
      </c>
      <c r="H51" s="15"/>
      <c r="I51" s="76"/>
      <c r="J51" s="257" cm="1">
        <f t="array" ref="J51">Scope3_Equations.VEERG_15_1_1_1__1_EmissionsFromPurchasedLivestock(E51,H51,IF(I51,I51,$E$39))</f>
        <v>0</v>
      </c>
      <c r="K51" s="34"/>
      <c r="L51" s="13"/>
      <c r="M51" s="34"/>
    </row>
    <row r="52" spans="1:13" ht="20" customHeight="1" x14ac:dyDescent="0.25">
      <c r="A52" s="5" t="str">
        <f>HYPERLINK("#'Constants - Ag Residue'!A1", "Constants - Ag residue")</f>
        <v>Constants - Ag residue</v>
      </c>
    </row>
    <row r="53" spans="1:13" ht="20" customHeight="1" x14ac:dyDescent="0.25">
      <c r="A53" s="5" t="str">
        <f>HYPERLINK("#'Constants - Common Livestock'!A1", "Constants - Common Livestock")</f>
        <v>Constants - Common Livestock</v>
      </c>
      <c r="D53" s="93" t="s">
        <v>1083</v>
      </c>
      <c r="E53" s="87">
        <f>SUM(G42:G51)</f>
        <v>0</v>
      </c>
      <c r="F53" s="94" t="str">
        <f>$E$11</f>
        <v>t CO2e</v>
      </c>
    </row>
    <row r="54" spans="1:13" ht="20" customHeight="1" x14ac:dyDescent="0.25">
      <c r="A54" s="5" t="str">
        <f>HYPERLINK("#'Constants - Electricity'!A1", "Constants - Electricity")</f>
        <v>Constants - Electricity</v>
      </c>
      <c r="D54" s="93" t="s">
        <v>1084</v>
      </c>
      <c r="E54" s="87">
        <f>SUM(J42:J51)</f>
        <v>0</v>
      </c>
      <c r="F54" s="94" t="str">
        <f>$E$11</f>
        <v>t CO2e</v>
      </c>
    </row>
    <row r="55" spans="1:13" ht="20" customHeight="1" x14ac:dyDescent="0.25">
      <c r="A55" s="5" t="str">
        <f>HYPERLINK("#'Constants - Fertiliser'!A1", "Constants - Fertiliser")</f>
        <v>Constants - Fertiliser</v>
      </c>
    </row>
    <row r="56" spans="1:13" ht="20" customHeight="1" x14ac:dyDescent="0.25">
      <c r="A56" s="5" t="str">
        <f>HYPERLINK("#'Constants - Fuel'!A1", "Constants - Fuel")</f>
        <v>Constants - Fuel</v>
      </c>
    </row>
    <row r="57" spans="1:13" ht="20" customHeight="1" x14ac:dyDescent="0.25">
      <c r="A57" s="5" t="str">
        <f>HYPERLINK("#'Constants - Scope 3'!A1", "Constants - Scope 3")</f>
        <v>Constants - Scope 3</v>
      </c>
      <c r="D57" s="243" t="s">
        <v>1085</v>
      </c>
    </row>
    <row r="58" spans="1:13" ht="20" customHeight="1" x14ac:dyDescent="0.25">
      <c r="A58" s="5" t="str">
        <f>HYPERLINK("#'Constants - Solid Waste'!A1", "Constants - Solid Waste")</f>
        <v>Constants - Solid Waste</v>
      </c>
      <c r="D58" s="105" t="s">
        <v>1082</v>
      </c>
      <c r="E58" s="15">
        <v>3.38</v>
      </c>
    </row>
    <row r="59" spans="1:13" ht="20" customHeight="1" x14ac:dyDescent="0.25">
      <c r="A59" s="5" t="str">
        <f>HYPERLINK("#'Constants - Common'!A1", "Constants - Common")</f>
        <v>Constants - Common</v>
      </c>
    </row>
    <row r="60" spans="1:13" ht="20" customHeight="1" x14ac:dyDescent="0.25">
      <c r="A60" s="5" t="str">
        <f>HYPERLINK("#'Acknowledgements'!A1", "Acknowledgements")</f>
        <v>Acknowledgements</v>
      </c>
      <c r="D60" s="82" t="s">
        <v>1063</v>
      </c>
      <c r="E60" s="256" t="s">
        <v>1066</v>
      </c>
      <c r="F60" s="256" t="s">
        <v>1067</v>
      </c>
      <c r="G60" s="114" t="s">
        <v>1069</v>
      </c>
      <c r="H60" s="256" t="s">
        <v>1070</v>
      </c>
      <c r="I60" s="82" t="s">
        <v>1071</v>
      </c>
      <c r="J60" s="114" t="s">
        <v>1072</v>
      </c>
      <c r="K60" s="82" t="s">
        <v>1073</v>
      </c>
      <c r="L60" s="82" t="s">
        <v>1074</v>
      </c>
      <c r="M60" s="82" t="s">
        <v>1075</v>
      </c>
    </row>
    <row r="61" spans="1:13" ht="20" customHeight="1" x14ac:dyDescent="0.25">
      <c r="A61"/>
      <c r="D61" s="15"/>
      <c r="E61" s="15"/>
      <c r="F61" s="15"/>
      <c r="G61" s="257" cm="1">
        <f t="array" ref="G61">Scope3_Equations.VEERG_15_1_1_1__1_EmissionsFromPurchasedLivestock(E61,F61,$E$58)</f>
        <v>0</v>
      </c>
      <c r="H61" s="15"/>
      <c r="I61" s="76">
        <v>3.38</v>
      </c>
      <c r="J61" s="257" cm="1">
        <f t="array" ref="J61">Scope3_Equations.VEERG_15_1_1_1__1_EmissionsFromPurchasedLivestock(E61,H61,IF(I61, I61,$E$58))</f>
        <v>0</v>
      </c>
      <c r="K61" s="34"/>
      <c r="L61" s="13"/>
      <c r="M61" s="239"/>
    </row>
    <row r="62" spans="1:13" ht="20" customHeight="1" x14ac:dyDescent="0.25">
      <c r="A62"/>
      <c r="D62" s="15"/>
      <c r="E62" s="15"/>
      <c r="F62" s="15"/>
      <c r="G62" s="257" cm="1">
        <f t="array" ref="G62">Scope3_Equations.VEERG_15_1_1_1__1_EmissionsFromPurchasedLivestock(E62,F62,$E$58)</f>
        <v>0</v>
      </c>
      <c r="H62" s="15"/>
      <c r="I62" s="76">
        <v>3.3</v>
      </c>
      <c r="J62" s="257" cm="1">
        <f t="array" ref="J62">Scope3_Equations.VEERG_15_1_1_1__1_EmissionsFromPurchasedLivestock(E62,H62,IF(I62, I62,$E$58))</f>
        <v>0</v>
      </c>
      <c r="K62" s="34"/>
      <c r="L62" s="13"/>
      <c r="M62" s="34"/>
    </row>
    <row r="63" spans="1:13" ht="20" customHeight="1" x14ac:dyDescent="0.25">
      <c r="A63"/>
      <c r="D63" s="15"/>
      <c r="E63" s="15"/>
      <c r="F63" s="15"/>
      <c r="G63" s="257" cm="1">
        <f t="array" ref="G63">Scope3_Equations.VEERG_15_1_1_1__1_EmissionsFromPurchasedLivestock(E63,F63,$E$58)</f>
        <v>0</v>
      </c>
      <c r="H63" s="15"/>
      <c r="I63" s="76"/>
      <c r="J63" s="257" cm="1">
        <f t="array" ref="J63">Scope3_Equations.VEERG_15_1_1_1__1_EmissionsFromPurchasedLivestock(E63,H63,IF(I63, I63,$E$58))</f>
        <v>0</v>
      </c>
      <c r="K63" s="34"/>
      <c r="L63" s="13"/>
      <c r="M63" s="34"/>
    </row>
    <row r="64" spans="1:13" ht="20" customHeight="1" x14ac:dyDescent="0.25">
      <c r="A64"/>
      <c r="D64" s="15"/>
      <c r="E64" s="15"/>
      <c r="F64" s="15"/>
      <c r="G64" s="257" cm="1">
        <f t="array" ref="G64">Scope3_Equations.VEERG_15_1_1_1__1_EmissionsFromPurchasedLivestock(E64,F64,$E$58)</f>
        <v>0</v>
      </c>
      <c r="H64" s="15"/>
      <c r="I64" s="76"/>
      <c r="J64" s="257" cm="1">
        <f t="array" ref="J64">Scope3_Equations.VEERG_15_1_1_1__1_EmissionsFromPurchasedLivestock(E64,H64,IF(I64, I64,$E$58))</f>
        <v>0</v>
      </c>
      <c r="K64" s="34"/>
      <c r="L64" s="13"/>
      <c r="M64" s="34"/>
    </row>
    <row r="65" spans="1:13" ht="20" customHeight="1" x14ac:dyDescent="0.25">
      <c r="A65"/>
      <c r="D65" s="15"/>
      <c r="E65" s="15"/>
      <c r="F65" s="15"/>
      <c r="G65" s="257" cm="1">
        <f t="array" ref="G65">Scope3_Equations.VEERG_15_1_1_1__1_EmissionsFromPurchasedLivestock(E65,F65,$E$58)</f>
        <v>0</v>
      </c>
      <c r="H65" s="15"/>
      <c r="I65" s="76"/>
      <c r="J65" s="257" cm="1">
        <f t="array" ref="J65">Scope3_Equations.VEERG_15_1_1_1__1_EmissionsFromPurchasedLivestock(E65,H65,IF(I65, I65,$E$58))</f>
        <v>0</v>
      </c>
      <c r="K65" s="34"/>
      <c r="L65" s="13"/>
      <c r="M65" s="34"/>
    </row>
    <row r="66" spans="1:13" ht="20" customHeight="1" x14ac:dyDescent="0.25">
      <c r="A66"/>
      <c r="D66" s="15"/>
      <c r="E66" s="15"/>
      <c r="F66" s="15"/>
      <c r="G66" s="257" cm="1">
        <f t="array" ref="G66">Scope3_Equations.VEERG_15_1_1_1__1_EmissionsFromPurchasedLivestock(E66,F66,$E$58)</f>
        <v>0</v>
      </c>
      <c r="H66" s="15"/>
      <c r="I66" s="76"/>
      <c r="J66" s="257" cm="1">
        <f t="array" ref="J66">Scope3_Equations.VEERG_15_1_1_1__1_EmissionsFromPurchasedLivestock(E66,H66,IF(I66, I66,$E$58))</f>
        <v>0</v>
      </c>
      <c r="K66" s="34"/>
      <c r="L66" s="13"/>
      <c r="M66" s="34"/>
    </row>
    <row r="67" spans="1:13" ht="20" customHeight="1" x14ac:dyDescent="0.25">
      <c r="A67"/>
      <c r="D67" s="15"/>
      <c r="E67" s="15"/>
      <c r="F67" s="15"/>
      <c r="G67" s="257" cm="1">
        <f t="array" ref="G67">Scope3_Equations.VEERG_15_1_1_1__1_EmissionsFromPurchasedLivestock(E67,F67,$E$58)</f>
        <v>0</v>
      </c>
      <c r="H67" s="15"/>
      <c r="I67" s="76"/>
      <c r="J67" s="257" cm="1">
        <f t="array" ref="J67">Scope3_Equations.VEERG_15_1_1_1__1_EmissionsFromPurchasedLivestock(E67,H67,IF(I67, I67,$E$58))</f>
        <v>0</v>
      </c>
      <c r="K67" s="34"/>
      <c r="L67" s="13"/>
      <c r="M67" s="34"/>
    </row>
    <row r="68" spans="1:13" ht="20" customHeight="1" x14ac:dyDescent="0.25">
      <c r="A68"/>
      <c r="D68" s="15"/>
      <c r="E68" s="15"/>
      <c r="F68" s="15"/>
      <c r="G68" s="257" cm="1">
        <f t="array" ref="G68">Scope3_Equations.VEERG_15_1_1_1__1_EmissionsFromPurchasedLivestock(E68,F68,$E$58)</f>
        <v>0</v>
      </c>
      <c r="H68" s="15"/>
      <c r="I68" s="76"/>
      <c r="J68" s="257" cm="1">
        <f t="array" ref="J68">Scope3_Equations.VEERG_15_1_1_1__1_EmissionsFromPurchasedLivestock(E68,H68,IF(I68, I68,$E$58))</f>
        <v>0</v>
      </c>
      <c r="K68" s="34"/>
      <c r="L68" s="13"/>
      <c r="M68" s="34"/>
    </row>
    <row r="69" spans="1:13" ht="20" customHeight="1" x14ac:dyDescent="0.25">
      <c r="A69"/>
      <c r="D69" s="15"/>
      <c r="E69" s="15"/>
      <c r="F69" s="15"/>
      <c r="G69" s="257" cm="1">
        <f t="array" ref="G69">Scope3_Equations.VEERG_15_1_1_1__1_EmissionsFromPurchasedLivestock(E69,F69,$E$58)</f>
        <v>0</v>
      </c>
      <c r="H69" s="15"/>
      <c r="I69" s="76"/>
      <c r="J69" s="257" cm="1">
        <f t="array" ref="J69">Scope3_Equations.VEERG_15_1_1_1__1_EmissionsFromPurchasedLivestock(E69,H69,IF(I69, I69,$E$58))</f>
        <v>0</v>
      </c>
      <c r="K69" s="34"/>
      <c r="L69" s="13"/>
      <c r="M69" s="34"/>
    </row>
    <row r="70" spans="1:13" ht="20" customHeight="1" x14ac:dyDescent="0.25">
      <c r="A70"/>
      <c r="D70" s="15"/>
      <c r="E70" s="15"/>
      <c r="F70" s="15"/>
      <c r="G70" s="257" cm="1">
        <f t="array" ref="G70">Scope3_Equations.VEERG_15_1_1_1__1_EmissionsFromPurchasedLivestock(E70,F70,$E$58)</f>
        <v>0</v>
      </c>
      <c r="H70" s="15"/>
      <c r="I70" s="76"/>
      <c r="J70" s="257" cm="1">
        <f t="array" ref="J70">Scope3_Equations.VEERG_15_1_1_1__1_EmissionsFromPurchasedLivestock(E70,H70,IF(I70, I70,$E$58))</f>
        <v>0</v>
      </c>
      <c r="K70" s="34"/>
      <c r="L70" s="13"/>
      <c r="M70" s="34"/>
    </row>
    <row r="71" spans="1:13" ht="20" customHeight="1" x14ac:dyDescent="0.25">
      <c r="A71"/>
    </row>
    <row r="72" spans="1:13" ht="20" customHeight="1" x14ac:dyDescent="0.25">
      <c r="A72"/>
      <c r="D72" s="93" t="s">
        <v>1086</v>
      </c>
      <c r="E72" s="87">
        <f>SUM(G61:G70)</f>
        <v>0</v>
      </c>
      <c r="F72" s="94" t="str">
        <f>$E$11</f>
        <v>t CO2e</v>
      </c>
    </row>
    <row r="73" spans="1:13" ht="20" customHeight="1" x14ac:dyDescent="0.25">
      <c r="A73"/>
      <c r="D73" s="93" t="s">
        <v>1087</v>
      </c>
      <c r="E73" s="87">
        <f>SUM(J61:J70)</f>
        <v>0</v>
      </c>
      <c r="F73" s="94" t="str">
        <f>$E$11</f>
        <v>t CO2e</v>
      </c>
    </row>
    <row r="74" spans="1:13" ht="20" customHeight="1" x14ac:dyDescent="0.25">
      <c r="A74"/>
    </row>
    <row r="75" spans="1:13" ht="20" customHeight="1" x14ac:dyDescent="0.25">
      <c r="A75"/>
      <c r="D75" s="243" t="s">
        <v>1088</v>
      </c>
    </row>
    <row r="76" spans="1:13" ht="20" customHeight="1" x14ac:dyDescent="0.25">
      <c r="A76"/>
      <c r="D76" s="105" t="s">
        <v>1082</v>
      </c>
      <c r="E76" s="15">
        <v>1.36</v>
      </c>
    </row>
    <row r="77" spans="1:13" ht="20" customHeight="1" x14ac:dyDescent="0.25">
      <c r="A77"/>
    </row>
    <row r="78" spans="1:13" ht="20" customHeight="1" x14ac:dyDescent="0.25">
      <c r="A78"/>
      <c r="D78" s="82" t="s">
        <v>1063</v>
      </c>
      <c r="E78" s="256" t="s">
        <v>1066</v>
      </c>
      <c r="F78" s="256" t="s">
        <v>1067</v>
      </c>
      <c r="G78" s="114" t="s">
        <v>1069</v>
      </c>
      <c r="H78" s="256" t="s">
        <v>1070</v>
      </c>
      <c r="I78" s="82" t="s">
        <v>1071</v>
      </c>
      <c r="J78" s="114" t="s">
        <v>1072</v>
      </c>
      <c r="K78" s="82" t="s">
        <v>1073</v>
      </c>
      <c r="L78" s="82" t="s">
        <v>1074</v>
      </c>
      <c r="M78" s="82" t="s">
        <v>1075</v>
      </c>
    </row>
    <row r="79" spans="1:13" ht="20" customHeight="1" x14ac:dyDescent="0.25">
      <c r="A79"/>
      <c r="D79" s="15"/>
      <c r="E79" s="15"/>
      <c r="F79" s="15"/>
      <c r="G79" s="257" cm="1">
        <f t="array" ref="G79">Scope3_Equations.VEERG_15_1_1_1__1_EmissionsFromPurchasedLivestock(E79,F79,$E$76)</f>
        <v>0</v>
      </c>
      <c r="H79" s="15"/>
      <c r="I79" s="76">
        <v>1.3</v>
      </c>
      <c r="J79" s="257" cm="1">
        <f t="array" ref="J79">Scope3_Equations.VEERG_15_1_1_1__1_EmissionsFromPurchasedLivestock(E79,H79,IF(I79, I79,$E$76))</f>
        <v>0</v>
      </c>
      <c r="K79" s="34"/>
      <c r="L79" s="13"/>
      <c r="M79" s="239"/>
    </row>
    <row r="80" spans="1:13" ht="20" customHeight="1" x14ac:dyDescent="0.25">
      <c r="A80"/>
      <c r="D80" s="15"/>
      <c r="E80" s="15"/>
      <c r="F80" s="15"/>
      <c r="G80" s="257" cm="1">
        <f t="array" ref="G80">Scope3_Equations.VEERG_15_1_1_1__1_EmissionsFromPurchasedLivestock(E80,F80,$E$76)</f>
        <v>0</v>
      </c>
      <c r="H80" s="15"/>
      <c r="I80" s="76"/>
      <c r="J80" s="257" cm="1">
        <f t="array" ref="J80">Scope3_Equations.VEERG_15_1_1_1__1_EmissionsFromPurchasedLivestock(E80,H80,IF(I80, I80,$E$76))</f>
        <v>0</v>
      </c>
      <c r="K80" s="34"/>
      <c r="L80" s="13"/>
      <c r="M80" s="34"/>
    </row>
    <row r="81" spans="1:13" ht="20" customHeight="1" x14ac:dyDescent="0.25">
      <c r="A81"/>
      <c r="D81" s="15"/>
      <c r="E81" s="15"/>
      <c r="F81" s="15"/>
      <c r="G81" s="257" cm="1">
        <f t="array" ref="G81">Scope3_Equations.VEERG_15_1_1_1__1_EmissionsFromPurchasedLivestock(E81,F81,$E$76)</f>
        <v>0</v>
      </c>
      <c r="H81" s="15"/>
      <c r="I81" s="76"/>
      <c r="J81" s="257" cm="1">
        <f t="array" ref="J81">Scope3_Equations.VEERG_15_1_1_1__1_EmissionsFromPurchasedLivestock(E81,H81,IF(I81, I81,$E$76))</f>
        <v>0</v>
      </c>
      <c r="K81" s="34"/>
      <c r="L81" s="13"/>
      <c r="M81" s="34"/>
    </row>
    <row r="82" spans="1:13" ht="20" customHeight="1" x14ac:dyDescent="0.25">
      <c r="A82"/>
      <c r="D82" s="15"/>
      <c r="E82" s="15"/>
      <c r="F82" s="15"/>
      <c r="G82" s="257" cm="1">
        <f t="array" ref="G82">Scope3_Equations.VEERG_15_1_1_1__1_EmissionsFromPurchasedLivestock(E82,F82,$E$76)</f>
        <v>0</v>
      </c>
      <c r="H82" s="15"/>
      <c r="I82" s="76"/>
      <c r="J82" s="257" cm="1">
        <f t="array" ref="J82">Scope3_Equations.VEERG_15_1_1_1__1_EmissionsFromPurchasedLivestock(E82,H82,IF(I82, I82,$E$76))</f>
        <v>0</v>
      </c>
      <c r="K82" s="34"/>
      <c r="L82" s="13"/>
      <c r="M82" s="34"/>
    </row>
    <row r="83" spans="1:13" ht="20" customHeight="1" x14ac:dyDescent="0.25">
      <c r="A83"/>
      <c r="D83" s="15"/>
      <c r="E83" s="15"/>
      <c r="F83" s="15"/>
      <c r="G83" s="257" cm="1">
        <f t="array" ref="G83">Scope3_Equations.VEERG_15_1_1_1__1_EmissionsFromPurchasedLivestock(E83,F83,$E$76)</f>
        <v>0</v>
      </c>
      <c r="H83" s="15"/>
      <c r="I83" s="76"/>
      <c r="J83" s="257" cm="1">
        <f t="array" ref="J83">Scope3_Equations.VEERG_15_1_1_1__1_EmissionsFromPurchasedLivestock(E83,H83,IF(I83, I83,$E$76))</f>
        <v>0</v>
      </c>
      <c r="K83" s="34"/>
      <c r="L83" s="13"/>
      <c r="M83" s="34"/>
    </row>
    <row r="84" spans="1:13" ht="20" customHeight="1" x14ac:dyDescent="0.25">
      <c r="A84"/>
      <c r="D84" s="15"/>
      <c r="E84" s="15"/>
      <c r="F84" s="15"/>
      <c r="G84" s="257" cm="1">
        <f t="array" ref="G84">Scope3_Equations.VEERG_15_1_1_1__1_EmissionsFromPurchasedLivestock(E84,F84,$E$76)</f>
        <v>0</v>
      </c>
      <c r="H84" s="15"/>
      <c r="I84" s="76"/>
      <c r="J84" s="257" cm="1">
        <f t="array" ref="J84">Scope3_Equations.VEERG_15_1_1_1__1_EmissionsFromPurchasedLivestock(E84,H84,IF(I84, I84,$E$76))</f>
        <v>0</v>
      </c>
      <c r="K84" s="34"/>
      <c r="L84" s="13"/>
      <c r="M84" s="34"/>
    </row>
    <row r="85" spans="1:13" ht="20" customHeight="1" x14ac:dyDescent="0.25">
      <c r="A85"/>
      <c r="D85" s="15"/>
      <c r="E85" s="15"/>
      <c r="F85" s="15"/>
      <c r="G85" s="257" cm="1">
        <f t="array" ref="G85">Scope3_Equations.VEERG_15_1_1_1__1_EmissionsFromPurchasedLivestock(E85,F85,$E$76)</f>
        <v>0</v>
      </c>
      <c r="H85" s="15"/>
      <c r="I85" s="76"/>
      <c r="J85" s="257" cm="1">
        <f t="array" ref="J85">Scope3_Equations.VEERG_15_1_1_1__1_EmissionsFromPurchasedLivestock(E85,H85,IF(I85, I85,$E$76))</f>
        <v>0</v>
      </c>
      <c r="K85" s="34"/>
      <c r="L85" s="13"/>
      <c r="M85" s="34"/>
    </row>
    <row r="86" spans="1:13" ht="20" customHeight="1" x14ac:dyDescent="0.25">
      <c r="A86"/>
      <c r="D86" s="15"/>
      <c r="E86" s="15"/>
      <c r="F86" s="15"/>
      <c r="G86" s="257" cm="1">
        <f t="array" ref="G86">Scope3_Equations.VEERG_15_1_1_1__1_EmissionsFromPurchasedLivestock(E86,F86,$E$76)</f>
        <v>0</v>
      </c>
      <c r="H86" s="15"/>
      <c r="I86" s="76"/>
      <c r="J86" s="257" cm="1">
        <f t="array" ref="J86">Scope3_Equations.VEERG_15_1_1_1__1_EmissionsFromPurchasedLivestock(E86,H86,IF(I86, I86,$E$76))</f>
        <v>0</v>
      </c>
      <c r="K86" s="34"/>
      <c r="L86" s="13"/>
      <c r="M86" s="34"/>
    </row>
    <row r="87" spans="1:13" ht="20" customHeight="1" x14ac:dyDescent="0.25">
      <c r="A87"/>
      <c r="D87" s="15"/>
      <c r="E87" s="15"/>
      <c r="F87" s="15"/>
      <c r="G87" s="257" cm="1">
        <f t="array" ref="G87">Scope3_Equations.VEERG_15_1_1_1__1_EmissionsFromPurchasedLivestock(E87,F87,$E$76)</f>
        <v>0</v>
      </c>
      <c r="H87" s="15"/>
      <c r="I87" s="76"/>
      <c r="J87" s="257" cm="1">
        <f t="array" ref="J87">Scope3_Equations.VEERG_15_1_1_1__1_EmissionsFromPurchasedLivestock(E87,H87,IF(I87, I87,$E$76))</f>
        <v>0</v>
      </c>
      <c r="K87" s="34"/>
      <c r="L87" s="13"/>
      <c r="M87" s="34"/>
    </row>
    <row r="88" spans="1:13" ht="20" customHeight="1" x14ac:dyDescent="0.25">
      <c r="A88"/>
      <c r="D88" s="15"/>
      <c r="E88" s="15"/>
      <c r="F88" s="15"/>
      <c r="G88" s="257" cm="1">
        <f t="array" ref="G88">Scope3_Equations.VEERG_15_1_1_1__1_EmissionsFromPurchasedLivestock(E88,F88,$E$76)</f>
        <v>0</v>
      </c>
      <c r="H88" s="15"/>
      <c r="I88" s="76"/>
      <c r="J88" s="257" cm="1">
        <f t="array" ref="J88">Scope3_Equations.VEERG_15_1_1_1__1_EmissionsFromPurchasedLivestock(E88,H88,IF(I88, I88,$E$76))</f>
        <v>0</v>
      </c>
      <c r="K88" s="34"/>
      <c r="L88" s="13"/>
      <c r="M88" s="34"/>
    </row>
    <row r="89" spans="1:13" ht="20" customHeight="1" x14ac:dyDescent="0.25">
      <c r="A89"/>
    </row>
    <row r="90" spans="1:13" ht="20" customHeight="1" x14ac:dyDescent="0.25">
      <c r="A90"/>
      <c r="D90" s="93" t="s">
        <v>1089</v>
      </c>
      <c r="E90" s="87">
        <f>SUM(G79:G88)</f>
        <v>0</v>
      </c>
      <c r="F90" s="94" t="str">
        <f>$E$11</f>
        <v>t CO2e</v>
      </c>
    </row>
    <row r="91" spans="1:13" ht="20" customHeight="1" x14ac:dyDescent="0.25">
      <c r="A91"/>
      <c r="D91" s="93" t="s">
        <v>1090</v>
      </c>
      <c r="E91" s="87">
        <f>SUM(J79:J88)</f>
        <v>0</v>
      </c>
      <c r="F91" s="94" t="str">
        <f>$E$11</f>
        <v>t CO2e</v>
      </c>
    </row>
    <row r="92" spans="1:13" ht="20" customHeight="1" x14ac:dyDescent="0.25">
      <c r="A92"/>
    </row>
    <row r="93" spans="1:13" ht="20" customHeight="1" x14ac:dyDescent="0.25">
      <c r="A93"/>
      <c r="D93" s="90" t="s">
        <v>1069</v>
      </c>
      <c r="E93" s="91">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v>
      </c>
      <c r="F93" s="95" t="str">
        <f>$E$11</f>
        <v>t CO2e</v>
      </c>
    </row>
    <row r="94" spans="1:13" ht="20" customHeight="1" x14ac:dyDescent="0.25">
      <c r="A94"/>
      <c r="D94" s="90" t="s">
        <v>1072</v>
      </c>
      <c r="E94" s="91">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0</v>
      </c>
      <c r="F94" s="95" t="str">
        <f>$E$11</f>
        <v>t CO2e</v>
      </c>
    </row>
    <row r="95" spans="1:13" ht="20" customHeight="1" x14ac:dyDescent="0.25">
      <c r="A95"/>
    </row>
    <row r="96" spans="1:13" ht="20" customHeight="1" x14ac:dyDescent="0.25">
      <c r="A96"/>
    </row>
    <row r="97" spans="1:41" ht="20" customHeight="1" x14ac:dyDescent="0.25">
      <c r="A9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row>
    <row r="98" spans="1:41" ht="20" customHeight="1" x14ac:dyDescent="0.25">
      <c r="A98"/>
      <c r="D98" s="2" t="str" cm="1">
        <f t="array" ref="D98">Scope3_Equations.VEERG_15_2_1_1__1_EmissionsFromPurchasedFeed_Title()</f>
        <v>Emissions from purchased feed</v>
      </c>
    </row>
    <row r="99" spans="1:41" ht="20" customHeight="1" x14ac:dyDescent="0.25">
      <c r="A99"/>
      <c r="D99" s="17" t="str" cm="1">
        <f t="array" ref="D99">Scope3_Equations.VEERG_15_2_1_1__1_EmissionsFromPurchasedFeed_Source()</f>
        <v>VEERG 2026: 15.2.1.1, Equation (1)</v>
      </c>
    </row>
    <row r="100" spans="1:41" ht="20" customHeight="1" x14ac:dyDescent="0.25">
      <c r="A100"/>
      <c r="D100" s="26" t="str" cm="1">
        <f t="array" ref="D100">Scope3_Equations.VEERG_15_2_1_1__1_EmissionsFromPurchasedFeed_Variation()</f>
        <v>VARIATION ON SOURCE: Input Q_j in kg instead of t to match EF units. Multiply by 10^-3 to convert kg CO2e to t CO2e.</v>
      </c>
    </row>
    <row r="101" spans="1:41" ht="20" customHeight="1" x14ac:dyDescent="0.25">
      <c r="A101"/>
      <c r="D101" s="103" t="s">
        <v>372</v>
      </c>
      <c r="E101" s="103" t="str" cm="1">
        <f t="array" aca="1" ref="E101" ca="1">Common_InputFunctions.Utility_DisplayFunctionName(G120)</f>
        <v>=Scope3_Equations.VEERG_15_2_1_1__1_EmissionsFromPurchasedFeedVariation</v>
      </c>
      <c r="H101" s="26"/>
    </row>
    <row r="102" spans="1:41" ht="20" customHeight="1" x14ac:dyDescent="0.25">
      <c r="A102"/>
    </row>
    <row r="103" spans="1:41" ht="20" customHeight="1" x14ac:dyDescent="0.25">
      <c r="A103"/>
      <c r="H103" s="103"/>
    </row>
    <row r="104" spans="1:41" ht="20" customHeight="1" x14ac:dyDescent="0.25">
      <c r="A104"/>
      <c r="D104" s="77" t="s">
        <v>374</v>
      </c>
      <c r="E104" s="1" t="str" cm="1">
        <f t="array" ref="E104">Scope3_Equations.VEERG_15_2_1_1__1_EmissionsFromPurchasedFeed_Variable()</f>
        <v>E</v>
      </c>
    </row>
    <row r="105" spans="1:41" ht="20" customHeight="1" x14ac:dyDescent="0.25">
      <c r="A105"/>
      <c r="D105" s="77" t="s">
        <v>121</v>
      </c>
      <c r="E105" s="9" t="str" cm="1">
        <f t="array" ref="E105">Scope3_Equations.VEERG_15_2_1_1__1_EmissionsFromPurchasedFeed_Unit()</f>
        <v>t CO2e</v>
      </c>
    </row>
    <row r="106" spans="1:41" ht="20" customHeight="1" x14ac:dyDescent="0.25">
      <c r="A106"/>
    </row>
    <row r="107" spans="1:41" ht="20" customHeight="1" x14ac:dyDescent="0.25">
      <c r="A107"/>
      <c r="D107" s="105" t="str" cm="1">
        <f t="array" ref="D107:E109">_xlfn.CHOOSECOLS(Scope3_Equations.VEERG_15_2_1_1__1_EmissionsFromPurchasedFeed_ArgumentsVariation(),1,2)</f>
        <v>Q_j</v>
      </c>
      <c r="E107" s="106" t="str">
        <v>quantity of feed type j purchased</v>
      </c>
      <c r="F107" s="108"/>
      <c r="G107" s="105" t="str" cm="1">
        <f t="array" ref="G107:H109">_xlfn.CHOOSECOLS(Scope3_Equations.VEERG_15_2_1_1__1_EmissionsFromPurchasedFeed_ArgumentsVariation(),3,4)</f>
        <v>kg</v>
      </c>
      <c r="H107" s="255" t="str">
        <v>Input</v>
      </c>
    </row>
    <row r="108" spans="1:41" ht="20" customHeight="1" x14ac:dyDescent="0.25">
      <c r="A108"/>
      <c r="D108" s="105" t="str">
        <v>EF_j</v>
      </c>
      <c r="E108" s="106" t="str">
        <v>emission factor of purchased feed</v>
      </c>
      <c r="F108" s="108"/>
      <c r="G108" s="105" t="str">
        <v>kg CO2e/kg</v>
      </c>
      <c r="H108" s="110" t="str">
        <v>Constant</v>
      </c>
    </row>
    <row r="109" spans="1:41" ht="20" customHeight="1" x14ac:dyDescent="0.25">
      <c r="A109"/>
      <c r="D109" s="105" t="str">
        <v>j</v>
      </c>
      <c r="E109" s="106" t="str">
        <v>feed type</v>
      </c>
      <c r="F109" s="108"/>
      <c r="G109" s="105" t="str">
        <v/>
      </c>
      <c r="H109" s="255" t="str">
        <v>Input</v>
      </c>
    </row>
    <row r="110" spans="1:41" ht="20" customHeight="1" x14ac:dyDescent="0.25">
      <c r="A110"/>
    </row>
    <row r="111" spans="1:41" ht="20" customHeight="1" x14ac:dyDescent="0.25">
      <c r="A111"/>
      <c r="D111" s="243" t="s">
        <v>1091</v>
      </c>
    </row>
    <row r="112" spans="1:41" ht="20" customHeight="1" x14ac:dyDescent="0.25">
      <c r="A112"/>
    </row>
    <row r="113" spans="1:28" ht="20" customHeight="1" x14ac:dyDescent="0.25">
      <c r="A113"/>
      <c r="D113" s="126" t="s">
        <v>1092</v>
      </c>
      <c r="E113" s="45"/>
      <c r="F113" s="126"/>
      <c r="G113" s="44"/>
      <c r="H113" s="45"/>
    </row>
    <row r="114" spans="1:28" ht="20" customHeight="1" x14ac:dyDescent="0.25">
      <c r="A114"/>
      <c r="D114" s="152" t="s">
        <v>1093</v>
      </c>
      <c r="E114" s="154"/>
      <c r="F114" s="152"/>
      <c r="G114" s="153"/>
      <c r="H114" s="154"/>
    </row>
    <row r="115" spans="1:28" ht="20" customHeight="1" x14ac:dyDescent="0.25">
      <c r="A115"/>
      <c r="D115" s="46" t="s">
        <v>1094</v>
      </c>
      <c r="E115" s="48"/>
      <c r="F115" s="46"/>
      <c r="G115" s="47"/>
      <c r="H115" s="48"/>
    </row>
    <row r="116" spans="1:28" ht="20" customHeight="1" x14ac:dyDescent="0.25">
      <c r="A116"/>
    </row>
    <row r="117" spans="1:28" ht="20" customHeight="1" x14ac:dyDescent="0.25">
      <c r="A117"/>
      <c r="D117" s="36" t="s">
        <v>1095</v>
      </c>
      <c r="E117" s="38"/>
      <c r="F117" s="39"/>
    </row>
    <row r="118" spans="1:28" ht="20" customHeight="1" x14ac:dyDescent="0.25">
      <c r="A118"/>
    </row>
    <row r="119" spans="1:28" ht="20" customHeight="1" x14ac:dyDescent="0.25">
      <c r="A119"/>
      <c r="D119" s="82" t="s">
        <v>1096</v>
      </c>
      <c r="E119" s="82" t="s">
        <v>1097</v>
      </c>
      <c r="F119" s="114" t="s">
        <v>1098</v>
      </c>
      <c r="G119" s="114" t="s">
        <v>1069</v>
      </c>
      <c r="H119" s="82" t="s">
        <v>1099</v>
      </c>
      <c r="I119" s="114" t="s">
        <v>1072</v>
      </c>
      <c r="J119" s="82" t="s">
        <v>1073</v>
      </c>
      <c r="K119" s="82" t="s">
        <v>1074</v>
      </c>
      <c r="L119" s="82" t="s">
        <v>1075</v>
      </c>
      <c r="M119" s="114" t="s">
        <v>590</v>
      </c>
      <c r="N119" s="114" t="s">
        <v>1100</v>
      </c>
      <c r="O119" s="114" t="s">
        <v>591</v>
      </c>
      <c r="P119" s="114" t="s">
        <v>1101</v>
      </c>
      <c r="Q119" s="114" t="s">
        <v>592</v>
      </c>
      <c r="R119" s="114" t="s">
        <v>1102</v>
      </c>
      <c r="S119" s="114" t="s">
        <v>593</v>
      </c>
      <c r="T119" s="114" t="s">
        <v>1103</v>
      </c>
      <c r="U119" s="114" t="s">
        <v>594</v>
      </c>
      <c r="V119" s="114" t="s">
        <v>1104</v>
      </c>
      <c r="W119" s="114" t="s">
        <v>595</v>
      </c>
      <c r="X119" s="114" t="s">
        <v>1105</v>
      </c>
      <c r="Y119" s="114" t="s">
        <v>596</v>
      </c>
      <c r="Z119" s="114" t="s">
        <v>1106</v>
      </c>
      <c r="AA119" s="114" t="s">
        <v>597</v>
      </c>
      <c r="AB119" s="114" t="s">
        <v>1107</v>
      </c>
    </row>
    <row r="120" spans="1:28" ht="20" customHeight="1" x14ac:dyDescent="0.25">
      <c r="A120"/>
      <c r="D120" s="15" cm="1">
        <f t="array" ref="D120:D129">IFERROR(INDEX(Table_Input_FeedBlends[Feed blend name], _xlfn.SEQUENCE(10)), "")</f>
        <v>0</v>
      </c>
      <c r="E120" s="15" cm="1">
        <f t="array" ref="E120:E129">IFERROR(INDEX(Table_Input_FeedBlends[Amount fed (kg)], _xlfn.SEQUENCE(10)), "")</f>
        <v>0</v>
      </c>
      <c r="F120" s="15">
        <f t="shared" ref="F120:F129" si="0">IFERROR((O120*P120)+(S120*T120)+(W120*X120)+(AA120*AB120), 0)</f>
        <v>0</v>
      </c>
      <c r="G120" s="257" cm="1">
        <f t="array" ref="G120">Scope3_Equations.VEERG_15_2_1_1__1_EmissionsFromPurchasedFeedVariation(E120,F120)</f>
        <v>0</v>
      </c>
      <c r="H120" s="76">
        <v>0.04</v>
      </c>
      <c r="I120" s="257" cm="1">
        <f t="array" ref="I120">Scope3_Equations.VEERG_15_2_1_1__1_EmissionsFromPurchasedFeedVariation(E120,IF(H120,H120, F120))</f>
        <v>0</v>
      </c>
      <c r="J120" s="34"/>
      <c r="K120" s="13"/>
      <c r="L120" s="239"/>
      <c r="M120" s="15" cm="1">
        <f t="array" ref="M120:M129">IFERROR(INDEX(Table_Input_FeedBlends[Ingredient 1 (select)], _xlfn.SEQUENCE(10)), "")</f>
        <v>0</v>
      </c>
      <c r="N120" s="15" cm="1">
        <f t="array" ref="N120:N129">IFERROR(INDEX(Table_Input_FeedBlends[Ingredient 1 source region], _xlfn.SEQUENCE(10)), "")</f>
        <v>0</v>
      </c>
      <c r="O120" s="15" cm="1">
        <f t="array" ref="O120:O129">IFERROR(INDEX(Table_Input_FeedBlends[Ingredient 1 percent], _xlfn.SEQUENCE(10)), "")</f>
        <v>0</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0</v>
      </c>
      <c r="Q120" s="15" cm="1">
        <f t="array" ref="Q120:Q129">IFERROR(INDEX(Table_Input_FeedBlends[Ingredient 2 (select)], _xlfn.SEQUENCE(10)), "")</f>
        <v>0</v>
      </c>
      <c r="R120" s="15" cm="1">
        <f t="array" ref="R120:R129">IFERROR(INDEX(Table_Input_FeedBlends[Ingredient 2 source region], _xlfn.SEQUENCE(10)), "")</f>
        <v>0</v>
      </c>
      <c r="S120" s="15" cm="1">
        <f t="array" ref="S120:S129">IFERROR(INDEX(Table_Input_FeedBlends[Ingredient 2 percent], _xlfn.SEQUENCE(10)), "")</f>
        <v>0</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v>
      </c>
      <c r="U120" s="15" cm="1">
        <f t="array" ref="U120:U129">IFERROR(INDEX(Table_Input_FeedBlends[Ingredient 3 (select)], _xlfn.SEQUENCE(10)), "")</f>
        <v>0</v>
      </c>
      <c r="V120" s="15" cm="1">
        <f t="array" ref="V120:V129">IFERROR(INDEX(Table_Input_FeedBlends[Ingredient 3 source region], _xlfn.SEQUENCE(10)), "")</f>
        <v>0</v>
      </c>
      <c r="W120" s="15" cm="1">
        <f t="array" ref="W120:W129">IFERROR(INDEX(Table_Input_FeedBlends[Ingredient 3 percent], _xlfn.SEQUENCE(10)), "")</f>
        <v>0</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v>
      </c>
      <c r="Y120" s="15" cm="1">
        <f t="array" ref="Y120:Y129">IFERROR(INDEX(Table_Input_FeedBlends[Ingredient 4 (select)], _xlfn.SEQUENCE(10)), "")</f>
        <v>0</v>
      </c>
      <c r="Z120" s="15" cm="1">
        <f t="array" ref="Z120:Z129">IFERROR(INDEX(Table_Input_FeedBlends[Ingredient 4 source region], _xlfn.SEQUENCE(10)), "")</f>
        <v>0</v>
      </c>
      <c r="AA120" s="15" cm="1">
        <f t="array" ref="AA120:AA129">IFERROR(INDEX(Table_Input_FeedBlends[Ingredient 4 percent], _xlfn.SEQUENCE(10)), "")</f>
        <v>0</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v>
      </c>
    </row>
    <row r="121" spans="1:28" ht="20" customHeight="1" x14ac:dyDescent="0.25">
      <c r="A121"/>
      <c r="D121" s="15">
        <v>0</v>
      </c>
      <c r="E121" s="15">
        <v>0</v>
      </c>
      <c r="F121" s="15">
        <f t="shared" si="0"/>
        <v>0</v>
      </c>
      <c r="G121" s="257" cm="1">
        <f t="array" ref="G121">Scope3_Equations.VEERG_15_2_1_1__1_EmissionsFromPurchasedFeedVariation(E121,F121)</f>
        <v>0</v>
      </c>
      <c r="H121" s="76">
        <v>0.03</v>
      </c>
      <c r="I121" s="257" cm="1">
        <f t="array" ref="I121">Scope3_Equations.VEERG_15_2_1_1__1_EmissionsFromPurchasedFeedVariation(E121,IF(H121,H121, F121))</f>
        <v>0</v>
      </c>
      <c r="J121" s="34"/>
      <c r="K121" s="13"/>
      <c r="L121" s="34"/>
      <c r="M121" s="15">
        <v>0</v>
      </c>
      <c r="N121" s="15">
        <v>0</v>
      </c>
      <c r="O121" s="15">
        <v>0</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v>
      </c>
      <c r="Q121" s="15">
        <v>0</v>
      </c>
      <c r="R121" s="15">
        <v>0</v>
      </c>
      <c r="S121" s="15">
        <v>0</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 customHeight="1" x14ac:dyDescent="0.25">
      <c r="A122"/>
      <c r="D122" s="15">
        <v>0</v>
      </c>
      <c r="E122" s="15">
        <v>0</v>
      </c>
      <c r="F122" s="15">
        <f t="shared" si="0"/>
        <v>0</v>
      </c>
      <c r="G122" s="257" cm="1">
        <f t="array" ref="G122">Scope3_Equations.VEERG_15_2_1_1__1_EmissionsFromPurchasedFeedVariation(E122,F122)</f>
        <v>0</v>
      </c>
      <c r="H122" s="76">
        <v>0.14000000000000001</v>
      </c>
      <c r="I122" s="257" cm="1">
        <f t="array" ref="I122">Scope3_Equations.VEERG_15_2_1_1__1_EmissionsFromPurchasedFeedVariation(E122,IF(H122,H122, F122))</f>
        <v>0</v>
      </c>
      <c r="J122" s="34"/>
      <c r="K122" s="13"/>
      <c r="L122" s="34"/>
      <c r="M122" s="15">
        <v>0</v>
      </c>
      <c r="N122" s="15">
        <v>0</v>
      </c>
      <c r="O122" s="15">
        <v>0</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v>
      </c>
      <c r="Q122" s="15">
        <v>0</v>
      </c>
      <c r="R122" s="15">
        <v>0</v>
      </c>
      <c r="S122" s="15">
        <v>0</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 customHeight="1" x14ac:dyDescent="0.25">
      <c r="A123"/>
      <c r="D123" s="15">
        <v>0</v>
      </c>
      <c r="E123" s="15">
        <v>0</v>
      </c>
      <c r="F123" s="15">
        <f t="shared" si="0"/>
        <v>0</v>
      </c>
      <c r="G123" s="257" cm="1">
        <f t="array" ref="G123">Scope3_Equations.VEERG_15_2_1_1__1_EmissionsFromPurchasedFeedVariation(E123,F123)</f>
        <v>0</v>
      </c>
      <c r="H123" s="76"/>
      <c r="I123" s="257" cm="1">
        <f t="array" ref="I123">Scope3_Equations.VEERG_15_2_1_1__1_EmissionsFromPurchasedFeedVariation(E123,IF(H123,H123, F123))</f>
        <v>0</v>
      </c>
      <c r="J123" s="34"/>
      <c r="K123" s="13"/>
      <c r="L123" s="34"/>
      <c r="M123" s="15">
        <v>0</v>
      </c>
      <c r="N123" s="15">
        <v>0</v>
      </c>
      <c r="O123" s="15">
        <v>0</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 customHeight="1" x14ac:dyDescent="0.25">
      <c r="A124"/>
      <c r="D124" s="15">
        <v>0</v>
      </c>
      <c r="E124" s="15">
        <v>0</v>
      </c>
      <c r="F124" s="15">
        <f t="shared" si="0"/>
        <v>0</v>
      </c>
      <c r="G124" s="257" cm="1">
        <f t="array" ref="G124">Scope3_Equations.VEERG_15_2_1_1__1_EmissionsFromPurchasedFeedVariation(E124,F124)</f>
        <v>0</v>
      </c>
      <c r="H124" s="76"/>
      <c r="I124" s="257" cm="1">
        <f t="array" ref="I124">Scope3_Equations.VEERG_15_2_1_1__1_EmissionsFromPurchasedFeedVariation(E124,IF(H124,H124, F124))</f>
        <v>0</v>
      </c>
      <c r="J124" s="34"/>
      <c r="K124" s="13"/>
      <c r="L124" s="34"/>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 customHeight="1" x14ac:dyDescent="0.25">
      <c r="A125"/>
      <c r="D125" s="15">
        <v>0</v>
      </c>
      <c r="E125" s="15">
        <v>0</v>
      </c>
      <c r="F125" s="15">
        <f t="shared" si="0"/>
        <v>0</v>
      </c>
      <c r="G125" s="257" cm="1">
        <f t="array" ref="G125">Scope3_Equations.VEERG_15_2_1_1__1_EmissionsFromPurchasedFeedVariation(E125,F125)</f>
        <v>0</v>
      </c>
      <c r="H125" s="76"/>
      <c r="I125" s="257" cm="1">
        <f t="array" ref="I125">Scope3_Equations.VEERG_15_2_1_1__1_EmissionsFromPurchasedFeedVariation(E125,IF(H125,H125, F125))</f>
        <v>0</v>
      </c>
      <c r="J125" s="34"/>
      <c r="K125" s="13"/>
      <c r="L125" s="34"/>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 customHeight="1" x14ac:dyDescent="0.25">
      <c r="A126"/>
      <c r="D126" s="15">
        <v>0</v>
      </c>
      <c r="E126" s="15">
        <v>0</v>
      </c>
      <c r="F126" s="15">
        <f t="shared" si="0"/>
        <v>0</v>
      </c>
      <c r="G126" s="257" cm="1">
        <f t="array" ref="G126">Scope3_Equations.VEERG_15_2_1_1__1_EmissionsFromPurchasedFeedVariation(E126,F126)</f>
        <v>0</v>
      </c>
      <c r="H126" s="76"/>
      <c r="I126" s="257" cm="1">
        <f t="array" ref="I126">Scope3_Equations.VEERG_15_2_1_1__1_EmissionsFromPurchasedFeedVariation(E126,IF(H126,H126, F126))</f>
        <v>0</v>
      </c>
      <c r="J126" s="34"/>
      <c r="K126" s="13"/>
      <c r="L126" s="34"/>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 customHeight="1" x14ac:dyDescent="0.25">
      <c r="A127"/>
      <c r="D127" s="15">
        <v>0</v>
      </c>
      <c r="E127" s="15">
        <v>0</v>
      </c>
      <c r="F127" s="15">
        <f t="shared" si="0"/>
        <v>0</v>
      </c>
      <c r="G127" s="257" cm="1">
        <f t="array" ref="G127">Scope3_Equations.VEERG_15_2_1_1__1_EmissionsFromPurchasedFeedVariation(E127,F127)</f>
        <v>0</v>
      </c>
      <c r="H127" s="76"/>
      <c r="I127" s="257" cm="1">
        <f t="array" ref="I127">Scope3_Equations.VEERG_15_2_1_1__1_EmissionsFromPurchasedFeedVariation(E127,IF(H127,H127, F127))</f>
        <v>0</v>
      </c>
      <c r="J127" s="34"/>
      <c r="K127" s="13"/>
      <c r="L127" s="34"/>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 customHeight="1" x14ac:dyDescent="0.25">
      <c r="A128"/>
      <c r="D128" s="15">
        <v>0</v>
      </c>
      <c r="E128" s="15">
        <v>0</v>
      </c>
      <c r="F128" s="15">
        <f t="shared" si="0"/>
        <v>0</v>
      </c>
      <c r="G128" s="257" cm="1">
        <f t="array" ref="G128">Scope3_Equations.VEERG_15_2_1_1__1_EmissionsFromPurchasedFeedVariation(E128,F128)</f>
        <v>0</v>
      </c>
      <c r="H128" s="76"/>
      <c r="I128" s="257" cm="1">
        <f t="array" ref="I128">Scope3_Equations.VEERG_15_2_1_1__1_EmissionsFromPurchasedFeedVariation(E128,IF(H128,H128, F128))</f>
        <v>0</v>
      </c>
      <c r="J128" s="34"/>
      <c r="K128" s="13"/>
      <c r="L128" s="34"/>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1:28" ht="20" customHeight="1" x14ac:dyDescent="0.25">
      <c r="A129"/>
      <c r="D129" s="15">
        <v>0</v>
      </c>
      <c r="E129" s="15">
        <v>0</v>
      </c>
      <c r="F129" s="15">
        <f t="shared" si="0"/>
        <v>0</v>
      </c>
      <c r="G129" s="257" cm="1">
        <f t="array" ref="G129">Scope3_Equations.VEERG_15_2_1_1__1_EmissionsFromPurchasedFeedVariation(E129,F129)</f>
        <v>0</v>
      </c>
      <c r="H129" s="76"/>
      <c r="I129" s="257" cm="1">
        <f t="array" ref="I129">Scope3_Equations.VEERG_15_2_1_1__1_EmissionsFromPurchasedFeedVariation(E129,IF(H129,H129, F129))</f>
        <v>0</v>
      </c>
      <c r="J129" s="34"/>
      <c r="K129" s="13"/>
      <c r="L129" s="34"/>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0" spans="1:28" ht="20" customHeight="1" x14ac:dyDescent="0.25">
      <c r="A130"/>
    </row>
    <row r="131" spans="1:28" ht="20" customHeight="1" x14ac:dyDescent="0.25">
      <c r="A131"/>
      <c r="D131" s="93" t="s">
        <v>1069</v>
      </c>
      <c r="E131" s="87">
        <f>SUM(G120:G129)</f>
        <v>0</v>
      </c>
      <c r="F131" s="94" t="str">
        <f>$E$105</f>
        <v>t CO2e</v>
      </c>
    </row>
    <row r="132" spans="1:28" ht="20" customHeight="1" x14ac:dyDescent="0.25">
      <c r="A132"/>
      <c r="D132" s="93" t="s">
        <v>1072</v>
      </c>
      <c r="E132" s="87">
        <f>SUM(I120:I129)</f>
        <v>0</v>
      </c>
      <c r="F132" s="94" t="str">
        <f>$E$105</f>
        <v>t CO2e</v>
      </c>
    </row>
    <row r="133" spans="1:28" ht="20" customHeight="1" x14ac:dyDescent="0.25">
      <c r="A133"/>
    </row>
    <row r="134" spans="1:28" ht="20" customHeight="1" x14ac:dyDescent="0.25">
      <c r="A134"/>
    </row>
    <row r="135" spans="1:28" ht="20" customHeight="1" x14ac:dyDescent="0.25">
      <c r="A135"/>
      <c r="D135" s="243" t="s">
        <v>1028</v>
      </c>
    </row>
    <row r="136" spans="1:28" ht="20" customHeight="1" x14ac:dyDescent="0.25">
      <c r="A136"/>
      <c r="D136" s="82" t="s">
        <v>139</v>
      </c>
      <c r="E136" s="82" t="s">
        <v>1097</v>
      </c>
      <c r="F136" s="114" t="s">
        <v>1098</v>
      </c>
      <c r="G136" s="114" t="s">
        <v>1069</v>
      </c>
      <c r="H136" s="82" t="s">
        <v>1099</v>
      </c>
      <c r="I136" s="114" t="s">
        <v>1072</v>
      </c>
      <c r="J136" s="82" t="s">
        <v>1073</v>
      </c>
      <c r="K136" s="82" t="s">
        <v>1074</v>
      </c>
      <c r="L136" s="82" t="s">
        <v>1075</v>
      </c>
    </row>
    <row r="137" spans="1:28" ht="20" customHeight="1" x14ac:dyDescent="0.25">
      <c r="A137"/>
      <c r="D137" s="15" t="str">
        <f>'Input - Livestock farm Inputs'!D12</f>
        <v>Feed for chickens</v>
      </c>
      <c r="E137" s="15">
        <f>IFERROR(X_Cell_FarmInputs_FeedRations_Chickens, 0)</f>
        <v>0</v>
      </c>
      <c r="F137" s="15" cm="1">
        <f t="array" ref="F137">Common_InputFunctions.Utility_LookupValueInTableNumber(D137,Table_SourceData_Scope3_MixedRations[Product],Table_SourceData_Scope3_MixedRations[Emissions intensity])</f>
        <v>0.59399999999999997</v>
      </c>
      <c r="G137" s="257" cm="1">
        <f t="array" ref="G137">Scope3_Equations.VEERG_15_2_1_1__1_EmissionsFromPurchasedFeedVariation(E137,F137)</f>
        <v>0</v>
      </c>
      <c r="H137" s="76">
        <v>0.5</v>
      </c>
      <c r="I137" s="257" cm="1">
        <f t="array" ref="I137">Scope3_Equations.VEERG_15_2_1_1__1_EmissionsFromPurchasedFeedVariation(E137,IF(H137,H137, F137))</f>
        <v>0</v>
      </c>
      <c r="J137" s="34"/>
      <c r="K137" s="13"/>
      <c r="L137" s="34"/>
    </row>
    <row r="138" spans="1:28" ht="20" customHeight="1" x14ac:dyDescent="0.25">
      <c r="A138"/>
      <c r="D138" s="15" t="str">
        <f>'Input - Livestock farm Inputs'!D13</f>
        <v>Feed for dairy calves</v>
      </c>
      <c r="E138" s="15">
        <f>IFERROR(X_Cell_FarmInputs_FeedRations_DairyCalves, 0)</f>
        <v>0</v>
      </c>
      <c r="F138" s="15" cm="1">
        <f t="array" ref="F138">Common_InputFunctions.Utility_LookupValueInTableNumber(D138,Table_SourceData_Scope3_MixedRations[Product],Table_SourceData_Scope3_MixedRations[Emissions intensity])</f>
        <v>0.41899999999999998</v>
      </c>
      <c r="G138" s="257" cm="1">
        <f t="array" ref="G138">Scope3_Equations.VEERG_15_2_1_1__1_EmissionsFromPurchasedFeedVariation(E138,F138)</f>
        <v>0</v>
      </c>
      <c r="H138" s="76">
        <v>0.4</v>
      </c>
      <c r="I138" s="257" cm="1">
        <f t="array" ref="I138">Scope3_Equations.VEERG_15_2_1_1__1_EmissionsFromPurchasedFeedVariation(E138,IF(H138,H138, F138))</f>
        <v>0</v>
      </c>
      <c r="J138" s="34"/>
      <c r="K138" s="13"/>
      <c r="L138" s="34"/>
    </row>
    <row r="139" spans="1:28" ht="20" customHeight="1" x14ac:dyDescent="0.25">
      <c r="A139"/>
      <c r="D139" s="15" t="str">
        <f>'Input - Livestock farm Inputs'!D14</f>
        <v>Feed for dairy cows</v>
      </c>
      <c r="E139" s="15">
        <f>IFERROR(X_Cell_FarmInputs_FeedRations_DairyCows, 0)</f>
        <v>0</v>
      </c>
      <c r="F139" s="15" cm="1">
        <f t="array" ref="F139">Common_InputFunctions.Utility_LookupValueInTableNumber(D139,Table_SourceData_Scope3_MixedRations[Product],Table_SourceData_Scope3_MixedRations[Emissions intensity])</f>
        <v>0.33300000000000002</v>
      </c>
      <c r="G139" s="257" cm="1">
        <f t="array" ref="G139">Scope3_Equations.VEERG_15_2_1_1__1_EmissionsFromPurchasedFeedVariation(E139,F139)</f>
        <v>0</v>
      </c>
      <c r="H139" s="76">
        <v>0</v>
      </c>
      <c r="I139" s="257" cm="1">
        <f t="array" ref="I139">Scope3_Equations.VEERG_15_2_1_1__1_EmissionsFromPurchasedFeedVariation(E139,IF(H139,H139, F139))</f>
        <v>0</v>
      </c>
      <c r="J139" s="34"/>
      <c r="K139" s="13"/>
      <c r="L139" s="34"/>
    </row>
    <row r="140" spans="1:28" ht="20" customHeight="1" x14ac:dyDescent="0.25">
      <c r="A140"/>
      <c r="D140" s="15" t="str">
        <f>'Input - Livestock farm Inputs'!D15</f>
        <v>Feed for pigs</v>
      </c>
      <c r="E140" s="15">
        <f>IFERROR(X_Cell_FarmInputs_FeedRations_Pigs, 0)</f>
        <v>0</v>
      </c>
      <c r="F140" s="15" cm="1">
        <f t="array" ref="F140">Common_InputFunctions.Utility_LookupValueInTableNumber(D140,Table_SourceData_Scope3_MixedRations[Product],Table_SourceData_Scope3_MixedRations[Emissions intensity])</f>
        <v>0.40300000000000002</v>
      </c>
      <c r="G140" s="257" cm="1">
        <f t="array" ref="G140">Scope3_Equations.VEERG_15_2_1_1__1_EmissionsFromPurchasedFeedVariation(E140,F140)</f>
        <v>0</v>
      </c>
      <c r="H140" s="76">
        <v>0</v>
      </c>
      <c r="I140" s="257" cm="1">
        <f t="array" ref="I140">Scope3_Equations.VEERG_15_2_1_1__1_EmissionsFromPurchasedFeedVariation(E140,IF(H140,H140, F140))</f>
        <v>0</v>
      </c>
      <c r="J140" s="34"/>
      <c r="K140" s="13"/>
      <c r="L140" s="34"/>
    </row>
    <row r="141" spans="1:28" ht="20" customHeight="1" x14ac:dyDescent="0.25">
      <c r="A141"/>
    </row>
    <row r="142" spans="1:28" ht="20" customHeight="1" x14ac:dyDescent="0.25">
      <c r="A142"/>
      <c r="D142" s="93" t="s">
        <v>1069</v>
      </c>
      <c r="E142" s="87">
        <f>SUM(G137:G140)</f>
        <v>0</v>
      </c>
      <c r="F142" s="94" t="str">
        <f>$E$105</f>
        <v>t CO2e</v>
      </c>
    </row>
    <row r="143" spans="1:28" ht="20" customHeight="1" x14ac:dyDescent="0.25">
      <c r="A143"/>
      <c r="D143" s="93" t="s">
        <v>1072</v>
      </c>
      <c r="E143" s="87">
        <f>SUM(I137:I140)</f>
        <v>0</v>
      </c>
      <c r="F143" s="94" t="str">
        <f>$E$105</f>
        <v>t CO2e</v>
      </c>
    </row>
    <row r="144" spans="1:28" ht="20" customHeight="1" x14ac:dyDescent="0.25">
      <c r="A144"/>
    </row>
    <row r="145" spans="1:12" ht="20" customHeight="1" x14ac:dyDescent="0.25">
      <c r="A145"/>
    </row>
    <row r="146" spans="1:12" ht="20" customHeight="1" x14ac:dyDescent="0.25">
      <c r="A146"/>
      <c r="D146" s="243" t="s">
        <v>1108</v>
      </c>
    </row>
    <row r="147" spans="1:12" ht="20" customHeight="1" x14ac:dyDescent="0.25">
      <c r="A147"/>
      <c r="D147" s="82" t="s">
        <v>139</v>
      </c>
      <c r="E147" s="82" t="s">
        <v>1097</v>
      </c>
      <c r="F147" s="114" t="s">
        <v>1098</v>
      </c>
      <c r="G147" s="114" t="s">
        <v>1069</v>
      </c>
      <c r="H147" s="82" t="s">
        <v>1099</v>
      </c>
      <c r="I147" s="114" t="s">
        <v>1072</v>
      </c>
      <c r="J147" s="82" t="s">
        <v>1073</v>
      </c>
      <c r="K147" s="82" t="s">
        <v>1074</v>
      </c>
      <c r="L147" s="82" t="s">
        <v>1075</v>
      </c>
    </row>
    <row r="148" spans="1:12" ht="20" customHeight="1" x14ac:dyDescent="0.25">
      <c r="A148"/>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57" cm="1">
        <f t="array" ref="G148">Scope3_Equations.VEERG_15_2_1_1__1_EmissionsFromPurchasedFeedVariation(E148,F148)</f>
        <v>0</v>
      </c>
      <c r="H148" s="76">
        <v>0.2</v>
      </c>
      <c r="I148" s="257" cm="1">
        <f t="array" ref="I148">Scope3_Equations.VEERG_15_2_1_1__1_EmissionsFromPurchasedFeedVariation(E148,IF(H148,H148, F148))</f>
        <v>0</v>
      </c>
      <c r="J148" s="34"/>
      <c r="K148" s="34"/>
      <c r="L148" s="34"/>
    </row>
    <row r="149" spans="1:12" ht="20" customHeight="1" x14ac:dyDescent="0.25">
      <c r="A149"/>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57" cm="1">
        <f t="array" ref="G149">Scope3_Equations.VEERG_15_2_1_1__1_EmissionsFromPurchasedFeedVariation(E149,F149)</f>
        <v>0</v>
      </c>
      <c r="H149" s="76">
        <v>0</v>
      </c>
      <c r="I149" s="257" cm="1">
        <f t="array" ref="I149">Scope3_Equations.VEERG_15_2_1_1__1_EmissionsFromPurchasedFeedVariation(E149,IF(H149,H149, F149))</f>
        <v>0</v>
      </c>
      <c r="J149" s="34"/>
      <c r="K149" s="34"/>
      <c r="L149" s="34"/>
    </row>
    <row r="150" spans="1:12" ht="20" customHeight="1" x14ac:dyDescent="0.25">
      <c r="A150"/>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57" cm="1">
        <f t="array" ref="G150">Scope3_Equations.VEERG_15_2_1_1__1_EmissionsFromPurchasedFeedVariation(E150,F150)</f>
        <v>0</v>
      </c>
      <c r="H150" s="76">
        <v>0</v>
      </c>
      <c r="I150" s="257" cm="1">
        <f t="array" ref="I150">Scope3_Equations.VEERG_15_2_1_1__1_EmissionsFromPurchasedFeedVariation(E150,IF(H150,H150, F150))</f>
        <v>0</v>
      </c>
      <c r="J150" s="34"/>
      <c r="K150" s="34"/>
      <c r="L150" s="34"/>
    </row>
    <row r="151" spans="1:12" ht="20" customHeight="1" x14ac:dyDescent="0.25">
      <c r="A151"/>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57" cm="1">
        <f t="array" ref="G151">Scope3_Equations.VEERG_15_2_1_1__1_EmissionsFromPurchasedFeedVariation(E151,F151)</f>
        <v>0</v>
      </c>
      <c r="H151" s="76">
        <v>0</v>
      </c>
      <c r="I151" s="257" cm="1">
        <f t="array" ref="I151">Scope3_Equations.VEERG_15_2_1_1__1_EmissionsFromPurchasedFeedVariation(E151,IF(H151,H151, F151))</f>
        <v>0</v>
      </c>
      <c r="J151" s="34"/>
      <c r="K151" s="34"/>
      <c r="L151" s="34"/>
    </row>
    <row r="152" spans="1:12" ht="20" customHeight="1" x14ac:dyDescent="0.25">
      <c r="A15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57" cm="1">
        <f t="array" ref="G152">Scope3_Equations.VEERG_15_2_1_1__1_EmissionsFromPurchasedFeedVariation(E152,F152)</f>
        <v>0</v>
      </c>
      <c r="H152" s="76">
        <v>0</v>
      </c>
      <c r="I152" s="257" cm="1">
        <f t="array" ref="I152">Scope3_Equations.VEERG_15_2_1_1__1_EmissionsFromPurchasedFeedVariation(E152,IF(H152,H152, F152))</f>
        <v>0</v>
      </c>
      <c r="J152" s="34"/>
      <c r="K152" s="34"/>
      <c r="L152" s="34"/>
    </row>
    <row r="153" spans="1:12" ht="20" customHeight="1" x14ac:dyDescent="0.25">
      <c r="A153"/>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57" cm="1">
        <f t="array" ref="G153">Scope3_Equations.VEERG_15_2_1_1__1_EmissionsFromPurchasedFeedVariation(E153,F153)</f>
        <v>0</v>
      </c>
      <c r="H153" s="76">
        <v>0</v>
      </c>
      <c r="I153" s="257" cm="1">
        <f t="array" ref="I153">Scope3_Equations.VEERG_15_2_1_1__1_EmissionsFromPurchasedFeedVariation(E153,IF(H153,H153, F153))</f>
        <v>0</v>
      </c>
      <c r="J153" s="34"/>
      <c r="K153" s="34"/>
      <c r="L153" s="34"/>
    </row>
    <row r="154" spans="1:12" ht="20" customHeight="1" x14ac:dyDescent="0.25">
      <c r="A154"/>
    </row>
    <row r="155" spans="1:12" ht="20" customHeight="1" x14ac:dyDescent="0.25">
      <c r="A155"/>
      <c r="D155" s="93" t="s">
        <v>1069</v>
      </c>
      <c r="E155" s="87">
        <f>SUM(G148:G153)</f>
        <v>0</v>
      </c>
      <c r="F155" s="94" t="str">
        <f>$E$105</f>
        <v>t CO2e</v>
      </c>
    </row>
    <row r="156" spans="1:12" ht="20" customHeight="1" x14ac:dyDescent="0.25">
      <c r="A156"/>
      <c r="D156" s="93" t="s">
        <v>1072</v>
      </c>
      <c r="E156" s="87">
        <f>SUM(I148:I153)</f>
        <v>0</v>
      </c>
      <c r="F156" s="94" t="str">
        <f>$E$105</f>
        <v>t CO2e</v>
      </c>
    </row>
    <row r="157" spans="1:12" ht="20" customHeight="1" x14ac:dyDescent="0.25">
      <c r="A157"/>
    </row>
    <row r="158" spans="1:12" ht="20" customHeight="1" x14ac:dyDescent="0.25">
      <c r="A158"/>
    </row>
    <row r="159" spans="1:12" ht="20" customHeight="1" x14ac:dyDescent="0.25">
      <c r="A159"/>
      <c r="D159" s="90" t="s">
        <v>1069</v>
      </c>
      <c r="E159" s="91">
        <f>E131+E142+E155</f>
        <v>0</v>
      </c>
      <c r="F159" s="95" t="str">
        <f>$E$105</f>
        <v>t CO2e</v>
      </c>
    </row>
    <row r="160" spans="1:12" ht="20" customHeight="1" x14ac:dyDescent="0.25">
      <c r="A160"/>
      <c r="D160" s="90" t="s">
        <v>1072</v>
      </c>
      <c r="E160" s="91">
        <f>E132+E143+E156</f>
        <v>0</v>
      </c>
      <c r="F160" s="95" t="str">
        <f>$E$105</f>
        <v>t CO2e</v>
      </c>
    </row>
    <row r="161" spans="3:41" ht="20" customHeight="1" x14ac:dyDescent="0.25"/>
    <row r="162" spans="3:41" ht="20" customHeight="1" x14ac:dyDescent="0.25"/>
    <row r="163" spans="3:41" ht="20" customHeight="1" x14ac:dyDescent="0.25">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row>
    <row r="164" spans="3:41" ht="20" customHeight="1" x14ac:dyDescent="0.25">
      <c r="D164" s="2" t="str" cm="1">
        <f t="array" ref="D164">Scope3_Equations.VEERG_15_3_1_1__1_EmissionsFromPurchasedMineralSupplements_Title()</f>
        <v>Total emissions from purchased mineral supplements</v>
      </c>
    </row>
    <row r="165" spans="3:41" ht="20" customHeight="1" x14ac:dyDescent="0.25">
      <c r="D165" s="17" t="str" cm="1">
        <f t="array" ref="D165">Scope3_Equations.VEERG_15_3_1_1__1_EmissionsFromPurchasedMineralSupplements_Source()</f>
        <v>VEERG 2026: 15.3.1.1, Equation (1)</v>
      </c>
    </row>
    <row r="166" spans="3:41" ht="20" customHeight="1" x14ac:dyDescent="0.25">
      <c r="D166" s="103" t="s">
        <v>372</v>
      </c>
      <c r="E166" s="103" t="str" cm="1">
        <f t="array" aca="1" ref="E166" ca="1">Common_InputFunctions.Utility_DisplayFunctionName(G177)</f>
        <v>=Scope3_Equations.VEERG_15_3_1_1__1_EmissionsFromPurchasedMineralSupplementsVariation</v>
      </c>
    </row>
    <row r="167" spans="3:41" ht="20" customHeight="1" x14ac:dyDescent="0.25"/>
    <row r="168" spans="3:41" ht="20" customHeight="1" x14ac:dyDescent="0.25">
      <c r="F168" s="26" t="str" cm="1">
        <f t="array" ref="F168">Scope3_Equations.VEERG_15_3_1_1__1_EmissionsFromPurchasedMineralSupplements_Variation()</f>
        <v>VARIATION ON SOURCE: Input Q_j in kg instead of t to match EF units. Multiply by 10^-3 to convert kg CO2e to t CO2e.</v>
      </c>
      <c r="H168" s="103"/>
    </row>
    <row r="169" spans="3:41" ht="20" customHeight="1" x14ac:dyDescent="0.25">
      <c r="D169" s="77" t="s">
        <v>374</v>
      </c>
      <c r="E169" s="1" t="str" cm="1">
        <f t="array" ref="E169">Scope3_Equations.VEERG_15_3_1_1__1_EmissionsFromPurchasedMineralSupplements_Variable()</f>
        <v>E</v>
      </c>
    </row>
    <row r="170" spans="3:41" ht="20" customHeight="1" x14ac:dyDescent="0.25">
      <c r="D170" s="77" t="s">
        <v>121</v>
      </c>
      <c r="E170" s="9" t="str" cm="1">
        <f t="array" ref="E170">Scope3_Equations.VEERG_15_3_1_1__1_EmissionsFromPurchasedMineralSupplements_Unit()</f>
        <v>t CO2e</v>
      </c>
    </row>
    <row r="171" spans="3:41" ht="20" customHeight="1" x14ac:dyDescent="0.25"/>
    <row r="172" spans="3:41" ht="20" customHeight="1" x14ac:dyDescent="0.25">
      <c r="D172" s="105" t="str" cm="1">
        <f t="array" ref="D172:E174">_xlfn.CHOOSECOLS(Scope3_Equations.VEERG_15_3_1_1__1_EmissionsFromPurchasedMineralSupplements_ArgumentsVariation(),1,2)</f>
        <v>Q_m</v>
      </c>
      <c r="E172" s="106" t="str">
        <v>total quantity of mineral supplement type m used</v>
      </c>
      <c r="F172" s="108"/>
      <c r="G172" s="105" t="str" cm="1">
        <f t="array" ref="G172:H174">_xlfn.CHOOSECOLS(Scope3_Equations.VEERG_15_3_1_1__1_EmissionsFromPurchasedMineralSupplements_ArgumentsVariation(),3,4)</f>
        <v>kg</v>
      </c>
      <c r="H172" s="255" t="str">
        <v>Input</v>
      </c>
    </row>
    <row r="173" spans="3:41" ht="20" customHeight="1" x14ac:dyDescent="0.25">
      <c r="D173" s="105" t="str">
        <v>EF_m</v>
      </c>
      <c r="E173" s="106" t="str">
        <v>emission factor of purchased mineral supplement</v>
      </c>
      <c r="F173" s="108"/>
      <c r="G173" s="105" t="str">
        <v>kg CO2e/kg</v>
      </c>
      <c r="H173" s="255" t="str">
        <v>Constant</v>
      </c>
    </row>
    <row r="174" spans="3:41" ht="20" customHeight="1" x14ac:dyDescent="0.25">
      <c r="D174" s="105" t="str">
        <v>m</v>
      </c>
      <c r="E174" s="106" t="str">
        <v>mineral supplement type</v>
      </c>
      <c r="F174" s="108"/>
      <c r="G174" s="105" t="str">
        <v/>
      </c>
      <c r="H174" s="110" t="str">
        <v>Input</v>
      </c>
    </row>
    <row r="175" spans="3:41" ht="20" customHeight="1" x14ac:dyDescent="0.25"/>
    <row r="176" spans="3:41" ht="20" customHeight="1" x14ac:dyDescent="0.25">
      <c r="D176" s="82" t="s">
        <v>139</v>
      </c>
      <c r="E176" s="82" t="s">
        <v>1109</v>
      </c>
      <c r="F176" s="114" t="s">
        <v>1110</v>
      </c>
      <c r="G176" s="114" t="s">
        <v>1069</v>
      </c>
      <c r="H176" s="82" t="s">
        <v>1111</v>
      </c>
      <c r="I176" s="114" t="s">
        <v>1072</v>
      </c>
      <c r="J176" s="82" t="s">
        <v>1073</v>
      </c>
      <c r="K176" s="82" t="s">
        <v>1074</v>
      </c>
      <c r="L176" s="82" t="s">
        <v>1075</v>
      </c>
    </row>
    <row r="177" spans="3:41" ht="20" customHeight="1" x14ac:dyDescent="0.25">
      <c r="D177" s="15" t="str">
        <f>'Input - Livestock farm Inputs'!D7</f>
        <v>Lick block, dry season mix</v>
      </c>
      <c r="E177" s="15">
        <f>IFERROR(X_Cell_FarmInputs_LickBlocks_DrySeasonMix, 0)</f>
        <v>0</v>
      </c>
      <c r="F177" s="15" cm="1">
        <f t="array" ref="F177">Common_InputFunctions.Utility_LookupValueInTableNumber(D177,Table_SourceData_Scope3_LickBlocks[Product],Table_SourceData_Scope3_LickBlocks[Emissions intensity])</f>
        <v>0.88100000000000001</v>
      </c>
      <c r="G177" s="257" cm="1">
        <f t="array" ref="G177">Scope3_Equations.VEERG_15_3_1_1__1_EmissionsFromPurchasedMineralSupplementsVariation(E177,F177)</f>
        <v>0</v>
      </c>
      <c r="H177" s="76">
        <v>0.8</v>
      </c>
      <c r="I177" s="257" cm="1">
        <f t="array" ref="I177">Scope3_Equations.VEERG_15_3_1_1__1_EmissionsFromPurchasedMineralSupplementsVariation(E177,IF(H177, H177, F177))</f>
        <v>0</v>
      </c>
      <c r="J177" s="34"/>
      <c r="K177" s="13"/>
      <c r="L177" s="34"/>
    </row>
    <row r="178" spans="3:41" ht="20" customHeight="1" x14ac:dyDescent="0.25">
      <c r="D178" s="15" t="str">
        <f>'Input - Livestock farm Inputs'!D8</f>
        <v>Lick block, mineral</v>
      </c>
      <c r="E178" s="15">
        <f>IFERROR(X_Cell_FarmInputs_LickBlocks_Mineral, 0)</f>
        <v>0</v>
      </c>
      <c r="F178" s="15" cm="1">
        <f t="array" ref="F178">Common_InputFunctions.Utility_LookupValueInTableNumber(D178,Table_SourceData_Scope3_LickBlocks[Product],Table_SourceData_Scope3_LickBlocks[Emissions intensity])</f>
        <v>0.67700000000000005</v>
      </c>
      <c r="G178" s="257" cm="1">
        <f t="array" ref="G178">Scope3_Equations.VEERG_15_3_1_1__1_EmissionsFromPurchasedMineralSupplementsVariation(E178,F178)</f>
        <v>0</v>
      </c>
      <c r="H178" s="76">
        <v>0.6</v>
      </c>
      <c r="I178" s="257" cm="1">
        <f t="array" ref="I178">Scope3_Equations.VEERG_15_3_1_1__1_EmissionsFromPurchasedMineralSupplementsVariation(E178,IF(H178, H178, F178))</f>
        <v>0</v>
      </c>
      <c r="J178" s="34"/>
      <c r="K178" s="13"/>
      <c r="L178" s="34"/>
    </row>
    <row r="179" spans="3:41" ht="20" customHeight="1" x14ac:dyDescent="0.25">
      <c r="D179" s="15" t="str">
        <f>'Input - Livestock farm Inputs'!D9</f>
        <v>Lick block, weaner</v>
      </c>
      <c r="E179" s="15">
        <f>IFERROR(X_Cell_FarmInputs_LickBlocks_Weaner, 0)</f>
        <v>0</v>
      </c>
      <c r="F179" s="15" cm="1">
        <f t="array" ref="F179">Common_InputFunctions.Utility_LookupValueInTableNumber(D179,Table_SourceData_Scope3_LickBlocks[Product],Table_SourceData_Scope3_LickBlocks[Emissions intensity])</f>
        <v>0.23100000000000001</v>
      </c>
      <c r="G179" s="257" cm="1">
        <f t="array" ref="G179">Scope3_Equations.VEERG_15_3_1_1__1_EmissionsFromPurchasedMineralSupplementsVariation(E179,F179)</f>
        <v>0</v>
      </c>
      <c r="H179" s="76">
        <v>0.2</v>
      </c>
      <c r="I179" s="257" cm="1">
        <f t="array" ref="I179">Scope3_Equations.VEERG_15_3_1_1__1_EmissionsFromPurchasedMineralSupplementsVariation(E179,IF(H179, H179, F179))</f>
        <v>0</v>
      </c>
      <c r="J179" s="34"/>
      <c r="K179" s="13"/>
      <c r="L179" s="34"/>
    </row>
    <row r="180" spans="3:41" ht="20" customHeight="1" x14ac:dyDescent="0.25"/>
    <row r="181" spans="3:41" ht="20" customHeight="1" x14ac:dyDescent="0.25">
      <c r="D181" s="90" t="s">
        <v>1069</v>
      </c>
      <c r="E181" s="91">
        <f>SUM(G177:G179)</f>
        <v>0</v>
      </c>
      <c r="F181" s="95" t="str">
        <f>$E$170</f>
        <v>t CO2e</v>
      </c>
    </row>
    <row r="182" spans="3:41" ht="20" customHeight="1" x14ac:dyDescent="0.25">
      <c r="D182" s="90" t="s">
        <v>1072</v>
      </c>
      <c r="E182" s="91">
        <f>SUM(I177:I179)</f>
        <v>0</v>
      </c>
      <c r="F182" s="95" t="str">
        <f>$E$170</f>
        <v>t CO2e</v>
      </c>
    </row>
    <row r="183" spans="3:41" ht="20" customHeight="1" x14ac:dyDescent="0.25"/>
    <row r="184" spans="3:41" ht="20" customHeight="1" x14ac:dyDescent="0.25"/>
    <row r="185" spans="3:41" ht="20" customHeight="1" x14ac:dyDescent="0.25">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row>
    <row r="186" spans="3:41" ht="20" customHeight="1" x14ac:dyDescent="0.25">
      <c r="D186" s="2" t="str" cm="1">
        <f t="array" ref="D186">Scope3_Equations.VEERG_15_4_1_1__X_EmissionFactorFromPurchasedFertiliserComponents_Title()</f>
        <v>Emission factor for fertiliser product derived from components</v>
      </c>
    </row>
    <row r="187" spans="3:41" ht="20" customHeight="1" x14ac:dyDescent="0.25">
      <c r="D187" s="17" t="str" cm="1">
        <f t="array" ref="D187">Scope3_Equations.VEERG_15_4_1_1__X_EmissionFactorFromPurchasedFertiliserComponents_Source()</f>
        <v>GAF</v>
      </c>
    </row>
    <row r="188" spans="3:41" ht="20" customHeight="1" x14ac:dyDescent="0.25">
      <c r="D188" s="26" t="str" cm="1">
        <f t="array" ref="D188">Scope3_Equations.VEERG_15_4_1_1__X_EmissionFactorFromPurchasedFertiliserComponents_Variation()</f>
        <v>VARIATION ON SOURCE: This equation is added to calculate an EF value from fertiliser components that can be used in 15.4.1.1 (1)</v>
      </c>
    </row>
    <row r="189" spans="3:41" ht="20" customHeight="1" x14ac:dyDescent="0.25">
      <c r="D189" s="103" t="s">
        <v>372</v>
      </c>
      <c r="E189" s="103" t="str" cm="1">
        <f t="array" aca="1" ref="E189" ca="1">Common_InputFunctions.Utility_DisplayFunctionName(F236)</f>
        <v>=Scope3_Equations.VEERG_15_4_1_1__X_EmissionFactorFromPurchasedFertiliserComponents</v>
      </c>
    </row>
    <row r="190" spans="3:41" ht="20" customHeight="1" x14ac:dyDescent="0.25"/>
    <row r="191" spans="3:41" ht="20" customHeight="1" x14ac:dyDescent="0.25"/>
    <row r="192" spans="3:41" ht="20" customHeight="1" x14ac:dyDescent="0.25">
      <c r="D192" s="77" t="s">
        <v>374</v>
      </c>
      <c r="E192" s="1" t="str" cm="1">
        <f t="array" ref="E192">Scope3_Equations.VEERG_15_4_1_1__X_EmissionFactorFromPurchasedFertiliserComponents_Variable()</f>
        <v>EF_f</v>
      </c>
    </row>
    <row r="193" spans="4:8" ht="20" customHeight="1" x14ac:dyDescent="0.25">
      <c r="D193" s="77" t="s">
        <v>121</v>
      </c>
      <c r="E193" s="9" t="str" cm="1">
        <f t="array" ref="E193">Scope3_Equations.VEERG_15_4_1_1__X_EmissionFactorFromPurchasedFertiliserComponents_Unit()</f>
        <v>kg CO2e/kg fertiliser</v>
      </c>
    </row>
    <row r="194" spans="4:8" ht="20" customHeight="1" x14ac:dyDescent="0.25"/>
    <row r="195" spans="4:8" ht="20" customHeight="1" x14ac:dyDescent="0.25">
      <c r="D195" s="105" t="str" cm="1">
        <f t="array" ref="D195:E198">_xlfn.CHOOSECOLS(Scope3_Equations.VEERG_15_4_1_1__X_EmissionFactorFromPurchasedFertiliserComponents_Arguments(),1,2)</f>
        <v>F_cf</v>
      </c>
      <c r="E195" s="106" t="str">
        <v>fraction of component c contained within the inorganic fertiliser f</v>
      </c>
      <c r="F195" s="108"/>
      <c r="G195" s="105" t="str" cm="1">
        <f t="array" ref="G195:H198">_xlfn.CHOOSECOLS(Scope3_Equations.VEERG_15_4_1_1__X_EmissionFactorFromPurchasedFertiliserComponents_Arguments(),3,4)</f>
        <v>wt%</v>
      </c>
      <c r="H195" s="255" t="str">
        <v>Input</v>
      </c>
    </row>
    <row r="196" spans="4:8" ht="20" customHeight="1" x14ac:dyDescent="0.25">
      <c r="D196" s="105" t="str">
        <v>EF_c</v>
      </c>
      <c r="E196" s="106" t="str">
        <v>emission factor for the production of component c</v>
      </c>
      <c r="F196" s="108"/>
      <c r="G196" s="105" t="str">
        <v>kg CO2e/kg component</v>
      </c>
      <c r="H196" s="110" t="str">
        <v>Constant</v>
      </c>
    </row>
    <row r="197" spans="4:8" ht="20" customHeight="1" x14ac:dyDescent="0.25">
      <c r="D197" s="105" t="str">
        <v>c</v>
      </c>
      <c r="E197" s="106" t="str">
        <v>fertiliser component</v>
      </c>
      <c r="F197" s="108"/>
      <c r="G197" s="105" t="str">
        <v/>
      </c>
      <c r="H197" s="255" t="str">
        <v>Input</v>
      </c>
    </row>
    <row r="198" spans="4:8" ht="20" customHeight="1" x14ac:dyDescent="0.25">
      <c r="D198" s="105" t="str">
        <v>f</v>
      </c>
      <c r="E198" s="106" t="str">
        <v>inorganic fertiliser type</v>
      </c>
      <c r="F198" s="108"/>
      <c r="G198" s="105" t="str">
        <v/>
      </c>
      <c r="H198" s="255" t="str">
        <v>Input</v>
      </c>
    </row>
    <row r="199" spans="4:8" ht="20" customHeight="1" x14ac:dyDescent="0.25"/>
    <row r="200" spans="4:8" ht="20" customHeight="1" x14ac:dyDescent="0.25"/>
    <row r="201" spans="4:8" ht="20" customHeight="1" x14ac:dyDescent="0.25">
      <c r="D201" s="2" t="str" cm="1">
        <f t="array" ref="D201">Scope3_Equations.VEERG_15_4_1_1__1_EmissionsFromPurchasedFertiliser_Title()</f>
        <v>Emissions from purchased fertiliser</v>
      </c>
    </row>
    <row r="202" spans="4:8" ht="20" customHeight="1" x14ac:dyDescent="0.25">
      <c r="D202" s="17" t="str" cm="1">
        <f t="array" ref="D202">Scope3_Equations.VEERG_15_4_1_1__1_EmissionsFromPurchasedFertiliser_Source()</f>
        <v>VEERG 2026: 15.4.1.1, Equation (1)</v>
      </c>
    </row>
    <row r="203" spans="4:8" ht="20" customHeight="1" x14ac:dyDescent="0.25">
      <c r="D203" s="103" t="s">
        <v>372</v>
      </c>
      <c r="E203" s="103" t="str" cm="1">
        <f t="array" aca="1" ref="E203" ca="1">Common_InputFunctions.Utility_DisplayFunctionName(G236)</f>
        <v>=Scope3_Equations.VEERG_15_4_1_1__1_EmissionsFromPurchasedFertiliser</v>
      </c>
    </row>
    <row r="204" spans="4:8" ht="20" customHeight="1" x14ac:dyDescent="0.25"/>
    <row r="205" spans="4:8" ht="20" customHeight="1" x14ac:dyDescent="0.25"/>
    <row r="206" spans="4:8" ht="20" customHeight="1" x14ac:dyDescent="0.25">
      <c r="D206" s="77" t="s">
        <v>374</v>
      </c>
      <c r="E206" s="1" t="str" cm="1">
        <f t="array" ref="E206">Scope3_Equations.VEERG_15_4_1_1__1_EmissionsFromPurchasedFertiliser_Variable()</f>
        <v>E</v>
      </c>
    </row>
    <row r="207" spans="4:8" ht="20" customHeight="1" x14ac:dyDescent="0.25">
      <c r="D207" s="77" t="s">
        <v>121</v>
      </c>
      <c r="E207" s="9" t="str" cm="1">
        <f t="array" ref="E207">Scope3_Equations.VEERG_15_4_1_1__1_EmissionsFromPurchasedFertiliser_Unit()</f>
        <v>t CO2e</v>
      </c>
    </row>
    <row r="208" spans="4:8" ht="20" customHeight="1" x14ac:dyDescent="0.25"/>
    <row r="209" spans="4:8" ht="20" customHeight="1" x14ac:dyDescent="0.25">
      <c r="D209" s="105" t="str" cm="1">
        <f t="array" ref="D209:E212">_xlfn.CHOOSECOLS(Scope3_Equations.VEERG_15_4_1_1__1_EmissionsFromPurchasedFertiliser_Arguments(),1,2)</f>
        <v>TM_jf</v>
      </c>
      <c r="E209" s="105" t="str">
        <v>quantity of inorganic fertiliser type f purchased and applied to production system j</v>
      </c>
      <c r="F209" s="105"/>
      <c r="G209" s="105" t="str" cm="1">
        <f t="array" ref="G209:H212">_xlfn.CHOOSECOLS(Scope3_Equations.VEERG_15_4_1_1__1_EmissionsFromPurchasedFertiliser_Arguments(),3,4)</f>
        <v>kg</v>
      </c>
      <c r="H209" s="255" t="str">
        <v>Input</v>
      </c>
    </row>
    <row r="210" spans="4:8" ht="20" customHeight="1" x14ac:dyDescent="0.25">
      <c r="D210" s="105" t="str">
        <v>EF_f</v>
      </c>
      <c r="E210" s="105" t="str">
        <v>emission factor of purchased inorganic fertiliser</v>
      </c>
      <c r="F210" s="105"/>
      <c r="G210" s="105" t="str">
        <v>kg CO2e/kg</v>
      </c>
      <c r="H210" s="110" t="str">
        <v>Constant</v>
      </c>
    </row>
    <row r="211" spans="4:8" ht="20" customHeight="1" x14ac:dyDescent="0.25">
      <c r="D211" s="105" t="str">
        <v>j</v>
      </c>
      <c r="E211" s="106" t="str">
        <v>production system</v>
      </c>
      <c r="F211" s="108"/>
      <c r="G211" s="105" t="str">
        <v/>
      </c>
      <c r="H211" s="255" t="str">
        <v>Input</v>
      </c>
    </row>
    <row r="212" spans="4:8" ht="20" customHeight="1" x14ac:dyDescent="0.25">
      <c r="D212" s="105" t="str">
        <v>f</v>
      </c>
      <c r="E212" s="106" t="str">
        <v>inorganic fertiliser type</v>
      </c>
      <c r="F212" s="108"/>
      <c r="G212" s="105" t="str">
        <v/>
      </c>
      <c r="H212" s="255" t="str">
        <v>Input</v>
      </c>
    </row>
    <row r="213" spans="4:8" ht="20" customHeight="1" x14ac:dyDescent="0.25"/>
    <row r="214" spans="4:8" ht="20" customHeight="1" x14ac:dyDescent="0.25"/>
    <row r="215" spans="4:8" ht="20" customHeight="1" x14ac:dyDescent="0.25">
      <c r="D215" s="2" t="str" cm="1">
        <f t="array" ref="D215">Scope3_Equations.VEERG_15_4_1_1__2_EmissionsFromPurchasedFertiliserComponents_Title()</f>
        <v>Emissions from purchased fertiliser components</v>
      </c>
    </row>
    <row r="216" spans="4:8" ht="20" customHeight="1" x14ac:dyDescent="0.25">
      <c r="D216" s="17" t="str" cm="1">
        <f t="array" ref="D216">Scope3_Equations.VEERG_15_4_1_1__2_EmissionsFromPurchasedFertiliserComponents_Source()</f>
        <v>VEERG 2026: 15.4.1.1, Equation (2)</v>
      </c>
    </row>
    <row r="217" spans="4:8" ht="20" customHeight="1" x14ac:dyDescent="0.25">
      <c r="D217" s="26"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 customHeight="1" x14ac:dyDescent="0.25">
      <c r="D218" s="103" t="s">
        <v>372</v>
      </c>
      <c r="E218" s="103" t="str" cm="1">
        <f t="array" aca="1" ref="E218" ca="1">Common_InputFunctions.Utility_DisplayFunctionName(H236)</f>
        <v>=Scope3_Equations.VEERG_15_4_1_1__2_EmissionsFromPurchasedFertiliserComponentsVariation</v>
      </c>
    </row>
    <row r="219" spans="4:8" ht="20" customHeight="1" x14ac:dyDescent="0.25"/>
    <row r="220" spans="4:8" ht="20" customHeight="1" x14ac:dyDescent="0.25"/>
    <row r="221" spans="4:8" ht="20" customHeight="1" x14ac:dyDescent="0.25">
      <c r="D221" s="77" t="s">
        <v>374</v>
      </c>
      <c r="E221" s="1" t="str" cm="1">
        <f t="array" ref="E221">Scope3_Equations.VEERG_15_4_1_1__2_EmissionsFromPurchasedFertiliserComponents_Variable()</f>
        <v>E</v>
      </c>
    </row>
    <row r="222" spans="4:8" ht="20" customHeight="1" x14ac:dyDescent="0.25">
      <c r="D222" s="77" t="s">
        <v>121</v>
      </c>
      <c r="E222" s="9" t="str" cm="1">
        <f t="array" ref="E222">Scope3_Equations.VEERG_15_4_1_1__2_EmissionsFromPurchasedFertiliserComponents_Unit()</f>
        <v>t CO2e</v>
      </c>
    </row>
    <row r="223" spans="4:8" ht="20" customHeight="1" x14ac:dyDescent="0.25"/>
    <row r="224" spans="4:8" ht="20" customHeight="1" x14ac:dyDescent="0.25">
      <c r="D224" s="105" t="str" cm="1">
        <f t="array" ref="D224:E229">_xlfn.CHOOSECOLS(Scope3_Equations.VEERG_15_4_1_1__2_EmissionsFromPurchasedFertiliserComponents_Arguments(),1,2)</f>
        <v>F_cf</v>
      </c>
      <c r="E224" s="106" t="str">
        <v>fraction of component c contained within the inorganic fertiliser f</v>
      </c>
      <c r="F224" s="108"/>
      <c r="G224" s="105" t="str" cm="1">
        <f t="array" ref="G224:H229">_xlfn.CHOOSECOLS(Scope3_Equations.VEERG_15_4_1_1__2_EmissionsFromPurchasedFertiliserComponents_Arguments(),3,4)</f>
        <v>wt%</v>
      </c>
      <c r="H224" s="255" t="str">
        <v>Input</v>
      </c>
    </row>
    <row r="225" spans="4:40" ht="20" customHeight="1" x14ac:dyDescent="0.25">
      <c r="D225" s="105" t="str">
        <v>TM_jf</v>
      </c>
      <c r="E225" s="106" t="str">
        <v>quantity of inorganic fertiliser type f purchased and applied to production system j</v>
      </c>
      <c r="F225" s="108"/>
      <c r="G225" s="105" t="str">
        <v>kg</v>
      </c>
      <c r="H225" s="110" t="str">
        <v>Input</v>
      </c>
    </row>
    <row r="226" spans="4:40" ht="20" customHeight="1" x14ac:dyDescent="0.25">
      <c r="D226" s="105" t="str">
        <v>EF_c</v>
      </c>
      <c r="E226" s="106" t="str">
        <v>emission factor for the production of component c</v>
      </c>
      <c r="F226" s="108"/>
      <c r="G226" s="105" t="str">
        <v>kg CO2e/kg component</v>
      </c>
      <c r="H226" s="110" t="str">
        <v>Constant</v>
      </c>
    </row>
    <row r="227" spans="4:40" ht="20" customHeight="1" x14ac:dyDescent="0.25">
      <c r="D227" s="105" t="str">
        <v>c</v>
      </c>
      <c r="E227" s="106" t="str">
        <v>fertiliser component</v>
      </c>
      <c r="F227" s="108"/>
      <c r="G227" s="105" t="str">
        <v/>
      </c>
      <c r="H227" s="255" t="str">
        <v>Input</v>
      </c>
    </row>
    <row r="228" spans="4:40" ht="20" customHeight="1" x14ac:dyDescent="0.25">
      <c r="D228" s="105" t="str">
        <v>f</v>
      </c>
      <c r="E228" s="106" t="str">
        <v>inorganic fertiliser type</v>
      </c>
      <c r="F228" s="108"/>
      <c r="G228" s="105" t="str">
        <v/>
      </c>
      <c r="H228" s="255" t="str">
        <v>Input</v>
      </c>
    </row>
    <row r="229" spans="4:40" ht="20" customHeight="1" x14ac:dyDescent="0.25">
      <c r="D229" s="105" t="str">
        <v>j</v>
      </c>
      <c r="E229" s="106" t="str">
        <v>production system</v>
      </c>
      <c r="F229" s="108"/>
      <c r="G229" s="105" t="str">
        <v/>
      </c>
      <c r="H229" s="255" t="str">
        <v>Input</v>
      </c>
    </row>
    <row r="230" spans="4:40" ht="20" customHeight="1" x14ac:dyDescent="0.25"/>
    <row r="231" spans="4:40" ht="20" customHeight="1" x14ac:dyDescent="0.25">
      <c r="D231" s="243" t="s">
        <v>1112</v>
      </c>
    </row>
    <row r="232" spans="4:40" ht="20" customHeight="1" x14ac:dyDescent="0.25"/>
    <row r="233" spans="4:40" ht="20" customHeight="1" x14ac:dyDescent="0.25">
      <c r="D233" s="36" t="s">
        <v>1113</v>
      </c>
      <c r="E233" s="38"/>
      <c r="F233" s="39"/>
    </row>
    <row r="234" spans="4:40" ht="20" customHeight="1" x14ac:dyDescent="0.25"/>
    <row r="235" spans="4:40" ht="20" customHeight="1" x14ac:dyDescent="0.25">
      <c r="D235" s="82" t="s">
        <v>139</v>
      </c>
      <c r="E235" s="82" t="s">
        <v>1114</v>
      </c>
      <c r="F235" s="114" t="s">
        <v>1115</v>
      </c>
      <c r="G235" s="114" t="s">
        <v>1116</v>
      </c>
      <c r="H235" s="114" t="s">
        <v>1117</v>
      </c>
      <c r="I235" s="82" t="s">
        <v>1118</v>
      </c>
      <c r="J235" s="114" t="s">
        <v>1119</v>
      </c>
      <c r="K235" s="114" t="s">
        <v>1120</v>
      </c>
      <c r="L235" s="82" t="s">
        <v>1073</v>
      </c>
      <c r="M235" s="82" t="s">
        <v>1074</v>
      </c>
      <c r="N235" s="82" t="s">
        <v>1075</v>
      </c>
      <c r="O235" s="114" t="s">
        <v>605</v>
      </c>
      <c r="P235" s="114" t="s">
        <v>606</v>
      </c>
      <c r="Q235" s="114" t="s">
        <v>590</v>
      </c>
      <c r="R235" s="114" t="s">
        <v>591</v>
      </c>
      <c r="S235" s="114" t="s">
        <v>1121</v>
      </c>
      <c r="T235" s="82" t="s">
        <v>1122</v>
      </c>
      <c r="U235" s="114" t="s">
        <v>592</v>
      </c>
      <c r="V235" s="114" t="s">
        <v>593</v>
      </c>
      <c r="W235" s="114" t="s">
        <v>1123</v>
      </c>
      <c r="X235" s="82" t="s">
        <v>1124</v>
      </c>
      <c r="Y235" s="114" t="s">
        <v>594</v>
      </c>
      <c r="Z235" s="114" t="s">
        <v>595</v>
      </c>
      <c r="AA235" s="114" t="s">
        <v>1125</v>
      </c>
      <c r="AB235" s="82" t="s">
        <v>1126</v>
      </c>
      <c r="AC235" s="114" t="s">
        <v>596</v>
      </c>
      <c r="AD235" s="114" t="s">
        <v>597</v>
      </c>
      <c r="AE235" s="114" t="s">
        <v>1127</v>
      </c>
      <c r="AF235" s="82" t="s">
        <v>1128</v>
      </c>
      <c r="AG235" s="114" t="s">
        <v>598</v>
      </c>
      <c r="AH235" s="114" t="s">
        <v>599</v>
      </c>
      <c r="AI235" s="114" t="s">
        <v>1129</v>
      </c>
      <c r="AJ235" s="82" t="s">
        <v>1130</v>
      </c>
      <c r="AK235" s="114" t="s">
        <v>600</v>
      </c>
      <c r="AL235" s="114" t="s">
        <v>601</v>
      </c>
      <c r="AM235" s="114" t="s">
        <v>1131</v>
      </c>
      <c r="AN235" s="82" t="s">
        <v>1132</v>
      </c>
    </row>
    <row r="236" spans="4:40" ht="20" customHeight="1" x14ac:dyDescent="0.25">
      <c r="D236" s="15" cm="1">
        <f t="array" ref="D236:D245">IFERROR(INDEX(Table_Input_InorganicFertiliser_Brands[Product (select)], _xlfn.SEQUENCE(10)), "")</f>
        <v>0</v>
      </c>
      <c r="E236" s="15" cm="1">
        <f t="array" ref="E236:E245">IFERROR(INDEX(Table_Input_InorganicFertiliser_Brands[Total applied (kg)], _xlfn.SEQUENCE(10)), 0)</f>
        <v>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v>
      </c>
      <c r="G236" s="257" cm="1">
        <f t="array" ref="G236">Scope3_Equations.VEERG_15_4_1_1__1_EmissionsFromPurchasedFertiliser(E236,F236)</f>
        <v>0</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0</v>
      </c>
      <c r="I236" s="76">
        <v>0.4</v>
      </c>
      <c r="J236" s="257" cm="1">
        <f t="array" ref="J236">Scope3_Equations.VEERG_15_4_1_1__1_EmissionsFromPurchasedFertiliser(E236,I236)</f>
        <v>0</v>
      </c>
      <c r="K236" s="257"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0</v>
      </c>
      <c r="L236" s="34"/>
      <c r="M236" s="13"/>
      <c r="N236" s="239"/>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
      </c>
      <c r="R236" s="15" cm="1">
        <f t="array" ref="R236:R245">IFERROR(INDEX(_xlfn.LET(_xlpm.result, Table_Input_InorganicFertiliser_Brands[Ingredient 1 percent], IF(_xlpm.result="", 0, _xlpm.result)), _xlfn.SEQUENCE(10)), 0)</f>
        <v>0</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v>
      </c>
      <c r="T236" s="76">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6">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6">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6">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6">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6"/>
    </row>
    <row r="237" spans="4:40" ht="20" customHeight="1" x14ac:dyDescent="0.25">
      <c r="D237" s="15">
        <v>0</v>
      </c>
      <c r="E237" s="15">
        <v>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v>
      </c>
      <c r="G237" s="257" cm="1">
        <f t="array" ref="G237">Scope3_Equations.VEERG_15_4_1_1__1_EmissionsFromPurchasedFertiliser(E237,F237)</f>
        <v>0</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0</v>
      </c>
      <c r="I237" s="76">
        <v>0.9</v>
      </c>
      <c r="J237" s="257" cm="1">
        <f t="array" ref="J237">Scope3_Equations.VEERG_15_4_1_1__1_EmissionsFromPurchasedFertiliser(E237,I237)</f>
        <v>0</v>
      </c>
      <c r="K237" s="257"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0</v>
      </c>
      <c r="L237" s="34"/>
      <c r="M237" s="13"/>
      <c r="N237" s="34"/>
      <c r="O237" s="15" t="str">
        <v/>
      </c>
      <c r="P237" s="15" t="str">
        <v/>
      </c>
      <c r="Q237" s="15" t="str">
        <v/>
      </c>
      <c r="R237" s="15">
        <v>0</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v>
      </c>
      <c r="T237" s="76"/>
      <c r="U237" s="15" t="str">
        <v/>
      </c>
      <c r="V237" s="15">
        <v>0</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v>
      </c>
      <c r="X237" s="76"/>
      <c r="Y237" s="15" t="str">
        <v/>
      </c>
      <c r="Z237" s="15">
        <v>0</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0</v>
      </c>
      <c r="AB237" s="76"/>
      <c r="AC237" s="15" t="str">
        <v/>
      </c>
      <c r="AD237" s="15">
        <v>0</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0</v>
      </c>
      <c r="AF237" s="76"/>
      <c r="AG237" s="15" t="str">
        <v/>
      </c>
      <c r="AH237" s="15">
        <v>0</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6"/>
      <c r="AK237" s="15" t="str">
        <v/>
      </c>
      <c r="AL237" s="15">
        <v>0</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6"/>
    </row>
    <row r="238" spans="4:40" ht="20" customHeight="1" x14ac:dyDescent="0.25">
      <c r="D238" s="15">
        <v>0</v>
      </c>
      <c r="E238" s="15">
        <v>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v>
      </c>
      <c r="G238" s="257" cm="1">
        <f t="array" ref="G238">Scope3_Equations.VEERG_15_4_1_1__1_EmissionsFromPurchasedFertiliser(E238,F238)</f>
        <v>0</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0</v>
      </c>
      <c r="I238" s="76">
        <v>0.4</v>
      </c>
      <c r="J238" s="257" cm="1">
        <f t="array" ref="J238">Scope3_Equations.VEERG_15_4_1_1__1_EmissionsFromPurchasedFertiliser(E238,I238)</f>
        <v>0</v>
      </c>
      <c r="K238" s="257"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0</v>
      </c>
      <c r="L238" s="34"/>
      <c r="M238" s="13"/>
      <c r="N238" s="34"/>
      <c r="O238" s="15" t="str">
        <v/>
      </c>
      <c r="P238" s="15" t="str">
        <v/>
      </c>
      <c r="Q238" s="15" t="str">
        <v/>
      </c>
      <c r="R238" s="15">
        <v>0</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0</v>
      </c>
      <c r="T238" s="76"/>
      <c r="U238" s="15" t="str">
        <v/>
      </c>
      <c r="V238" s="15">
        <v>0</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0</v>
      </c>
      <c r="X238" s="76"/>
      <c r="Y238" s="15" t="str">
        <v/>
      </c>
      <c r="Z238" s="15">
        <v>0</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v>
      </c>
      <c r="AB238" s="76"/>
      <c r="AC238" s="15" t="str">
        <v/>
      </c>
      <c r="AD238" s="15">
        <v>0</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0</v>
      </c>
      <c r="AF238" s="76"/>
      <c r="AG238" s="15" t="str">
        <v/>
      </c>
      <c r="AH238" s="15">
        <v>0</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6"/>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6"/>
    </row>
    <row r="239" spans="4:40" ht="20" customHeight="1" x14ac:dyDescent="0.25">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57"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6"/>
      <c r="J239" s="257" cm="1">
        <f t="array" ref="J239">Scope3_Equations.VEERG_15_4_1_1__1_EmissionsFromPurchasedFertiliser(E239,I239)</f>
        <v>0</v>
      </c>
      <c r="K239" s="257"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4"/>
      <c r="M239" s="13"/>
      <c r="N239" s="34"/>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6"/>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6"/>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6"/>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6"/>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6"/>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6"/>
    </row>
    <row r="240" spans="4:40" ht="20" customHeight="1" x14ac:dyDescent="0.25">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57"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6"/>
      <c r="J240" s="257" cm="1">
        <f t="array" ref="J240">Scope3_Equations.VEERG_15_4_1_1__1_EmissionsFromPurchasedFertiliser(E240,I240)</f>
        <v>0</v>
      </c>
      <c r="K240" s="257"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4"/>
      <c r="M240" s="13"/>
      <c r="N240" s="34"/>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6"/>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6"/>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6"/>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6"/>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6"/>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6"/>
    </row>
    <row r="241" spans="4:40" ht="20" customHeight="1" x14ac:dyDescent="0.25">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57"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6"/>
      <c r="J241" s="257" cm="1">
        <f t="array" ref="J241">Scope3_Equations.VEERG_15_4_1_1__1_EmissionsFromPurchasedFertiliser(E241,I241)</f>
        <v>0</v>
      </c>
      <c r="K241" s="257"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4"/>
      <c r="M241" s="13"/>
      <c r="N241" s="34"/>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6"/>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6"/>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6"/>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6"/>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6"/>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6"/>
    </row>
    <row r="242" spans="4:40" ht="20" customHeight="1" x14ac:dyDescent="0.25">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57"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6"/>
      <c r="J242" s="257" cm="1">
        <f t="array" ref="J242">Scope3_Equations.VEERG_15_4_1_1__1_EmissionsFromPurchasedFertiliser(E242,I242)</f>
        <v>0</v>
      </c>
      <c r="K242" s="257"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4"/>
      <c r="M242" s="13"/>
      <c r="N242" s="34"/>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6"/>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6"/>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6"/>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6"/>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6"/>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6"/>
    </row>
    <row r="243" spans="4:40" ht="20" customHeight="1" x14ac:dyDescent="0.25">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57"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6"/>
      <c r="J243" s="257" cm="1">
        <f t="array" ref="J243">Scope3_Equations.VEERG_15_4_1_1__1_EmissionsFromPurchasedFertiliser(E243,I243)</f>
        <v>0</v>
      </c>
      <c r="K243" s="257"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4"/>
      <c r="M243" s="13"/>
      <c r="N243" s="34"/>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6"/>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6"/>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6"/>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6"/>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6"/>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6"/>
    </row>
    <row r="244" spans="4:40" ht="20" customHeight="1" x14ac:dyDescent="0.25">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57"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6"/>
      <c r="J244" s="257" cm="1">
        <f t="array" ref="J244">Scope3_Equations.VEERG_15_4_1_1__1_EmissionsFromPurchasedFertiliser(E244,I244)</f>
        <v>0</v>
      </c>
      <c r="K244" s="257"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4"/>
      <c r="M244" s="13"/>
      <c r="N244" s="34"/>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6"/>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6"/>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6"/>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6"/>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6"/>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6"/>
    </row>
    <row r="245" spans="4:40" ht="20" customHeight="1" x14ac:dyDescent="0.25">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57"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6"/>
      <c r="J245" s="257" cm="1">
        <f t="array" ref="J245">Scope3_Equations.VEERG_15_4_1_1__1_EmissionsFromPurchasedFertiliser(E245,I245)</f>
        <v>0</v>
      </c>
      <c r="K245" s="257"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4"/>
      <c r="M245" s="13"/>
      <c r="N245" s="34"/>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6"/>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6"/>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6"/>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6"/>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6"/>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6"/>
    </row>
    <row r="246" spans="4:40" ht="20" customHeight="1" x14ac:dyDescent="0.25"/>
    <row r="247" spans="4:40" ht="20" customHeight="1" x14ac:dyDescent="0.25">
      <c r="D247" s="243" t="s">
        <v>1133</v>
      </c>
    </row>
    <row r="248" spans="4:40" ht="20" customHeight="1" x14ac:dyDescent="0.25"/>
    <row r="249" spans="4:40" ht="20" customHeight="1" x14ac:dyDescent="0.25">
      <c r="D249" s="36" t="s">
        <v>1134</v>
      </c>
      <c r="E249" s="38"/>
      <c r="F249" s="39"/>
    </row>
    <row r="250" spans="4:40" ht="20" customHeight="1" x14ac:dyDescent="0.25"/>
    <row r="251" spans="4:40" ht="20" customHeight="1" x14ac:dyDescent="0.25">
      <c r="D251" s="82" t="s">
        <v>1096</v>
      </c>
      <c r="E251" s="82" t="s">
        <v>1114</v>
      </c>
      <c r="F251" s="114" t="s">
        <v>1115</v>
      </c>
      <c r="G251" s="114" t="s">
        <v>1116</v>
      </c>
      <c r="H251" s="114" t="s">
        <v>1117</v>
      </c>
      <c r="I251" s="82" t="s">
        <v>1118</v>
      </c>
      <c r="J251" s="114" t="s">
        <v>1119</v>
      </c>
      <c r="K251" s="114" t="s">
        <v>1120</v>
      </c>
      <c r="L251" s="82" t="s">
        <v>1073</v>
      </c>
      <c r="M251" s="82" t="s">
        <v>1074</v>
      </c>
      <c r="N251" s="82" t="s">
        <v>1075</v>
      </c>
      <c r="O251" s="114" t="s">
        <v>605</v>
      </c>
      <c r="P251" s="114" t="s">
        <v>606</v>
      </c>
      <c r="Q251" s="114" t="s">
        <v>590</v>
      </c>
      <c r="R251" s="114" t="s">
        <v>591</v>
      </c>
      <c r="S251" s="114" t="s">
        <v>1121</v>
      </c>
      <c r="T251" s="82" t="s">
        <v>1122</v>
      </c>
      <c r="U251" s="114" t="s">
        <v>592</v>
      </c>
      <c r="V251" s="114" t="s">
        <v>593</v>
      </c>
      <c r="W251" s="114" t="s">
        <v>1123</v>
      </c>
      <c r="X251" s="82" t="s">
        <v>1124</v>
      </c>
      <c r="Y251" s="114" t="s">
        <v>594</v>
      </c>
      <c r="Z251" s="114" t="s">
        <v>595</v>
      </c>
      <c r="AA251" s="114" t="s">
        <v>1125</v>
      </c>
      <c r="AB251" s="82" t="s">
        <v>1126</v>
      </c>
      <c r="AC251" s="114" t="s">
        <v>596</v>
      </c>
      <c r="AD251" s="114" t="s">
        <v>597</v>
      </c>
      <c r="AE251" s="114" t="s">
        <v>1127</v>
      </c>
      <c r="AF251" s="82" t="s">
        <v>1128</v>
      </c>
    </row>
    <row r="252" spans="4:40" ht="20" customHeight="1" x14ac:dyDescent="0.25">
      <c r="D252" s="15" cm="1">
        <f t="array" ref="D252:D261">IFERROR(INDEX(Table_Input_InorganicFertiliser_Custom[Custom blend name], _xlfn.SEQUENCE(10)), "")</f>
        <v>0</v>
      </c>
      <c r="E252" s="15" cm="1">
        <f t="array" ref="E252:E261">IFERROR(INDEX(Table_Input_InorganicFertiliser_Custom[Total applied (kg)], _xlfn.SEQUENCE(10)), 0)</f>
        <v>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0</v>
      </c>
      <c r="G252" s="257" cm="1">
        <f t="array" ref="G252">Scope3_Equations.VEERG_15_4_1_1__1_EmissionsFromPurchasedFertiliser(E252,F252)</f>
        <v>0</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0</v>
      </c>
      <c r="I252" s="76">
        <v>0.4</v>
      </c>
      <c r="J252" s="257" cm="1">
        <f t="array" ref="J252">Scope3_Equations.VEERG_15_4_1_1__1_EmissionsFromPurchasedFertiliser(E252,I252)</f>
        <v>0</v>
      </c>
      <c r="K252" s="257"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0</v>
      </c>
      <c r="L252" s="34"/>
      <c r="M252" s="13"/>
      <c r="N252" s="239"/>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cm="1">
        <f t="array" ref="Q252:Q261">IFERROR(INDEX(Table_Input_InorganicFertiliser_Custom[Ingredient 1 (select)], _xlfn.SEQUENCE(10)), "")</f>
        <v>0</v>
      </c>
      <c r="R252" s="15" cm="1">
        <f t="array" ref="R252:R261">IFERROR(INDEX(_xlfn.LET(_xlpm.result, Table_Input_InorganicFertiliser_Custom[Ingredient 1 percent], IF(_xlpm.result="", 0, _xlpm.result)), _xlfn.SEQUENCE(10)), 0)</f>
        <v>0</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v>
      </c>
      <c r="T252" s="76">
        <v>0.9</v>
      </c>
      <c r="U252" s="15" cm="1">
        <f t="array" ref="U252:U261">IFERROR(INDEX(Table_Input_InorganicFertiliser_Custom[Ingredient 2], _xlfn.SEQUENCE(10)), "")</f>
        <v>0</v>
      </c>
      <c r="V252" s="15" cm="1">
        <f t="array" ref="V252:V261">IFERROR(INDEX(_xlfn.LET(_xlpm.result, Table_Input_InorganicFertiliser_Custom[Ingredient 2 percent], IF(_xlpm.result="", 0, _xlpm.result)), _xlfn.SEQUENCE(10)), 0)</f>
        <v>0</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0</v>
      </c>
      <c r="X252" s="76">
        <v>0.9</v>
      </c>
      <c r="Y252" s="15" cm="1">
        <f t="array" ref="Y252:Y261">IFERROR(INDEX(Table_Input_InorganicFertiliser_Custom[Ingredient 3], _xlfn.SEQUENCE(10)), "")</f>
        <v>0</v>
      </c>
      <c r="Z252" s="15" cm="1">
        <f t="array" ref="Z252:Z261">IFERROR(INDEX(_xlfn.LET(_xlpm.result, Table_Input_InorganicFertiliser_Custom[Ingredient 3 percent], IF(_xlpm.result="", 0, _xlpm.result)), _xlfn.SEQUENCE(10)), 0)</f>
        <v>0</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v>
      </c>
      <c r="AB252" s="76">
        <v>4</v>
      </c>
      <c r="AC252" s="15" cm="1">
        <f t="array" ref="AC252:AC261">IFERROR(INDEX(Table_Input_InorganicFertiliser_Custom[Ingredient 4], _xlfn.SEQUENCE(10)), "")</f>
        <v>0</v>
      </c>
      <c r="AD252" s="15" cm="1">
        <f t="array" ref="AD252:AD261">IFERROR(INDEX(_xlfn.LET(_xlpm.result, Table_Input_InorganicFertiliser_Custom[Ingredient 4 percent], IF(_xlpm.result="", 0, _xlpm.result)), _xlfn.SEQUENCE(10)), 0)</f>
        <v>0</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0</v>
      </c>
      <c r="AF252" s="76">
        <v>0</v>
      </c>
    </row>
    <row r="253" spans="4:40" ht="20" customHeight="1" x14ac:dyDescent="0.25">
      <c r="D253" s="15">
        <v>0</v>
      </c>
      <c r="E253" s="15">
        <v>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v>
      </c>
      <c r="G253" s="257" cm="1">
        <f t="array" ref="G253">Scope3_Equations.VEERG_15_4_1_1__1_EmissionsFromPurchasedFertiliser(E253,F253)</f>
        <v>0</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0</v>
      </c>
      <c r="I253" s="76">
        <v>0.9</v>
      </c>
      <c r="J253" s="257" cm="1">
        <f t="array" ref="J253">Scope3_Equations.VEERG_15_4_1_1__1_EmissionsFromPurchasedFertiliser(E253,I253)</f>
        <v>0</v>
      </c>
      <c r="K253" s="257"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0</v>
      </c>
      <c r="L253" s="34"/>
      <c r="M253" s="13"/>
      <c r="N253" s="34"/>
      <c r="O253" s="258" t="str">
        <v/>
      </c>
      <c r="P253" s="258" t="str">
        <v/>
      </c>
      <c r="Q253" s="15">
        <v>0</v>
      </c>
      <c r="R253" s="15">
        <v>0</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v>
      </c>
      <c r="T253" s="76"/>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6"/>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6"/>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6"/>
    </row>
    <row r="254" spans="4:40" ht="20" customHeight="1" x14ac:dyDescent="0.25">
      <c r="D254" s="15">
        <v>0</v>
      </c>
      <c r="E254" s="15">
        <v>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0</v>
      </c>
      <c r="G254" s="257" cm="1">
        <f t="array" ref="G254">Scope3_Equations.VEERG_15_4_1_1__1_EmissionsFromPurchasedFertiliser(E254,F254)</f>
        <v>0</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0</v>
      </c>
      <c r="I254" s="76">
        <v>0.4</v>
      </c>
      <c r="J254" s="257" cm="1">
        <f t="array" ref="J254">Scope3_Equations.VEERG_15_4_1_1__1_EmissionsFromPurchasedFertiliser(E254,I254)</f>
        <v>0</v>
      </c>
      <c r="K254" s="257"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0</v>
      </c>
      <c r="L254" s="34"/>
      <c r="M254" s="13"/>
      <c r="N254" s="34"/>
      <c r="O254" s="258" t="str">
        <v/>
      </c>
      <c r="P254" s="258" t="str">
        <v/>
      </c>
      <c r="Q254" s="15">
        <v>0</v>
      </c>
      <c r="R254" s="15">
        <v>0</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0</v>
      </c>
      <c r="T254" s="76"/>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6"/>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6"/>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6"/>
    </row>
    <row r="255" spans="4:40" ht="20" customHeight="1" x14ac:dyDescent="0.25">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57"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6"/>
      <c r="J255" s="257" cm="1">
        <f t="array" ref="J255">Scope3_Equations.VEERG_15_4_1_1__1_EmissionsFromPurchasedFertiliser(E255,I255)</f>
        <v>0</v>
      </c>
      <c r="K255" s="257"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4"/>
      <c r="M255" s="13"/>
      <c r="N255" s="34"/>
      <c r="O255" s="258" t="str">
        <v/>
      </c>
      <c r="P255" s="258"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6"/>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6"/>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6"/>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6"/>
    </row>
    <row r="256" spans="4:40" ht="20" customHeight="1" x14ac:dyDescent="0.25">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57"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6"/>
      <c r="J256" s="257" cm="1">
        <f t="array" ref="J256">Scope3_Equations.VEERG_15_4_1_1__1_EmissionsFromPurchasedFertiliser(E256,I256)</f>
        <v>0</v>
      </c>
      <c r="K256" s="257"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4"/>
      <c r="M256" s="13"/>
      <c r="N256" s="34"/>
      <c r="O256" s="258" t="str">
        <v/>
      </c>
      <c r="P256" s="258"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6"/>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6"/>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6"/>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6"/>
    </row>
    <row r="257" spans="3:41" ht="20" customHeight="1" x14ac:dyDescent="0.25">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57"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6"/>
      <c r="J257" s="257" cm="1">
        <f t="array" ref="J257">Scope3_Equations.VEERG_15_4_1_1__1_EmissionsFromPurchasedFertiliser(E257,I257)</f>
        <v>0</v>
      </c>
      <c r="K257" s="257"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4"/>
      <c r="M257" s="13"/>
      <c r="N257" s="34"/>
      <c r="O257" s="258" t="str">
        <v/>
      </c>
      <c r="P257" s="258"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6"/>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6"/>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6"/>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6"/>
    </row>
    <row r="258" spans="3:41" ht="20" customHeight="1" x14ac:dyDescent="0.25">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57"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6"/>
      <c r="J258" s="257" cm="1">
        <f t="array" ref="J258">Scope3_Equations.VEERG_15_4_1_1__1_EmissionsFromPurchasedFertiliser(E258,I258)</f>
        <v>0</v>
      </c>
      <c r="K258" s="257"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4"/>
      <c r="M258" s="13"/>
      <c r="N258" s="34"/>
      <c r="O258" s="258" t="str">
        <v/>
      </c>
      <c r="P258" s="258"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6"/>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6"/>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6"/>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6"/>
    </row>
    <row r="259" spans="3:41" ht="20" customHeight="1" x14ac:dyDescent="0.25">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57"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6"/>
      <c r="J259" s="257" cm="1">
        <f t="array" ref="J259">Scope3_Equations.VEERG_15_4_1_1__1_EmissionsFromPurchasedFertiliser(E259,I259)</f>
        <v>0</v>
      </c>
      <c r="K259" s="257"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4"/>
      <c r="M259" s="13"/>
      <c r="N259" s="34"/>
      <c r="O259" s="258" t="str">
        <v/>
      </c>
      <c r="P259" s="258"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6"/>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6"/>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6"/>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6"/>
    </row>
    <row r="260" spans="3:41" ht="20" customHeight="1" x14ac:dyDescent="0.25">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57"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6"/>
      <c r="J260" s="257" cm="1">
        <f t="array" ref="J260">Scope3_Equations.VEERG_15_4_1_1__1_EmissionsFromPurchasedFertiliser(E260,I260)</f>
        <v>0</v>
      </c>
      <c r="K260" s="257"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4"/>
      <c r="M260" s="13"/>
      <c r="N260" s="34"/>
      <c r="O260" s="258" t="str">
        <v/>
      </c>
      <c r="P260" s="258"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6"/>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6"/>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6"/>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6"/>
    </row>
    <row r="261" spans="3:41" ht="20" customHeight="1" x14ac:dyDescent="0.25">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57"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6"/>
      <c r="J261" s="257" cm="1">
        <f t="array" ref="J261">Scope3_Equations.VEERG_15_4_1_1__1_EmissionsFromPurchasedFertiliser(E261,I261)</f>
        <v>0</v>
      </c>
      <c r="K261" s="257"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4"/>
      <c r="M261" s="13"/>
      <c r="N261" s="34"/>
      <c r="O261" s="258" t="str">
        <v/>
      </c>
      <c r="P261" s="258"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6"/>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6"/>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6"/>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6"/>
    </row>
    <row r="262" spans="3:41" ht="20" customHeight="1" x14ac:dyDescent="0.25"/>
    <row r="263" spans="3:41" ht="20" customHeight="1" x14ac:dyDescent="0.25">
      <c r="D263" s="259" t="s">
        <v>1135</v>
      </c>
      <c r="E263" s="91">
        <f>SUM(G236:G245)+SUM(G252:G261)</f>
        <v>0</v>
      </c>
      <c r="F263" s="95" t="str">
        <f>$E$170</f>
        <v>t CO2e</v>
      </c>
    </row>
    <row r="264" spans="3:41" ht="20" customHeight="1" x14ac:dyDescent="0.25">
      <c r="D264" s="259" t="s">
        <v>1136</v>
      </c>
      <c r="E264" s="91">
        <f>SUM(J236:J245)+SUM(J252:J261)</f>
        <v>0</v>
      </c>
      <c r="F264" s="95" t="str">
        <f>$E$170</f>
        <v>t CO2e</v>
      </c>
    </row>
    <row r="266" spans="3:41" ht="20" x14ac:dyDescent="0.25" customHeight="1">
      <c r="D266" s="259" t="s">
        <v>1137</v>
      </c>
      <c r="E266" s="91">
        <f>SUM(H236:H245)+SUM(H252:H261)</f>
        <v>0</v>
      </c>
      <c r="F266" s="95" t="str">
        <f>$E$170</f>
        <v>t CO2e</v>
      </c>
    </row>
    <row r="267" spans="3:41" ht="20" x14ac:dyDescent="0.25" customHeight="1">
      <c r="D267" s="259" t="s">
        <v>1138</v>
      </c>
      <c r="E267" s="91">
        <f>SUM(K236:K245)+SUM(K252:K261)</f>
        <v>0</v>
      </c>
      <c r="F267" s="95" t="str">
        <f>$E$170</f>
        <v>t CO2e</v>
      </c>
    </row>
    <row r="270" spans="3:41" x14ac:dyDescent="0.25" ht="20" customHeight="1">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row>
    <row r="271" spans="3:41" ht="20" x14ac:dyDescent="0.25" customHeight="1">
      <c r="D271" s="2" t="str" cm="1">
        <f t="array" ref="D271">Scope3_Equations.VEERG_15_5_1_1__1_EmissionsFromPurchasedAgrichemicals_Title()</f>
        <v>Total emissions from purchased agrichemicals</v>
      </c>
    </row>
    <row r="272" spans="3:41" x14ac:dyDescent="0.25" ht="20" customHeight="1">
      <c r="D272" s="17" t="str" cm="1">
        <f t="array" ref="D272">Scope3_Equations.VEERG_15_5_1_1__1_EmissionsFromPurchasedAgrichemicals_Source()</f>
        <v>VEERG 2026: 15.5.1.1, Equation (1)</v>
      </c>
    </row>
    <row r="273" spans="4:9" x14ac:dyDescent="0.25" ht="20" customHeight="1">
      <c r="D273" s="103" t="s">
        <v>372</v>
      </c>
      <c r="E273" s="103" t="str" cm="1">
        <f t="array" aca="1" ref="E273" ca="1">Common_InputFunctions.Utility_DisplayFunctionName(G285)</f>
        <v>=Scope3_Equations.VEERG_15_5_1_1__1_EmissionsFromPurchasedAgrichemicals</v>
      </c>
    </row>
    <row r="277" spans="4:9" x14ac:dyDescent="0.25" ht="20" customHeight="1">
      <c r="D277" s="77" t="s">
        <v>374</v>
      </c>
      <c r="E277" s="1" t="str" cm="1">
        <f t="array" ref="E277">Scope3_Equations.VEERG_15_5_1_1__1_EmissionsFromPurchasedAgrichemicals_Variable()</f>
        <v>E</v>
      </c>
    </row>
    <row r="278" spans="4:9" x14ac:dyDescent="0.25" ht="20" customHeight="1">
      <c r="D278" s="77" t="s">
        <v>121</v>
      </c>
      <c r="E278" s="9" t="str" cm="1">
        <f t="array" ref="E278">Scope3_Equations.VEERG_15_5_1_1__1_EmissionsFromPurchasedAgrichemicals_Unit()</f>
        <v>t CO2e</v>
      </c>
    </row>
    <row r="280" spans="4:9" x14ac:dyDescent="0.25" ht="20" customHeight="1">
      <c r="D280" s="105" t="str" cm="1">
        <f t="array" ref="D280:E282">_xlfn.CHOOSECOLS(Scope3_Equations.VEERG_15_5_1_1__1_EmissionsFromPurchasedAgrichemicals_Arguments(),1,2)</f>
        <v>Q_h</v>
      </c>
      <c r="E280" s="106" t="str">
        <v>quantity of active ingredients in agrichemical type h purchased and applied to soils</v>
      </c>
      <c r="F280" s="108"/>
      <c r="G280" s="105" t="str" cm="1">
        <f t="array" ref="G280:H282">_xlfn.CHOOSECOLS(Scope3_Equations.VEERG_15_5_1_1__1_EmissionsFromPurchasedAgrichemicals_Arguments(),3,4)</f>
        <v>kg ai</v>
      </c>
      <c r="H280" s="255" t="str">
        <v>Input</v>
      </c>
    </row>
    <row r="281" spans="4:9" x14ac:dyDescent="0.25" ht="20" customHeight="1">
      <c r="D281" s="105" t="str">
        <v>EF_h</v>
      </c>
      <c r="E281" s="106" t="str">
        <v>emission factor for purchased agrichemical active ingredient</v>
      </c>
      <c r="F281" s="108"/>
      <c r="G281" s="105" t="str">
        <v>kg CO2e/kg ai</v>
      </c>
      <c r="H281" s="110" t="str">
        <v>Constant</v>
      </c>
    </row>
    <row r="282" spans="4:9" x14ac:dyDescent="0.25" ht="20" customHeight="1">
      <c r="D282" s="105" t="str">
        <v>h</v>
      </c>
      <c r="E282" s="106" t="str">
        <v>agrichemical type</v>
      </c>
      <c r="F282" s="108"/>
      <c r="G282" s="105" t="str">
        <v/>
      </c>
      <c r="H282" s="255" t="str">
        <v>Input</v>
      </c>
    </row>
    <row r="284" spans="4:9" ht="20" x14ac:dyDescent="0.25" customHeight="1">
      <c r="D284" s="82" t="s">
        <v>1139</v>
      </c>
      <c r="E284" s="82" t="s">
        <v>589</v>
      </c>
      <c r="F284" s="114" t="s">
        <v>1140</v>
      </c>
      <c r="G284" s="114" t="s">
        <v>1069</v>
      </c>
      <c r="H284" s="82" t="s">
        <v>1141</v>
      </c>
      <c r="I284" s="114" t="s">
        <v>1072</v>
      </c>
    </row>
    <row r="285" spans="4:9" x14ac:dyDescent="0.25" ht="20" customHeight="1">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0</v>
      </c>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v>
      </c>
      <c r="H285" s="76">
        <v>5</v>
      </c>
      <c r="I285" s="15" cm="1">
        <f t="array" ref="I285">Scope3_Equations.VEERG_15_5_1_1__1_EmissionsFromPurchasedAgrichemicals($E285,IF(H285,H285,F285))</f>
        <v>0</v>
      </c>
    </row>
    <row r="286" spans="4:9" x14ac:dyDescent="0.25" ht="20" customHeight="1">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6">
        <v>8</v>
      </c>
      <c r="I286" s="15" cm="1">
        <f t="array" ref="I286">Scope3_Equations.VEERG_15_5_1_1__1_EmissionsFromPurchasedAgrichemicals($E286,IF(H286,H286,F286))</f>
        <v>0</v>
      </c>
    </row>
    <row r="287" spans="4:9" x14ac:dyDescent="0.25" ht="20" customHeight="1">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6"/>
      <c r="I287" s="15" cm="1">
        <f t="array" ref="I287">Scope3_Equations.VEERG_15_5_1_1__1_EmissionsFromPurchasedAgrichemicals($E287,IF(H287,H287,F287))</f>
        <v>0</v>
      </c>
    </row>
    <row r="288" spans="4:9" x14ac:dyDescent="0.25" ht="20" customHeight="1">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0</v>
      </c>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0</v>
      </c>
      <c r="H288" s="76"/>
      <c r="I288" s="15" cm="1">
        <f t="array" ref="I288">Scope3_Equations.VEERG_15_5_1_1__1_EmissionsFromPurchasedAgrichemicals($E288,IF(H288,H288,F288))</f>
        <v>0</v>
      </c>
    </row>
    <row r="289" spans="3:41" x14ac:dyDescent="0.25" ht="20" customHeight="1">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6"/>
      <c r="I289" s="15" cm="1">
        <f t="array" ref="I289">Scope3_Equations.VEERG_15_5_1_1__1_EmissionsFromPurchasedAgrichemicals($E289,IF(H289,H289,F289))</f>
        <v>0</v>
      </c>
    </row>
    <row r="290" spans="3:41" x14ac:dyDescent="0.25" ht="20" customHeight="1">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6"/>
      <c r="I290" s="15" cm="1">
        <f t="array" ref="I290">Scope3_Equations.VEERG_15_5_1_1__1_EmissionsFromPurchasedAgrichemicals($E290,IF(H290,H290,F290))</f>
        <v>0</v>
      </c>
    </row>
    <row r="291" spans="3:41" x14ac:dyDescent="0.25" ht="20" customHeight="1">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0</v>
      </c>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v>
      </c>
      <c r="H291" s="76"/>
      <c r="I291" s="15" cm="1">
        <f t="array" ref="I291">Scope3_Equations.VEERG_15_5_1_1__1_EmissionsFromPurchasedAgrichemicals($E291,IF(H291,H291,F291))</f>
        <v>0</v>
      </c>
    </row>
    <row r="292" spans="3:41" x14ac:dyDescent="0.25" ht="20" customHeight="1">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6"/>
      <c r="I292" s="15" cm="1">
        <f t="array" ref="I292">Scope3_Equations.VEERG_15_5_1_1__1_EmissionsFromPurchasedAgrichemicals($E292,IF(H292,H292,F292))</f>
        <v>0</v>
      </c>
    </row>
    <row r="293" spans="3:41" x14ac:dyDescent="0.25" ht="20" customHeight="1">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0</v>
      </c>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0</v>
      </c>
      <c r="H293" s="76"/>
      <c r="I293" s="15" cm="1">
        <f t="array" ref="I293">Scope3_Equations.VEERG_15_5_1_1__1_EmissionsFromPurchasedAgrichemicals($E293,IF(H293,H293,F293))</f>
        <v>0</v>
      </c>
    </row>
    <row r="294" spans="3:41" x14ac:dyDescent="0.25" ht="20" customHeight="1">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6"/>
      <c r="I294" s="15" cm="1">
        <f t="array" ref="I294">Scope3_Equations.VEERG_15_5_1_1__1_EmissionsFromPurchasedAgrichemicals($E294,IF(H294,H294,F294))</f>
        <v>0</v>
      </c>
    </row>
    <row r="295" spans="3:41" x14ac:dyDescent="0.25" ht="20" customHeight="1">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0</v>
      </c>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v>
      </c>
      <c r="H295" s="76"/>
      <c r="I295" s="15" cm="1">
        <f t="array" ref="I295">Scope3_Equations.VEERG_15_5_1_1__1_EmissionsFromPurchasedAgrichemicals($E295,IF(H295,H295,F295))</f>
        <v>0</v>
      </c>
    </row>
    <row r="296" spans="3:41" x14ac:dyDescent="0.25" ht="20" customHeight="1">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0</v>
      </c>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v>
      </c>
      <c r="H296" s="76"/>
      <c r="I296" s="15" cm="1">
        <f t="array" ref="I296">Scope3_Equations.VEERG_15_5_1_1__1_EmissionsFromPurchasedAgrichemicals($E296,IF(H296,H296,F296))</f>
        <v>0</v>
      </c>
    </row>
    <row r="298" spans="3:41" ht="20" x14ac:dyDescent="0.25" customHeight="1">
      <c r="D298" s="259" t="s">
        <v>1069</v>
      </c>
      <c r="E298" s="91">
        <f>SUM(G285:G296)</f>
        <v>0</v>
      </c>
      <c r="F298" s="95" t="str">
        <f>$E$170</f>
        <v>t CO2e</v>
      </c>
    </row>
    <row r="299" spans="3:41" ht="20" x14ac:dyDescent="0.25" customHeight="1">
      <c r="D299" s="259" t="s">
        <v>1072</v>
      </c>
      <c r="E299" s="91">
        <f>SUM(I285:I296)</f>
        <v>0</v>
      </c>
      <c r="F299" s="95" t="str">
        <f>$E$170</f>
        <v>t CO2e</v>
      </c>
    </row>
    <row r="302" spans="3:41" x14ac:dyDescent="0.25" ht="20" customHeight="1">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row>
    <row r="303" spans="3:41" ht="20" x14ac:dyDescent="0.25" customHeight="1">
      <c r="D303" s="2" t="str" cm="1">
        <f t="array" ref="D303">Scope3_Equations.VEERG_15_6_1_1__1_EmissionsFromPurchasedLime_Title()</f>
        <v>Embedded emissions for purchased lime</v>
      </c>
    </row>
    <row r="304" spans="3:41" x14ac:dyDescent="0.25" ht="20" customHeight="1">
      <c r="D304" s="17" t="str" cm="1">
        <f t="array" ref="D304">Scope3_Equations.VEERG_15_6_1_1__1_EmissionsFromPurchasedLime_Source()</f>
        <v>VEERG 2026: 15.6.1.1, Equation (1)</v>
      </c>
    </row>
    <row r="305" spans="4:13" x14ac:dyDescent="0.25" ht="20" customHeight="1">
      <c r="D305" s="103" t="s">
        <v>372</v>
      </c>
      <c r="E305" s="103" t="str" cm="1">
        <f t="array" aca="1" ref="E305" ca="1">Common_InputFunctions.Utility_DisplayFunctionName(I320)</f>
        <v>=Scope3_Equations.VEERG_15_6_1_1__1_EmissionsFromPurchasedLime</v>
      </c>
    </row>
    <row r="308" spans="4:13" x14ac:dyDescent="0.25" ht="20" customHeight="1">
      <c r="D308" s="77" t="s">
        <v>374</v>
      </c>
      <c r="E308" s="1" t="str" cm="1">
        <f t="array" ref="E308">Scope3_Equations.VEERG_15_6_1_1__1_EmissionsFromPurchasedLime_Variable()</f>
        <v>E</v>
      </c>
    </row>
    <row r="309" spans="4:13" x14ac:dyDescent="0.25" ht="20" customHeight="1">
      <c r="D309" s="77" t="s">
        <v>121</v>
      </c>
      <c r="E309" s="1" t="str" cm="1">
        <f t="array" ref="E309">Scope3_Equations.VEERG_15_6_1_1__1_EmissionsFromPurchasedLime_Unit()</f>
        <v>t CO2e</v>
      </c>
    </row>
    <row r="311" spans="4:13" x14ac:dyDescent="0.25" ht="20" customHeight="1">
      <c r="D311" s="105" t="str" cm="1">
        <f t="array" ref="D311:E312">_xlfn.CHOOSECOLS(Scope3_Equations.VEERG_15_6_1_1__1_EmissionsFromPurchasedLime_Arguments(),1,2)</f>
        <v>M_lime</v>
      </c>
      <c r="E311" s="105" t="str">
        <v>total quantity of lime applied to soils</v>
      </c>
      <c r="F311" s="105" t="str" cm="1">
        <f t="array" ref="F311:G312">_xlfn.CHOOSECOLS(Scope3_Equations.VEERG_15_6_1_1__1_EmissionsFromPurchasedLime_Arguments(),3,4)</f>
        <v>t</v>
      </c>
      <c r="G311" s="255" t="str">
        <v>Input</v>
      </c>
    </row>
    <row r="312" spans="4:13" x14ac:dyDescent="0.25" ht="20" customHeight="1">
      <c r="D312" s="105" t="str">
        <v>EF_l</v>
      </c>
      <c r="E312" s="105" t="str">
        <v>emission factor for purchased lime</v>
      </c>
      <c r="F312" s="105" t="str">
        <v>t CO2e/t</v>
      </c>
      <c r="G312" s="110" t="str">
        <v>Constant</v>
      </c>
    </row>
    <row r="314" spans="4:13" x14ac:dyDescent="0.25" ht="20" customHeight="1">
      <c r="E314" s="114" t="s">
        <v>136</v>
      </c>
      <c r="F314" s="82" t="s">
        <v>137</v>
      </c>
    </row>
    <row r="315" spans="4:13" ht="20" x14ac:dyDescent="0.25" customHeight="1">
      <c r="D315" s="1" t="s">
        <v>1142</v>
      </c>
      <c r="E315" s="15" cm="1">
        <f t="array" ref="E315">Common_InputFunctions.Utility_LookupValueInTableNumber("Limestone (crushed)", Table_SourceData_Scope3_SoilAmeliorants[Product],Table_SourceData_Scope3_SoilAmeliorants[Emissions intensity])*10^-3</f>
        <v>4.85E-5</v>
      </c>
      <c r="F315" s="76">
        <v>4.0000000000000003E-5</v>
      </c>
      <c r="G315" s="16" t="str">
        <f>$F$312</f>
        <v>t CO2e/t</v>
      </c>
    </row>
    <row r="316" spans="4:13" ht="20" x14ac:dyDescent="0.25" customHeight="1">
      <c r="D316" s="1" t="s">
        <v>1143</v>
      </c>
      <c r="E316" s="15" cm="1">
        <f t="array" ref="E316">Common_InputFunctions.Utility_LookupValueInTableNumber("Dolomite", Table_SourceData_Scope3_SoilAmeliorants[Product],Table_SourceData_Scope3_SoilAmeliorants[Emissions intensity])*10^-3</f>
        <v>6.5199999999999999E-5</v>
      </c>
      <c r="F316" s="76">
        <v>6.0000000000000002E-5</v>
      </c>
      <c r="G316" s="16"/>
    </row>
    <row r="317" spans="4:13" ht="20" x14ac:dyDescent="0.25" customHeight="1">
      <c r="D317" s="1" t="s">
        <v>1144</v>
      </c>
      <c r="E317" s="15" cm="1">
        <f t="array" ref="E317">Common_InputFunctions.Utility_LookupValueInTableNumber("Gypsum", Table_SourceData_Scope3_SoilAmeliorants[Product],Table_SourceData_Scope3_SoilAmeliorants[Emissions intensity])*10^-3</f>
        <v>6.5199999999999999E-5</v>
      </c>
      <c r="F317" s="76">
        <v>6.0000000000000002E-5</v>
      </c>
      <c r="G317" s="16"/>
    </row>
    <row r="319" spans="4:13" ht="20" x14ac:dyDescent="0.25" customHeight="1">
      <c r="D319" s="82" t="s">
        <v>998</v>
      </c>
      <c r="E319" s="256" t="s">
        <v>1145</v>
      </c>
      <c r="F319" s="82" t="s">
        <v>1146</v>
      </c>
      <c r="G319" s="82" t="s">
        <v>1147</v>
      </c>
      <c r="H319" s="82" t="s">
        <v>1148</v>
      </c>
      <c r="I319" s="114" t="s">
        <v>1069</v>
      </c>
      <c r="J319" s="114" t="s">
        <v>1149</v>
      </c>
      <c r="K319" s="82" t="s">
        <v>1073</v>
      </c>
      <c r="L319" s="82" t="s">
        <v>1074</v>
      </c>
      <c r="M319" s="82" t="s">
        <v>1075</v>
      </c>
    </row>
    <row r="320" spans="4:13" x14ac:dyDescent="0.25" ht="20" customHeight="1">
      <c r="D320" s="15" t="str" cm="1">
        <f t="array" ref="D320:D329">IFERROR(INDEX(#REF!, _xlfn.SEQUENCE(10)), "")</f>
        <v/>
      </c>
      <c r="E320" s="15" cm="1">
        <f t="array" ref="E320:E329">IFERROR(INDEX(#REF!, _xlfn.SEQUENCE(10)), 0)</f>
        <v>0</v>
      </c>
      <c r="F320" s="15" cm="1">
        <f t="array" ref="F320:F329">IFERROR(INDEX(#REF!, _xlfn.SEQUENCE(10)), 0)*E320</f>
        <v>0</v>
      </c>
      <c r="G320" s="15" cm="1">
        <f t="array" ref="G320:G329">IFERROR(INDEX(#REF!, _xlfn.SEQUENCE(10)), 0)*E320</f>
        <v>0</v>
      </c>
      <c r="H320" s="15" cm="1">
        <f t="array" ref="H320:H329">IFERROR(INDEX(#REF!, _xlfn.SEQUENCE(10)), 0)*E320</f>
        <v>0</v>
      </c>
      <c r="I320" s="257" cm="1">
        <f t="array" ref="I320">Scope3_Equations.VEERG_15_6_1_1__1_EmissionsFromPurchasedLime(F320,$E$315)+
Scope3_Equations.VEERG_15_6_1_1__1_EmissionsFromPurchasedLime(G320,$E$316)+
Scope3_Equations.VEERG_15_6_1_1__1_EmissionsFromPurchasedLime(H320,$E$317)</f>
        <v>0</v>
      </c>
      <c r="J320" s="257" cm="1">
        <f t="array" ref="J320">Scope3_Equations.VEERG_15_6_1_1__1_EmissionsFromPurchasedLime(F320,IF($F$315,$F$315,$E$315))+
Scope3_Equations.VEERG_15_6_1_1__1_EmissionsFromPurchasedLime(G320,IF($F$316,$F$316,$E$316))+
Scope3_Equations.VEERG_15_6_1_1__1_EmissionsFromPurchasedLime(H320,IF($F$317,$F$317,$E$317))</f>
        <v>0</v>
      </c>
      <c r="K320" s="34"/>
      <c r="L320" s="13"/>
      <c r="M320" s="34"/>
    </row>
    <row r="321" spans="3:41" x14ac:dyDescent="0.25" ht="20" customHeight="1">
      <c r="D321" s="15" t="str">
        <v/>
      </c>
      <c r="E321" s="15">
        <v>0</v>
      </c>
      <c r="F321" s="15">
        <v>0</v>
      </c>
      <c r="G321" s="15">
        <v>0</v>
      </c>
      <c r="H321" s="15">
        <v>0</v>
      </c>
      <c r="I321" s="257" cm="1">
        <f t="array" ref="I321">Scope3_Equations.VEERG_15_6_1_1__1_EmissionsFromPurchasedLime(F321,$E$315)+
Scope3_Equations.VEERG_15_6_1_1__1_EmissionsFromPurchasedLime(G321,$E$316)+
Scope3_Equations.VEERG_15_6_1_1__1_EmissionsFromPurchasedLime(H321,$E$317)</f>
        <v>0</v>
      </c>
      <c r="J321" s="257" cm="1">
        <f t="array" ref="J321">Scope3_Equations.VEERG_15_6_1_1__1_EmissionsFromPurchasedLime(F321,IF($F$315,$F$315,$E$315))+
Scope3_Equations.VEERG_15_6_1_1__1_EmissionsFromPurchasedLime(G321,IF($F$316,$F$316,$E$316))+
Scope3_Equations.VEERG_15_6_1_1__1_EmissionsFromPurchasedLime(H321,IF($F$317,$F$317,$E$317))</f>
        <v>0</v>
      </c>
      <c r="K321" s="34"/>
      <c r="L321" s="13"/>
      <c r="M321" s="34"/>
    </row>
    <row r="322" spans="3:41" x14ac:dyDescent="0.25" ht="20" customHeight="1">
      <c r="D322" s="15" t="str">
        <v/>
      </c>
      <c r="E322" s="15">
        <v>0</v>
      </c>
      <c r="F322" s="15">
        <v>0</v>
      </c>
      <c r="G322" s="15">
        <v>0</v>
      </c>
      <c r="H322" s="15">
        <v>0</v>
      </c>
      <c r="I322" s="257" cm="1">
        <f t="array" ref="I322">Scope3_Equations.VEERG_15_6_1_1__1_EmissionsFromPurchasedLime(F322,$E$315)+
Scope3_Equations.VEERG_15_6_1_1__1_EmissionsFromPurchasedLime(G322,$E$316)+
Scope3_Equations.VEERG_15_6_1_1__1_EmissionsFromPurchasedLime(H322,$E$317)</f>
        <v>0</v>
      </c>
      <c r="J322" s="257" cm="1">
        <f t="array" ref="J322">Scope3_Equations.VEERG_15_6_1_1__1_EmissionsFromPurchasedLime(F322,IF($F$315,$F$315,$E$315))+
Scope3_Equations.VEERG_15_6_1_1__1_EmissionsFromPurchasedLime(G322,IF($F$316,$F$316,$E$316))+
Scope3_Equations.VEERG_15_6_1_1__1_EmissionsFromPurchasedLime(H322,IF($F$317,$F$317,$E$317))</f>
        <v>0</v>
      </c>
      <c r="K322" s="34"/>
      <c r="L322" s="13"/>
      <c r="M322" s="34"/>
    </row>
    <row r="323" spans="3:41" x14ac:dyDescent="0.25" ht="20" customHeight="1">
      <c r="D323" s="15" t="str">
        <v/>
      </c>
      <c r="E323" s="15">
        <v>0</v>
      </c>
      <c r="F323" s="15">
        <v>0</v>
      </c>
      <c r="G323" s="15">
        <v>0</v>
      </c>
      <c r="H323" s="15">
        <v>0</v>
      </c>
      <c r="I323" s="257" cm="1">
        <f t="array" ref="I323">Scope3_Equations.VEERG_15_6_1_1__1_EmissionsFromPurchasedLime(F323,$E$315)+
Scope3_Equations.VEERG_15_6_1_1__1_EmissionsFromPurchasedLime(G323,$E$316)+
Scope3_Equations.VEERG_15_6_1_1__1_EmissionsFromPurchasedLime(H323,$E$317)</f>
        <v>0</v>
      </c>
      <c r="J323" s="257" cm="1">
        <f t="array" ref="J323">Scope3_Equations.VEERG_15_6_1_1__1_EmissionsFromPurchasedLime(F323,IF($F$315,$F$315,$E$315))+
Scope3_Equations.VEERG_15_6_1_1__1_EmissionsFromPurchasedLime(G323,IF($F$316,$F$316,$E$316))+
Scope3_Equations.VEERG_15_6_1_1__1_EmissionsFromPurchasedLime(H323,IF($F$317,$F$317,$E$317))</f>
        <v>0</v>
      </c>
      <c r="K323" s="34"/>
      <c r="L323" s="13"/>
      <c r="M323" s="34"/>
    </row>
    <row r="324" spans="3:41" x14ac:dyDescent="0.25" ht="20" customHeight="1">
      <c r="D324" s="15" t="str">
        <v/>
      </c>
      <c r="E324" s="15">
        <v>0</v>
      </c>
      <c r="F324" s="15">
        <v>0</v>
      </c>
      <c r="G324" s="15">
        <v>0</v>
      </c>
      <c r="H324" s="15">
        <v>0</v>
      </c>
      <c r="I324" s="257" cm="1">
        <f t="array" ref="I324">Scope3_Equations.VEERG_15_6_1_1__1_EmissionsFromPurchasedLime(F324,$E$315)+
Scope3_Equations.VEERG_15_6_1_1__1_EmissionsFromPurchasedLime(G324,$E$316)+
Scope3_Equations.VEERG_15_6_1_1__1_EmissionsFromPurchasedLime(H324,$E$317)</f>
        <v>0</v>
      </c>
      <c r="J324" s="257" cm="1">
        <f t="array" ref="J324">Scope3_Equations.VEERG_15_6_1_1__1_EmissionsFromPurchasedLime(F324,IF($F$315,$F$315,$E$315))+
Scope3_Equations.VEERG_15_6_1_1__1_EmissionsFromPurchasedLime(G324,IF($F$316,$F$316,$E$316))+
Scope3_Equations.VEERG_15_6_1_1__1_EmissionsFromPurchasedLime(H324,IF($F$317,$F$317,$E$317))</f>
        <v>0</v>
      </c>
      <c r="K324" s="34"/>
      <c r="L324" s="13"/>
      <c r="M324" s="34"/>
    </row>
    <row r="325" spans="3:41" x14ac:dyDescent="0.25" ht="20" customHeight="1">
      <c r="D325" s="15" t="str">
        <v/>
      </c>
      <c r="E325" s="15">
        <v>0</v>
      </c>
      <c r="F325" s="15">
        <v>0</v>
      </c>
      <c r="G325" s="15">
        <v>0</v>
      </c>
      <c r="H325" s="15">
        <v>0</v>
      </c>
      <c r="I325" s="257" cm="1">
        <f t="array" ref="I325">Scope3_Equations.VEERG_15_6_1_1__1_EmissionsFromPurchasedLime(F325,$E$315)+
Scope3_Equations.VEERG_15_6_1_1__1_EmissionsFromPurchasedLime(G325,$E$316)+
Scope3_Equations.VEERG_15_6_1_1__1_EmissionsFromPurchasedLime(H325,$E$317)</f>
        <v>0</v>
      </c>
      <c r="J325" s="257" cm="1">
        <f t="array" ref="J325">Scope3_Equations.VEERG_15_6_1_1__1_EmissionsFromPurchasedLime(F325,IF($F$315,$F$315,$E$315))+
Scope3_Equations.VEERG_15_6_1_1__1_EmissionsFromPurchasedLime(G325,IF($F$316,$F$316,$E$316))+
Scope3_Equations.VEERG_15_6_1_1__1_EmissionsFromPurchasedLime(H325,IF($F$317,$F$317,$E$317))</f>
        <v>0</v>
      </c>
      <c r="K325" s="34"/>
      <c r="L325" s="13"/>
      <c r="M325" s="34"/>
    </row>
    <row r="326" spans="3:41" x14ac:dyDescent="0.25" ht="20" customHeight="1">
      <c r="D326" s="15" t="str">
        <v/>
      </c>
      <c r="E326" s="15">
        <v>0</v>
      </c>
      <c r="F326" s="15">
        <v>0</v>
      </c>
      <c r="G326" s="15">
        <v>0</v>
      </c>
      <c r="H326" s="15">
        <v>0</v>
      </c>
      <c r="I326" s="257" cm="1">
        <f t="array" ref="I326">Scope3_Equations.VEERG_15_6_1_1__1_EmissionsFromPurchasedLime(F326,$E$315)+
Scope3_Equations.VEERG_15_6_1_1__1_EmissionsFromPurchasedLime(G326,$E$316)+
Scope3_Equations.VEERG_15_6_1_1__1_EmissionsFromPurchasedLime(H326,$E$317)</f>
        <v>0</v>
      </c>
      <c r="J326" s="257" cm="1">
        <f t="array" ref="J326">Scope3_Equations.VEERG_15_6_1_1__1_EmissionsFromPurchasedLime(F326,IF($F$315,$F$315,$E$315))+
Scope3_Equations.VEERG_15_6_1_1__1_EmissionsFromPurchasedLime(G326,IF($F$316,$F$316,$E$316))+
Scope3_Equations.VEERG_15_6_1_1__1_EmissionsFromPurchasedLime(H326,IF($F$317,$F$317,$E$317))</f>
        <v>0</v>
      </c>
      <c r="K326" s="34"/>
      <c r="L326" s="13"/>
      <c r="M326" s="34"/>
    </row>
    <row r="327" spans="3:41" x14ac:dyDescent="0.25" ht="20" customHeight="1">
      <c r="D327" s="15" t="str">
        <v/>
      </c>
      <c r="E327" s="15">
        <v>0</v>
      </c>
      <c r="F327" s="15">
        <v>0</v>
      </c>
      <c r="G327" s="15">
        <v>0</v>
      </c>
      <c r="H327" s="15">
        <v>0</v>
      </c>
      <c r="I327" s="257" cm="1">
        <f t="array" ref="I327">Scope3_Equations.VEERG_15_6_1_1__1_EmissionsFromPurchasedLime(F327,$E$315)+
Scope3_Equations.VEERG_15_6_1_1__1_EmissionsFromPurchasedLime(G327,$E$316)+
Scope3_Equations.VEERG_15_6_1_1__1_EmissionsFromPurchasedLime(H327,$E$317)</f>
        <v>0</v>
      </c>
      <c r="J327" s="257" cm="1">
        <f t="array" ref="J327">Scope3_Equations.VEERG_15_6_1_1__1_EmissionsFromPurchasedLime(F327,IF($F$315,$F$315,$E$315))+
Scope3_Equations.VEERG_15_6_1_1__1_EmissionsFromPurchasedLime(G327,IF($F$316,$F$316,$E$316))+
Scope3_Equations.VEERG_15_6_1_1__1_EmissionsFromPurchasedLime(H327,IF($F$317,$F$317,$E$317))</f>
        <v>0</v>
      </c>
      <c r="K327" s="34"/>
      <c r="L327" s="13"/>
      <c r="M327" s="34"/>
    </row>
    <row r="328" spans="3:41" x14ac:dyDescent="0.25" ht="20" customHeight="1">
      <c r="D328" s="15" t="str">
        <v/>
      </c>
      <c r="E328" s="15">
        <v>0</v>
      </c>
      <c r="F328" s="15">
        <v>0</v>
      </c>
      <c r="G328" s="15">
        <v>0</v>
      </c>
      <c r="H328" s="15">
        <v>0</v>
      </c>
      <c r="I328" s="257" cm="1">
        <f t="array" ref="I328">Scope3_Equations.VEERG_15_6_1_1__1_EmissionsFromPurchasedLime(F328,$E$315)+
Scope3_Equations.VEERG_15_6_1_1__1_EmissionsFromPurchasedLime(G328,$E$316)+
Scope3_Equations.VEERG_15_6_1_1__1_EmissionsFromPurchasedLime(H328,$E$317)</f>
        <v>0</v>
      </c>
      <c r="J328" s="257" cm="1">
        <f t="array" ref="J328">Scope3_Equations.VEERG_15_6_1_1__1_EmissionsFromPurchasedLime(F328,IF($F$315,$F$315,$E$315))+
Scope3_Equations.VEERG_15_6_1_1__1_EmissionsFromPurchasedLime(G328,IF($F$316,$F$316,$E$316))+
Scope3_Equations.VEERG_15_6_1_1__1_EmissionsFromPurchasedLime(H328,IF($F$317,$F$317,$E$317))</f>
        <v>0</v>
      </c>
      <c r="K328" s="34"/>
      <c r="L328" s="13"/>
      <c r="M328" s="34"/>
    </row>
    <row r="329" spans="3:41" x14ac:dyDescent="0.25" ht="20" customHeight="1">
      <c r="D329" s="15" t="str">
        <v/>
      </c>
      <c r="E329" s="15">
        <v>0</v>
      </c>
      <c r="F329" s="15">
        <v>0</v>
      </c>
      <c r="G329" s="15">
        <v>0</v>
      </c>
      <c r="H329" s="15">
        <v>0</v>
      </c>
      <c r="I329" s="257" cm="1">
        <f t="array" ref="I329">Scope3_Equations.VEERG_15_6_1_1__1_EmissionsFromPurchasedLime(F329,$E$315)+
Scope3_Equations.VEERG_15_6_1_1__1_EmissionsFromPurchasedLime(G329,$E$316)+
Scope3_Equations.VEERG_15_6_1_1__1_EmissionsFromPurchasedLime(H329,$E$317)</f>
        <v>0</v>
      </c>
      <c r="J329" s="257" cm="1">
        <f t="array" ref="J329">Scope3_Equations.VEERG_15_6_1_1__1_EmissionsFromPurchasedLime(F329,IF($F$315,$F$315,$E$315))+
Scope3_Equations.VEERG_15_6_1_1__1_EmissionsFromPurchasedLime(G329,IF($F$316,$F$316,$E$316))+
Scope3_Equations.VEERG_15_6_1_1__1_EmissionsFromPurchasedLime(H329,IF($F$317,$F$317,$E$317))</f>
        <v>0</v>
      </c>
      <c r="K329" s="34"/>
      <c r="L329" s="13"/>
      <c r="M329" s="34"/>
    </row>
    <row r="331" spans="3:41" ht="20" x14ac:dyDescent="0.25" customHeight="1">
      <c r="D331" s="259" t="s">
        <v>1069</v>
      </c>
      <c r="E331" s="91">
        <f>SUM(I320:I329)</f>
        <v>0</v>
      </c>
      <c r="F331" s="95" t="str">
        <f>$E$170</f>
        <v>t CO2e</v>
      </c>
    </row>
    <row r="332" spans="3:41" ht="20" x14ac:dyDescent="0.25" customHeight="1">
      <c r="D332" s="259" t="s">
        <v>1072</v>
      </c>
      <c r="E332" s="91">
        <f>SUM(J320:J329)</f>
        <v>0</v>
      </c>
      <c r="F332" s="95" t="str">
        <f>$E$170</f>
        <v>t CO2e</v>
      </c>
    </row>
    <row r="335" spans="3:41" x14ac:dyDescent="0.25" ht="20" customHeight="1">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row>
    <row r="336" spans="3:41" ht="20" x14ac:dyDescent="0.25" customHeight="1">
      <c r="D336" s="2" t="str" cm="1">
        <f t="array" ref="D336">Scope3_Equations.VEERG_15_7_1_1__1_EmissionsFromPurchasedServices_Title()</f>
        <v>Emissions of purchased services and contractor operations</v>
      </c>
    </row>
    <row r="337" spans="4:15" x14ac:dyDescent="0.25" ht="20" customHeight="1">
      <c r="D337" s="17" t="str" cm="1">
        <f t="array" ref="D337">Scope3_Equations.VEERG_15_7_1_1__1_EmissionsFromPurchasedServices_Source()</f>
        <v>VEERG 2026: 15.7.1.1, Equation (1)</v>
      </c>
    </row>
    <row r="338" spans="4:15" x14ac:dyDescent="0.25" ht="20" customHeight="1">
      <c r="D338" s="103" t="s">
        <v>372</v>
      </c>
      <c r="E338" s="103" t="str" cm="1">
        <f t="array" aca="1" ref="E338" ca="1">Common_InputFunctions.Utility_DisplayFunctionName(K351)</f>
        <v>=Scope3_Equations.VEERG_15_7_1_1__1_EmissionsFromPurchasedServices</v>
      </c>
    </row>
    <row r="340" spans="4:15" x14ac:dyDescent="0.25" ht="20" customHeight="1">
      <c r="H340" s="1" t="s">
        <v>1150</v>
      </c>
    </row>
    <row r="341" spans="4:15" x14ac:dyDescent="0.25" ht="20" customHeight="1">
      <c r="D341" s="77" t="s">
        <v>374</v>
      </c>
      <c r="E341" s="1" t="str" cm="1">
        <f t="array" ref="E341">Scope3_Equations.VEERG_15_7_1_1__1_EmissionsFromPurchasedServices_Variable()</f>
        <v>E</v>
      </c>
    </row>
    <row r="342" spans="4:15" x14ac:dyDescent="0.25" ht="20" customHeight="1">
      <c r="D342" s="77" t="s">
        <v>121</v>
      </c>
      <c r="E342" s="1" t="str" cm="1">
        <f t="array" ref="E342">Scope3_Equations.VEERG_15_7_1_1__1_EmissionsFromPurchasedServices_Unit()</f>
        <v>t CO2e</v>
      </c>
    </row>
    <row r="344" spans="4:15" x14ac:dyDescent="0.25" ht="20" customHeight="1">
      <c r="D344" s="105" t="str" cm="1">
        <f t="array" ref="D344:E346">_xlfn.CHOOSECOLS(Scope3_Equations.VEERG_15_7_1_1__1_EmissionsFromPurchasedServices_Arguments(),1,2)</f>
        <v>A_p</v>
      </c>
      <c r="E344" s="106" t="str">
        <v>activity data of the service that was purchased</v>
      </c>
      <c r="F344" s="108"/>
      <c r="G344" s="105" t="str" cm="1">
        <f t="array" ref="G344:H346">_xlfn.CHOOSECOLS(Scope3_Equations.VEERG_15_7_1_1__1_EmissionsFromPurchasedServices_Arguments(),3,4)</f>
        <v>ha or h</v>
      </c>
      <c r="H344" s="255" t="str">
        <v>Input</v>
      </c>
    </row>
    <row r="345" spans="4:15" x14ac:dyDescent="0.25" ht="20" customHeight="1">
      <c r="D345" s="105" t="str">
        <v>EF_p</v>
      </c>
      <c r="E345" s="106" t="str">
        <v>life cycle emission factor for the purchased service</v>
      </c>
      <c r="F345" s="108"/>
      <c r="G345" s="105" t="str">
        <v>kg CO2e/ha or kg CO2e/h</v>
      </c>
      <c r="H345" s="110" t="str">
        <v>Constant</v>
      </c>
    </row>
    <row r="346" spans="4:15" x14ac:dyDescent="0.25" ht="20" customHeight="1">
      <c r="D346" s="105" t="str">
        <v>p</v>
      </c>
      <c r="E346" s="106" t="str">
        <v>service type</v>
      </c>
      <c r="F346" s="108"/>
      <c r="G346" s="105" t="str">
        <v/>
      </c>
      <c r="H346" s="255" t="str">
        <v>Input</v>
      </c>
    </row>
    <row r="348" spans="4:15" x14ac:dyDescent="0.25" ht="20" customHeight="1">
      <c r="D348" s="26" t="s">
        <v>1151</v>
      </c>
    </row>
    <row r="350" spans="4:15" x14ac:dyDescent="0.25" ht="20" customHeight="1">
      <c r="D350" s="82" t="s">
        <v>1002</v>
      </c>
      <c r="E350" s="82" t="s">
        <v>1003</v>
      </c>
      <c r="F350" s="82" t="s">
        <v>1004</v>
      </c>
      <c r="G350" s="82" t="s">
        <v>808</v>
      </c>
      <c r="H350" s="114" t="s">
        <v>1152</v>
      </c>
      <c r="I350" s="114" t="s">
        <v>1153</v>
      </c>
      <c r="J350" s="82" t="s">
        <v>1154</v>
      </c>
      <c r="K350" s="114" t="s">
        <v>1155</v>
      </c>
      <c r="L350" s="114" t="s">
        <v>1156</v>
      </c>
      <c r="M350" s="82" t="s">
        <v>1073</v>
      </c>
      <c r="N350" s="82" t="s">
        <v>1074</v>
      </c>
      <c r="O350" s="82" t="s">
        <v>1075</v>
      </c>
    </row>
    <row r="351" spans="4:15" x14ac:dyDescent="0.25" ht="20" customHeight="1">
      <c r="D351" s="15" cm="1">
        <f t="array" ref="D351:D360">IFERROR(INDEX(Table_Input_ServicesAndContractors[Service provider / contractor], _xlfn.SEQUENCE(10)), "")</f>
        <v>0</v>
      </c>
      <c r="E351" s="15" cm="1">
        <f t="array" ref="E351:E360">IFERROR(INDEX(Table_Input_ServicesAndContractors[Activity], _xlfn.SEQUENCE(10)), "")</f>
        <v>0</v>
      </c>
      <c r="F351" s="15" cm="1">
        <f t="array" ref="F351:F360">IFERROR(INDEX(Table_Input_ServicesAndContractors[Total amount], _xlfn.SEQUENCE(10)), "")</f>
        <v>0</v>
      </c>
      <c r="G351" s="15" cm="1">
        <f t="array" ref="G351:G360">IFERROR(INDEX(Table_Input_ServicesAndContractors[Amount unit], _xlfn.SEQUENCE(10)), "")</f>
        <v>0</v>
      </c>
      <c r="H351" s="15" t="s">
        <v>1157</v>
      </c>
      <c r="I351" s="15" t="s">
        <v>1157</v>
      </c>
      <c r="J351" s="76">
        <v>4</v>
      </c>
      <c r="K351" s="257" cm="1">
        <f t="array" ref="K351">Scope3_Equations.VEERG_15_7_1_1__1_EmissionsFromPurchasedServices(F351,J351)</f>
        <v>0</v>
      </c>
      <c r="L351" s="15" t="str">
        <f>"t CO2e / " &amp; G351</f>
        <v>t CO2e / 0</v>
      </c>
      <c r="M351" s="34"/>
      <c r="N351" s="13"/>
      <c r="O351" s="34"/>
    </row>
    <row r="352" spans="4:15" x14ac:dyDescent="0.25" ht="20" customHeight="1">
      <c r="D352" s="15">
        <v>0</v>
      </c>
      <c r="E352" s="15">
        <v>0</v>
      </c>
      <c r="F352" s="15">
        <v>0</v>
      </c>
      <c r="G352" s="15">
        <v>0</v>
      </c>
      <c r="H352" s="15" t="s">
        <v>1157</v>
      </c>
      <c r="I352" s="15" t="s">
        <v>1157</v>
      </c>
      <c r="J352" s="76">
        <v>2</v>
      </c>
      <c r="K352" s="257" cm="1">
        <f t="array" ref="K352">Scope3_Equations.VEERG_15_7_1_1__1_EmissionsFromPurchasedServices(F352,J352)</f>
        <v>0</v>
      </c>
      <c r="L352" s="15" t="str">
        <f t="shared" ref="L352:L360" si="1">"t CO2e / " &amp; G352</f>
        <v>t CO2e / 0</v>
      </c>
      <c r="M352" s="34"/>
      <c r="N352" s="13"/>
      <c r="O352" s="34"/>
    </row>
    <row r="353" spans="3:41" x14ac:dyDescent="0.25" ht="20" customHeight="1">
      <c r="D353" s="15">
        <v>0</v>
      </c>
      <c r="E353" s="15">
        <v>0</v>
      </c>
      <c r="F353" s="15">
        <v>0</v>
      </c>
      <c r="G353" s="15">
        <v>0</v>
      </c>
      <c r="H353" s="15" t="s">
        <v>1157</v>
      </c>
      <c r="I353" s="15" t="s">
        <v>1157</v>
      </c>
      <c r="J353" s="76"/>
      <c r="K353" s="257" cm="1">
        <f t="array" ref="K353">Scope3_Equations.VEERG_15_7_1_1__1_EmissionsFromPurchasedServices(F353,J353)</f>
        <v>0</v>
      </c>
      <c r="L353" s="15" t="str">
        <f t="shared" si="1"/>
        <v>t CO2e / 0</v>
      </c>
      <c r="M353" s="34"/>
      <c r="N353" s="13"/>
      <c r="O353" s="34"/>
    </row>
    <row r="354" spans="3:41" x14ac:dyDescent="0.25" ht="20" customHeight="1">
      <c r="D354" s="15">
        <v>0</v>
      </c>
      <c r="E354" s="15">
        <v>0</v>
      </c>
      <c r="F354" s="15">
        <v>0</v>
      </c>
      <c r="G354" s="15">
        <v>0</v>
      </c>
      <c r="H354" s="15" t="s">
        <v>1157</v>
      </c>
      <c r="I354" s="15" t="s">
        <v>1157</v>
      </c>
      <c r="J354" s="76"/>
      <c r="K354" s="257" cm="1">
        <f t="array" ref="K354">Scope3_Equations.VEERG_15_7_1_1__1_EmissionsFromPurchasedServices(F354,J354)</f>
        <v>0</v>
      </c>
      <c r="L354" s="15" t="str">
        <f t="shared" si="1"/>
        <v>t CO2e / 0</v>
      </c>
      <c r="M354" s="34"/>
      <c r="N354" s="13"/>
      <c r="O354" s="34"/>
    </row>
    <row r="355" spans="3:41" x14ac:dyDescent="0.25" ht="20" customHeight="1">
      <c r="D355" s="15">
        <v>0</v>
      </c>
      <c r="E355" s="15">
        <v>0</v>
      </c>
      <c r="F355" s="15">
        <v>0</v>
      </c>
      <c r="G355" s="15">
        <v>0</v>
      </c>
      <c r="H355" s="15" t="s">
        <v>1157</v>
      </c>
      <c r="I355" s="15" t="s">
        <v>1157</v>
      </c>
      <c r="J355" s="76"/>
      <c r="K355" s="257" cm="1">
        <f t="array" ref="K355">Scope3_Equations.VEERG_15_7_1_1__1_EmissionsFromPurchasedServices(F355,J355)</f>
        <v>0</v>
      </c>
      <c r="L355" s="15" t="str">
        <f t="shared" si="1"/>
        <v>t CO2e / 0</v>
      </c>
      <c r="M355" s="34"/>
      <c r="N355" s="13"/>
      <c r="O355" s="34"/>
    </row>
    <row r="356" spans="3:41" x14ac:dyDescent="0.25" ht="20" customHeight="1">
      <c r="D356" s="15">
        <v>0</v>
      </c>
      <c r="E356" s="15">
        <v>0</v>
      </c>
      <c r="F356" s="15">
        <v>0</v>
      </c>
      <c r="G356" s="15">
        <v>0</v>
      </c>
      <c r="H356" s="15" t="s">
        <v>1157</v>
      </c>
      <c r="I356" s="15" t="s">
        <v>1157</v>
      </c>
      <c r="J356" s="76"/>
      <c r="K356" s="257" cm="1">
        <f t="array" ref="K356">Scope3_Equations.VEERG_15_7_1_1__1_EmissionsFromPurchasedServices(F356,J356)</f>
        <v>0</v>
      </c>
      <c r="L356" s="15" t="str">
        <f t="shared" si="1"/>
        <v>t CO2e / 0</v>
      </c>
      <c r="M356" s="34"/>
      <c r="N356" s="13"/>
      <c r="O356" s="34"/>
    </row>
    <row r="357" spans="3:41" x14ac:dyDescent="0.25" ht="20" customHeight="1">
      <c r="D357" s="15">
        <v>0</v>
      </c>
      <c r="E357" s="15">
        <v>0</v>
      </c>
      <c r="F357" s="15">
        <v>0</v>
      </c>
      <c r="G357" s="15">
        <v>0</v>
      </c>
      <c r="H357" s="15" t="s">
        <v>1157</v>
      </c>
      <c r="I357" s="15" t="s">
        <v>1157</v>
      </c>
      <c r="J357" s="76"/>
      <c r="K357" s="257" cm="1">
        <f t="array" ref="K357">Scope3_Equations.VEERG_15_7_1_1__1_EmissionsFromPurchasedServices(F357,J357)</f>
        <v>0</v>
      </c>
      <c r="L357" s="15" t="str">
        <f t="shared" si="1"/>
        <v>t CO2e / 0</v>
      </c>
      <c r="M357" s="34"/>
      <c r="N357" s="13"/>
      <c r="O357" s="34"/>
    </row>
    <row r="358" spans="3:41" x14ac:dyDescent="0.25" ht="20" customHeight="1">
      <c r="D358" s="15">
        <v>0</v>
      </c>
      <c r="E358" s="15">
        <v>0</v>
      </c>
      <c r="F358" s="15">
        <v>0</v>
      </c>
      <c r="G358" s="15">
        <v>0</v>
      </c>
      <c r="H358" s="15" t="s">
        <v>1157</v>
      </c>
      <c r="I358" s="15" t="s">
        <v>1157</v>
      </c>
      <c r="J358" s="76"/>
      <c r="K358" s="257" cm="1">
        <f t="array" ref="K358">Scope3_Equations.VEERG_15_7_1_1__1_EmissionsFromPurchasedServices(F358,J358)</f>
        <v>0</v>
      </c>
      <c r="L358" s="15" t="str">
        <f t="shared" si="1"/>
        <v>t CO2e / 0</v>
      </c>
      <c r="M358" s="34"/>
      <c r="N358" s="13"/>
      <c r="O358" s="34"/>
    </row>
    <row r="359" spans="3:41" x14ac:dyDescent="0.25" ht="20" customHeight="1">
      <c r="D359" s="15">
        <v>0</v>
      </c>
      <c r="E359" s="15">
        <v>0</v>
      </c>
      <c r="F359" s="15">
        <v>0</v>
      </c>
      <c r="G359" s="15">
        <v>0</v>
      </c>
      <c r="H359" s="15" t="s">
        <v>1157</v>
      </c>
      <c r="I359" s="15" t="s">
        <v>1157</v>
      </c>
      <c r="J359" s="76"/>
      <c r="K359" s="257" cm="1">
        <f t="array" ref="K359">Scope3_Equations.VEERG_15_7_1_1__1_EmissionsFromPurchasedServices(F359,J359)</f>
        <v>0</v>
      </c>
      <c r="L359" s="15" t="str">
        <f t="shared" si="1"/>
        <v>t CO2e / 0</v>
      </c>
      <c r="M359" s="34"/>
      <c r="N359" s="13"/>
      <c r="O359" s="34"/>
    </row>
    <row r="360" spans="3:41" x14ac:dyDescent="0.25" ht="20" customHeight="1">
      <c r="D360" s="15">
        <v>0</v>
      </c>
      <c r="E360" s="15">
        <v>0</v>
      </c>
      <c r="F360" s="15">
        <v>0</v>
      </c>
      <c r="G360" s="15">
        <v>0</v>
      </c>
      <c r="H360" s="15" t="s">
        <v>1157</v>
      </c>
      <c r="I360" s="15" t="s">
        <v>1157</v>
      </c>
      <c r="J360" s="76"/>
      <c r="K360" s="257" cm="1">
        <f t="array" ref="K360">Scope3_Equations.VEERG_15_7_1_1__1_EmissionsFromPurchasedServices(F360,J360)</f>
        <v>0</v>
      </c>
      <c r="L360" s="15" t="str">
        <f t="shared" si="1"/>
        <v>t CO2e / 0</v>
      </c>
      <c r="M360" s="34"/>
      <c r="N360" s="13"/>
      <c r="O360" s="34"/>
    </row>
    <row r="362" spans="3:41" ht="20" x14ac:dyDescent="0.25" customHeight="1">
      <c r="D362" s="259" t="s">
        <v>1069</v>
      </c>
      <c r="E362" s="91" t="s">
        <v>1157</v>
      </c>
      <c r="F362" s="95" t="str">
        <f>$E$170</f>
        <v>t CO2e</v>
      </c>
    </row>
    <row r="363" spans="3:41" ht="20" x14ac:dyDescent="0.25" customHeight="1">
      <c r="D363" s="259" t="s">
        <v>1072</v>
      </c>
      <c r="E363" s="91">
        <f>SUM(K351:K360)</f>
        <v>0</v>
      </c>
      <c r="F363" s="95" t="str">
        <f>$E$170</f>
        <v>t CO2e</v>
      </c>
    </row>
    <row r="366" spans="3:41" x14ac:dyDescent="0.25" ht="20" customHeight="1">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row>
    <row r="367" spans="3:41" ht="20" x14ac:dyDescent="0.25" customHeight="1">
      <c r="D367" s="2" t="str" cm="1">
        <f t="array" ref="D367">Scope3_Equations.VEERG_15_8_1_1__1_EmissionsFromPurchasedPackaging_Title()</f>
        <v>Embedded emissions from use of packaging materials</v>
      </c>
    </row>
    <row r="368" spans="3:41" x14ac:dyDescent="0.25" ht="20" customHeight="1">
      <c r="D368" s="17" t="str" cm="1">
        <f t="array" ref="D368">Scope3_Equations.VEERG_15_8_1_1__1_EmissionsFromPurchasedPackaging_Source()</f>
        <v>VEERG 2026: 15.8.1.1, Equation (1)</v>
      </c>
    </row>
    <row r="369" spans="4:13" x14ac:dyDescent="0.25" ht="20" customHeight="1">
      <c r="D369" s="26" t="str" cm="1">
        <f t="array" ref="D369">Scope3_Equations.VEERG_15_8_1_1__1_EmissionsFromPurchasedPackaging_Variation()</f>
        <v>VARIATION ON SOURCE: Changed unit of Q from 'units' to 'kg' as EF data is in kg.</v>
      </c>
    </row>
    <row r="370" spans="4:13" x14ac:dyDescent="0.25" ht="20" customHeight="1">
      <c r="D370" s="103" t="s">
        <v>372</v>
      </c>
      <c r="E370" s="103" t="str" cm="1">
        <f t="array" aca="1" ref="E370" ca="1">Common_InputFunctions.Utility_DisplayFunctionName(H382)</f>
        <v>=Scope3_Equations.VEERG_15_8_1_1__1_EmissionsFromPurchasedPackaging</v>
      </c>
    </row>
    <row r="374" spans="4:13" x14ac:dyDescent="0.25" ht="20" customHeight="1">
      <c r="D374" s="77" t="s">
        <v>374</v>
      </c>
      <c r="E374" s="1" t="str" cm="1">
        <f t="array" ref="E374">Scope3_Equations.VEERG_15_8_1_1__1_EmissionsFromPurchasedPackaging_Variable()</f>
        <v>E</v>
      </c>
    </row>
    <row r="375" spans="4:13" x14ac:dyDescent="0.25" ht="20" customHeight="1">
      <c r="D375" s="77" t="s">
        <v>121</v>
      </c>
      <c r="E375" s="9" t="str" cm="1">
        <f t="array" ref="E375">Scope3_Equations.VEERG_15_8_1_1__1_EmissionsFromPurchasedPackaging_Unit()</f>
        <v>t CO2e</v>
      </c>
    </row>
    <row r="377" spans="4:13" x14ac:dyDescent="0.25" ht="20" customHeight="1">
      <c r="D377" s="105" t="str" cm="1">
        <f t="array" ref="D377:E379">_xlfn.CHOOSECOLS(Scope3_Equations.VEERG_15_8_1_1__1_EmissionsFromPurchasedPackaging_Arguments(),1,2)</f>
        <v>Q_p</v>
      </c>
      <c r="E377" s="105" t="str">
        <v>units of packaging type p</v>
      </c>
      <c r="F377" s="105" t="str" cm="1">
        <f t="array" ref="F377:G379">_xlfn.CHOOSECOLS(Scope3_Equations.VEERG_15_8_1_1__1_EmissionsFromPurchasedPackaging_Arguments(),3,4)</f>
        <v>units</v>
      </c>
      <c r="G377" s="255" t="str">
        <v>Input</v>
      </c>
    </row>
    <row r="378" spans="4:13" x14ac:dyDescent="0.25" ht="20" customHeight="1">
      <c r="D378" s="105" t="str">
        <v>EF_p</v>
      </c>
      <c r="E378" s="105" t="str">
        <v>emission factor for packaging type p</v>
      </c>
      <c r="F378" s="105" t="str">
        <v>kg CO2e/unit</v>
      </c>
      <c r="G378" s="110" t="str">
        <v>Constant</v>
      </c>
    </row>
    <row r="379" spans="4:13" x14ac:dyDescent="0.25" ht="20" customHeight="1">
      <c r="D379" s="105" t="str">
        <v>p</v>
      </c>
      <c r="E379" s="105" t="str">
        <v>packaging type</v>
      </c>
      <c r="F379" s="105" t="str">
        <v/>
      </c>
      <c r="G379" s="255" t="str">
        <v>Input</v>
      </c>
    </row>
    <row r="381" spans="4:13" ht="20" x14ac:dyDescent="0.25" customHeight="1">
      <c r="D381" s="82" t="s">
        <v>1063</v>
      </c>
      <c r="E381" s="256" t="s">
        <v>1158</v>
      </c>
      <c r="F381" s="256" t="s">
        <v>1159</v>
      </c>
      <c r="G381" s="114" t="s">
        <v>1160</v>
      </c>
      <c r="H381" s="114" t="s">
        <v>1069</v>
      </c>
      <c r="I381" s="82" t="s">
        <v>1161</v>
      </c>
      <c r="J381" s="114" t="s">
        <v>1072</v>
      </c>
      <c r="K381" s="82" t="s">
        <v>1073</v>
      </c>
      <c r="L381" s="82" t="s">
        <v>1074</v>
      </c>
      <c r="M381" s="82" t="s">
        <v>1075</v>
      </c>
    </row>
    <row r="382" spans="4:13" x14ac:dyDescent="0.25" ht="20" customHeight="1">
      <c r="D382" s="15"/>
      <c r="E382" s="15"/>
      <c r="F382" s="15"/>
      <c r="G382" s="15" cm="1">
        <f t="array" ref="G382">Common_InputFunctions.Utility_LookupValueInTableNumber(E382,Table_SourceData_Scope3_Packaging[Product],Table_SourceData_Scope3_Packaging[Emissions intensity])</f>
        <v>0</v>
      </c>
      <c r="H382" s="257" cm="1">
        <f t="array" ref="H382">Scope3_Equations.VEERG_15_8_1_1__1_EmissionsFromPurchasedPackaging(F382,G382)</f>
        <v>0</v>
      </c>
      <c r="I382" s="76">
        <v>3</v>
      </c>
      <c r="J382" s="257" cm="1">
        <f t="array" ref="J382">Scope3_Equations.VEERG_15_8_1_1__1_EmissionsFromPurchasedPackaging(F382,IF(I382,I382,G382))</f>
        <v>0</v>
      </c>
      <c r="K382" s="34"/>
      <c r="L382" s="13"/>
      <c r="M382" s="34"/>
    </row>
    <row r="383" spans="4:13" x14ac:dyDescent="0.25" ht="20" customHeight="1">
      <c r="D383" s="15"/>
      <c r="E383" s="15"/>
      <c r="F383" s="15"/>
      <c r="G383" s="15" cm="1">
        <f t="array" ref="G383">Common_InputFunctions.Utility_LookupValueInTableNumber(E383,Table_SourceData_Scope3_Packaging[Product],Table_SourceData_Scope3_Packaging[Emissions intensity])</f>
        <v>0</v>
      </c>
      <c r="H383" s="257" cm="1">
        <f t="array" ref="H383">Scope3_Equations.VEERG_15_8_1_1__1_EmissionsFromPurchasedPackaging(F383,G383)</f>
        <v>0</v>
      </c>
      <c r="I383" s="76"/>
      <c r="J383" s="257" cm="1">
        <f t="array" ref="J383">Scope3_Equations.VEERG_15_8_1_1__1_EmissionsFromPurchasedPackaging(F383,IF(I383,I383,G383))</f>
        <v>0</v>
      </c>
      <c r="K383" s="34"/>
      <c r="L383" s="13"/>
      <c r="M383" s="34"/>
    </row>
    <row r="384" spans="4:13" x14ac:dyDescent="0.25" ht="20" customHeight="1">
      <c r="D384" s="15"/>
      <c r="E384" s="15"/>
      <c r="F384" s="15"/>
      <c r="G384" s="15" cm="1">
        <f t="array" ref="G384">Common_InputFunctions.Utility_LookupValueInTableNumber(E384,Table_SourceData_Scope3_Packaging[Product],Table_SourceData_Scope3_Packaging[Emissions intensity])</f>
        <v>0</v>
      </c>
      <c r="H384" s="257" cm="1">
        <f t="array" ref="H384">Scope3_Equations.VEERG_15_8_1_1__1_EmissionsFromPurchasedPackaging(F384,G384)</f>
        <v>0</v>
      </c>
      <c r="I384" s="76"/>
      <c r="J384" s="257" cm="1">
        <f t="array" ref="J384">Scope3_Equations.VEERG_15_8_1_1__1_EmissionsFromPurchasedPackaging(F384,IF(I384,I384,G384))</f>
        <v>0</v>
      </c>
      <c r="K384" s="34"/>
      <c r="L384" s="13"/>
      <c r="M384" s="34"/>
    </row>
    <row r="385" spans="3:41" x14ac:dyDescent="0.25" ht="20" customHeight="1">
      <c r="D385" s="15"/>
      <c r="E385" s="15"/>
      <c r="F385" s="15"/>
      <c r="G385" s="15" cm="1">
        <f t="array" ref="G385">Common_InputFunctions.Utility_LookupValueInTableNumber(E385,Table_SourceData_Scope3_Packaging[Product],Table_SourceData_Scope3_Packaging[Emissions intensity])</f>
        <v>0</v>
      </c>
      <c r="H385" s="257" cm="1">
        <f t="array" ref="H385">Scope3_Equations.VEERG_15_8_1_1__1_EmissionsFromPurchasedPackaging(F385,G385)</f>
        <v>0</v>
      </c>
      <c r="I385" s="76"/>
      <c r="J385" s="257" cm="1">
        <f t="array" ref="J385">Scope3_Equations.VEERG_15_8_1_1__1_EmissionsFromPurchasedPackaging(F385,IF(I385,I385,G385))</f>
        <v>0</v>
      </c>
      <c r="K385" s="34"/>
      <c r="L385" s="13"/>
      <c r="M385" s="34"/>
    </row>
    <row r="386" spans="3:41" x14ac:dyDescent="0.25" ht="20" customHeight="1">
      <c r="D386" s="15"/>
      <c r="E386" s="15"/>
      <c r="F386" s="15"/>
      <c r="G386" s="15" cm="1">
        <f t="array" ref="G386">Common_InputFunctions.Utility_LookupValueInTableNumber(E386,Table_SourceData_Scope3_Packaging[Product],Table_SourceData_Scope3_Packaging[Emissions intensity])</f>
        <v>0</v>
      </c>
      <c r="H386" s="257" cm="1">
        <f t="array" ref="H386">Scope3_Equations.VEERG_15_8_1_1__1_EmissionsFromPurchasedPackaging(F386,G386)</f>
        <v>0</v>
      </c>
      <c r="I386" s="76"/>
      <c r="J386" s="257" cm="1">
        <f t="array" ref="J386">Scope3_Equations.VEERG_15_8_1_1__1_EmissionsFromPurchasedPackaging(F386,IF(I386,I386,G386))</f>
        <v>0</v>
      </c>
      <c r="K386" s="34"/>
      <c r="L386" s="13"/>
      <c r="M386" s="34"/>
    </row>
    <row r="387" spans="3:41" x14ac:dyDescent="0.25" ht="20" customHeight="1">
      <c r="D387" s="15"/>
      <c r="E387" s="15"/>
      <c r="F387" s="15"/>
      <c r="G387" s="15" cm="1">
        <f t="array" ref="G387">Common_InputFunctions.Utility_LookupValueInTableNumber(E387,Table_SourceData_Scope3_Packaging[Product],Table_SourceData_Scope3_Packaging[Emissions intensity])</f>
        <v>0</v>
      </c>
      <c r="H387" s="257" cm="1">
        <f t="array" ref="H387">Scope3_Equations.VEERG_15_8_1_1__1_EmissionsFromPurchasedPackaging(F387,G387)</f>
        <v>0</v>
      </c>
      <c r="I387" s="76"/>
      <c r="J387" s="257" cm="1">
        <f t="array" ref="J387">Scope3_Equations.VEERG_15_8_1_1__1_EmissionsFromPurchasedPackaging(F387,IF(I387,I387,G387))</f>
        <v>0</v>
      </c>
      <c r="K387" s="34"/>
      <c r="L387" s="13"/>
      <c r="M387" s="34"/>
    </row>
    <row r="388" spans="3:41" x14ac:dyDescent="0.25" ht="20" customHeight="1">
      <c r="D388" s="15"/>
      <c r="E388" s="15"/>
      <c r="F388" s="15"/>
      <c r="G388" s="15" cm="1">
        <f t="array" ref="G388">Common_InputFunctions.Utility_LookupValueInTableNumber(E388,Table_SourceData_Scope3_Packaging[Product],Table_SourceData_Scope3_Packaging[Emissions intensity])</f>
        <v>0</v>
      </c>
      <c r="H388" s="257" cm="1">
        <f t="array" ref="H388">Scope3_Equations.VEERG_15_8_1_1__1_EmissionsFromPurchasedPackaging(F388,G388)</f>
        <v>0</v>
      </c>
      <c r="I388" s="76"/>
      <c r="J388" s="257" cm="1">
        <f t="array" ref="J388">Scope3_Equations.VEERG_15_8_1_1__1_EmissionsFromPurchasedPackaging(F388,IF(I388,I388,G388))</f>
        <v>0</v>
      </c>
      <c r="K388" s="34"/>
      <c r="L388" s="13"/>
      <c r="M388" s="34"/>
    </row>
    <row r="389" spans="3:41" x14ac:dyDescent="0.25" ht="20" customHeight="1">
      <c r="D389" s="15"/>
      <c r="E389" s="15"/>
      <c r="F389" s="15"/>
      <c r="G389" s="15" cm="1">
        <f t="array" ref="G389">Common_InputFunctions.Utility_LookupValueInTableNumber(E389,Table_SourceData_Scope3_Packaging[Product],Table_SourceData_Scope3_Packaging[Emissions intensity])</f>
        <v>0</v>
      </c>
      <c r="H389" s="257" cm="1">
        <f t="array" ref="H389">Scope3_Equations.VEERG_15_8_1_1__1_EmissionsFromPurchasedPackaging(F389,G389)</f>
        <v>0</v>
      </c>
      <c r="I389" s="76"/>
      <c r="J389" s="257" cm="1">
        <f t="array" ref="J389">Scope3_Equations.VEERG_15_8_1_1__1_EmissionsFromPurchasedPackaging(F389,IF(I389,I389,G389))</f>
        <v>0</v>
      </c>
      <c r="K389" s="34"/>
      <c r="L389" s="13"/>
      <c r="M389" s="34"/>
    </row>
    <row r="390" spans="3:41" x14ac:dyDescent="0.25" ht="20" customHeight="1">
      <c r="D390" s="15"/>
      <c r="E390" s="15"/>
      <c r="F390" s="15"/>
      <c r="G390" s="15" cm="1">
        <f t="array" ref="G390">Common_InputFunctions.Utility_LookupValueInTableNumber(E390,Table_SourceData_Scope3_Packaging[Product],Table_SourceData_Scope3_Packaging[Emissions intensity])</f>
        <v>0</v>
      </c>
      <c r="H390" s="257" cm="1">
        <f t="array" ref="H390">Scope3_Equations.VEERG_15_8_1_1__1_EmissionsFromPurchasedPackaging(F390,G390)</f>
        <v>0</v>
      </c>
      <c r="I390" s="76"/>
      <c r="J390" s="257" cm="1">
        <f t="array" ref="J390">Scope3_Equations.VEERG_15_8_1_1__1_EmissionsFromPurchasedPackaging(F390,IF(I390,I390,G390))</f>
        <v>0</v>
      </c>
      <c r="K390" s="34"/>
      <c r="L390" s="13"/>
      <c r="M390" s="34"/>
    </row>
    <row r="391" spans="3:41" x14ac:dyDescent="0.25" ht="20" customHeight="1">
      <c r="D391" s="15"/>
      <c r="E391" s="15"/>
      <c r="F391" s="15"/>
      <c r="G391" s="15" cm="1">
        <f t="array" ref="G391">Common_InputFunctions.Utility_LookupValueInTableNumber(E391,Table_SourceData_Scope3_Packaging[Product],Table_SourceData_Scope3_Packaging[Emissions intensity])</f>
        <v>0</v>
      </c>
      <c r="H391" s="257" cm="1">
        <f t="array" ref="H391">Scope3_Equations.VEERG_15_8_1_1__1_EmissionsFromPurchasedPackaging(F391,G391)</f>
        <v>0</v>
      </c>
      <c r="I391" s="76"/>
      <c r="J391" s="257" cm="1">
        <f t="array" ref="J391">Scope3_Equations.VEERG_15_8_1_1__1_EmissionsFromPurchasedPackaging(F391,IF(I391,I391,G391))</f>
        <v>0</v>
      </c>
      <c r="K391" s="34"/>
      <c r="L391" s="13"/>
      <c r="M391" s="34"/>
    </row>
    <row r="393" spans="3:41" ht="20" x14ac:dyDescent="0.25" customHeight="1">
      <c r="D393" s="259" t="s">
        <v>1069</v>
      </c>
      <c r="E393" s="91">
        <f>SUM(H382:H391)</f>
        <v>0</v>
      </c>
      <c r="F393" s="95" t="str">
        <f>$E$170</f>
        <v>t CO2e</v>
      </c>
    </row>
    <row r="394" spans="3:41" ht="20" x14ac:dyDescent="0.25" customHeight="1">
      <c r="D394" s="259" t="s">
        <v>1072</v>
      </c>
      <c r="E394" s="91">
        <f>SUM(J382:J391)</f>
        <v>0</v>
      </c>
      <c r="F394" s="95" t="str">
        <f>$E$170</f>
        <v>t CO2e</v>
      </c>
    </row>
    <row r="397" spans="3:41" x14ac:dyDescent="0.25" ht="20" customHeight="1">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row>
    <row r="398" spans="3:41" ht="20" x14ac:dyDescent="0.25" customHeight="1">
      <c r="D398" s="2" t="str" cm="1">
        <f t="array" ref="D398">Scope3_Equations.VEERG_15_9_1_1__1_EmissionsFromPurchasedGrowMedia_Title()</f>
        <v>Embedded emissions from use of grow media products</v>
      </c>
    </row>
    <row r="399" spans="3:41" x14ac:dyDescent="0.25" ht="20" customHeight="1">
      <c r="D399" s="17" t="str" cm="1">
        <f t="array" ref="D399">Scope3_Equations.VEERG_15_9_1_1__1_EmissionsFromPurchasedGrowMedia_Source()</f>
        <v>VEERG 2026: 15.9.1.1, Equation (1)</v>
      </c>
    </row>
    <row r="400" spans="3:41" x14ac:dyDescent="0.25" ht="20" customHeight="1">
      <c r="D400" s="103" t="s">
        <v>372</v>
      </c>
      <c r="E400" s="103" t="str" cm="1">
        <f t="array" aca="1" ref="E400" ca="1">Common_InputFunctions.Utility_DisplayFunctionName(J414)</f>
        <v>=Scope3_Equations.VEERG_15_9_1_1__1_EmissionsFromPurchasedGrowMedia</v>
      </c>
    </row>
    <row r="403" spans="4:14" x14ac:dyDescent="0.25" ht="20" customHeight="1">
      <c r="G403" s="103"/>
    </row>
    <row r="404" spans="4:14" x14ac:dyDescent="0.25" ht="20" customHeight="1">
      <c r="D404" s="77" t="s">
        <v>374</v>
      </c>
      <c r="E404" s="1" t="str" cm="1">
        <f t="array" ref="E404">Scope3_Equations.VEERG_15_9_1_1__1_EmissionsFromPurchasedGrowMedia_Variable()</f>
        <v>E</v>
      </c>
    </row>
    <row r="405" spans="4:14" x14ac:dyDescent="0.25" ht="20" customHeight="1">
      <c r="D405" s="77" t="s">
        <v>121</v>
      </c>
      <c r="E405" s="1" t="str" cm="1">
        <f t="array" ref="E405">Scope3_Equations.VEERG_15_9_1_1__1_EmissionsFromPurchasedGrowMedia_Unit()</f>
        <v>t CO2e</v>
      </c>
    </row>
    <row r="407" spans="4:14" x14ac:dyDescent="0.25" ht="20" customHeight="1">
      <c r="D407" s="105" t="str" cm="1">
        <f t="array" ref="D407:E409">_xlfn.CHOOSECOLS(Scope3_Equations.VEERG_15_9_1_1__1_EmissionsFromPurchasedGrowMedia_Arguments(),1,2)</f>
        <v>Q_g</v>
      </c>
      <c r="E407" s="105" t="str">
        <v>total quantity of grow media type g</v>
      </c>
      <c r="F407" s="105" t="str" cm="1">
        <f t="array" ref="F407:G409">_xlfn.CHOOSECOLS(Scope3_Equations.VEERG_15_9_1_1__1_EmissionsFromPurchasedGrowMedia_Arguments(),3,4)</f>
        <v>kg or m3</v>
      </c>
      <c r="G407" s="255" t="str">
        <v>Input</v>
      </c>
    </row>
    <row r="408" spans="4:14" x14ac:dyDescent="0.25" ht="20" customHeight="1">
      <c r="D408" s="105" t="str">
        <v>EF_g</v>
      </c>
      <c r="E408" s="105" t="str">
        <v>emission factor for grow media type g</v>
      </c>
      <c r="F408" s="105" t="str">
        <v>kg CO2e/kg or kg CO2e/m3</v>
      </c>
      <c r="G408" s="110" t="str">
        <v>Constant</v>
      </c>
    </row>
    <row r="409" spans="4:14" x14ac:dyDescent="0.25" ht="20" customHeight="1">
      <c r="D409" s="105" t="str">
        <v>g</v>
      </c>
      <c r="E409" s="105" t="str">
        <v>grow media type</v>
      </c>
      <c r="F409" s="105" t="str">
        <v/>
      </c>
      <c r="G409" s="255" t="str">
        <v>Input</v>
      </c>
    </row>
    <row r="411" spans="4:14" x14ac:dyDescent="0.25" ht="20" customHeight="1">
      <c r="D411" s="26" t="s">
        <v>1151</v>
      </c>
    </row>
    <row r="413" spans="4:14" x14ac:dyDescent="0.25" ht="20" customHeight="1">
      <c r="D413" s="82" t="s">
        <v>1162</v>
      </c>
      <c r="E413" s="82" t="s">
        <v>1004</v>
      </c>
      <c r="F413" s="82" t="s">
        <v>808</v>
      </c>
      <c r="G413" s="114" t="s">
        <v>1152</v>
      </c>
      <c r="H413" s="114" t="s">
        <v>1153</v>
      </c>
      <c r="I413" s="82" t="s">
        <v>1154</v>
      </c>
      <c r="J413" s="114" t="s">
        <v>1155</v>
      </c>
      <c r="K413" s="114" t="s">
        <v>1156</v>
      </c>
      <c r="L413" s="82" t="s">
        <v>1073</v>
      </c>
      <c r="M413" s="82" t="s">
        <v>1074</v>
      </c>
      <c r="N413" s="82" t="s">
        <v>1075</v>
      </c>
    </row>
    <row r="414" spans="4:14" x14ac:dyDescent="0.25" ht="20" customHeight="1">
      <c r="D414" s="15"/>
      <c r="E414" s="15"/>
      <c r="F414" s="15"/>
      <c r="G414" s="15" t="s">
        <v>1157</v>
      </c>
      <c r="H414" s="15" t="s">
        <v>1157</v>
      </c>
      <c r="I414" s="76">
        <v>4</v>
      </c>
      <c r="J414" s="257" cm="1">
        <f t="array" ref="J414">Scope3_Equations.VEERG_15_9_1_1__1_EmissionsFromPurchasedGrowMedia(E414,I414)</f>
        <v>0</v>
      </c>
      <c r="K414" s="15" t="str">
        <f>"t CO2e / " &amp; F414</f>
        <v xml:space="preserve">t CO2e / </v>
      </c>
      <c r="L414" s="34"/>
      <c r="M414" s="13"/>
      <c r="N414" s="34"/>
    </row>
    <row r="415" spans="4:14" x14ac:dyDescent="0.25" ht="20" customHeight="1">
      <c r="D415" s="15"/>
      <c r="E415" s="15"/>
      <c r="F415" s="15"/>
      <c r="G415" s="15" t="s">
        <v>1157</v>
      </c>
      <c r="H415" s="15" t="s">
        <v>1157</v>
      </c>
      <c r="I415" s="76">
        <v>2</v>
      </c>
      <c r="J415" s="257" cm="1">
        <f t="array" ref="J415">Scope3_Equations.VEERG_15_9_1_1__1_EmissionsFromPurchasedGrowMedia(E415,I415)</f>
        <v>0</v>
      </c>
      <c r="K415" s="15" t="str">
        <f t="shared" ref="K415:K423" si="2">"t CO2e / " &amp; F415</f>
        <v xml:space="preserve">t CO2e / </v>
      </c>
      <c r="L415" s="34"/>
      <c r="M415" s="13"/>
      <c r="N415" s="34"/>
    </row>
    <row r="416" spans="4:14" x14ac:dyDescent="0.25" ht="20" customHeight="1">
      <c r="D416" s="15"/>
      <c r="E416" s="15"/>
      <c r="F416" s="15"/>
      <c r="G416" s="15" t="s">
        <v>1157</v>
      </c>
      <c r="H416" s="15" t="s">
        <v>1157</v>
      </c>
      <c r="I416" s="76"/>
      <c r="J416" s="257" cm="1">
        <f t="array" ref="J416">Scope3_Equations.VEERG_15_9_1_1__1_EmissionsFromPurchasedGrowMedia(E416,I416)</f>
        <v>0</v>
      </c>
      <c r="K416" s="15" t="str">
        <f t="shared" si="2"/>
        <v xml:space="preserve">t CO2e / </v>
      </c>
      <c r="L416" s="34"/>
      <c r="M416" s="13"/>
      <c r="N416" s="34"/>
    </row>
    <row r="417" spans="3:41" x14ac:dyDescent="0.25" ht="20" customHeight="1">
      <c r="D417" s="15"/>
      <c r="E417" s="15"/>
      <c r="F417" s="15"/>
      <c r="G417" s="15" t="s">
        <v>1157</v>
      </c>
      <c r="H417" s="15" t="s">
        <v>1157</v>
      </c>
      <c r="I417" s="76"/>
      <c r="J417" s="257" cm="1">
        <f t="array" ref="J417">Scope3_Equations.VEERG_15_9_1_1__1_EmissionsFromPurchasedGrowMedia(E417,I417)</f>
        <v>0</v>
      </c>
      <c r="K417" s="15" t="str">
        <f t="shared" si="2"/>
        <v xml:space="preserve">t CO2e / </v>
      </c>
      <c r="L417" s="34"/>
      <c r="M417" s="13"/>
      <c r="N417" s="34"/>
    </row>
    <row r="418" spans="3:41" x14ac:dyDescent="0.25" ht="20" customHeight="1">
      <c r="D418" s="15"/>
      <c r="E418" s="15"/>
      <c r="F418" s="15"/>
      <c r="G418" s="15" t="s">
        <v>1157</v>
      </c>
      <c r="H418" s="15" t="s">
        <v>1157</v>
      </c>
      <c r="I418" s="76"/>
      <c r="J418" s="257" cm="1">
        <f t="array" ref="J418">Scope3_Equations.VEERG_15_9_1_1__1_EmissionsFromPurchasedGrowMedia(E418,I418)</f>
        <v>0</v>
      </c>
      <c r="K418" s="15" t="str">
        <f t="shared" si="2"/>
        <v xml:space="preserve">t CO2e / </v>
      </c>
      <c r="L418" s="34"/>
      <c r="M418" s="13"/>
      <c r="N418" s="34"/>
    </row>
    <row r="419" spans="3:41" x14ac:dyDescent="0.25" ht="20" customHeight="1">
      <c r="D419" s="15"/>
      <c r="E419" s="15"/>
      <c r="F419" s="15"/>
      <c r="G419" s="15" t="s">
        <v>1157</v>
      </c>
      <c r="H419" s="15" t="s">
        <v>1157</v>
      </c>
      <c r="I419" s="76"/>
      <c r="J419" s="257" cm="1">
        <f t="array" ref="J419">Scope3_Equations.VEERG_15_9_1_1__1_EmissionsFromPurchasedGrowMedia(E419,I419)</f>
        <v>0</v>
      </c>
      <c r="K419" s="15" t="str">
        <f t="shared" si="2"/>
        <v xml:space="preserve">t CO2e / </v>
      </c>
      <c r="L419" s="34"/>
      <c r="M419" s="13"/>
      <c r="N419" s="34"/>
    </row>
    <row r="420" spans="3:41" x14ac:dyDescent="0.25" ht="20" customHeight="1">
      <c r="D420" s="15"/>
      <c r="E420" s="15"/>
      <c r="F420" s="15"/>
      <c r="G420" s="15" t="s">
        <v>1157</v>
      </c>
      <c r="H420" s="15" t="s">
        <v>1157</v>
      </c>
      <c r="I420" s="76"/>
      <c r="J420" s="257" cm="1">
        <f t="array" ref="J420">Scope3_Equations.VEERG_15_9_1_1__1_EmissionsFromPurchasedGrowMedia(E420,I420)</f>
        <v>0</v>
      </c>
      <c r="K420" s="15" t="str">
        <f t="shared" si="2"/>
        <v xml:space="preserve">t CO2e / </v>
      </c>
      <c r="L420" s="34"/>
      <c r="M420" s="13"/>
      <c r="N420" s="34"/>
    </row>
    <row r="421" spans="3:41" x14ac:dyDescent="0.25" ht="20" customHeight="1">
      <c r="D421" s="15"/>
      <c r="E421" s="15"/>
      <c r="F421" s="15"/>
      <c r="G421" s="15" t="s">
        <v>1157</v>
      </c>
      <c r="H421" s="15" t="s">
        <v>1157</v>
      </c>
      <c r="I421" s="76"/>
      <c r="J421" s="257" cm="1">
        <f t="array" ref="J421">Scope3_Equations.VEERG_15_9_1_1__1_EmissionsFromPurchasedGrowMedia(E421,I421)</f>
        <v>0</v>
      </c>
      <c r="K421" s="15" t="str">
        <f t="shared" si="2"/>
        <v xml:space="preserve">t CO2e / </v>
      </c>
      <c r="L421" s="34"/>
      <c r="M421" s="13"/>
      <c r="N421" s="34"/>
    </row>
    <row r="422" spans="3:41" x14ac:dyDescent="0.25" ht="20" customHeight="1">
      <c r="D422" s="15"/>
      <c r="E422" s="15"/>
      <c r="F422" s="15"/>
      <c r="G422" s="15" t="s">
        <v>1157</v>
      </c>
      <c r="H422" s="15" t="s">
        <v>1157</v>
      </c>
      <c r="I422" s="76"/>
      <c r="J422" s="257" cm="1">
        <f t="array" ref="J422">Scope3_Equations.VEERG_15_9_1_1__1_EmissionsFromPurchasedGrowMedia(E422,I422)</f>
        <v>0</v>
      </c>
      <c r="K422" s="15" t="str">
        <f t="shared" si="2"/>
        <v xml:space="preserve">t CO2e / </v>
      </c>
      <c r="L422" s="34"/>
      <c r="M422" s="13"/>
      <c r="N422" s="34"/>
    </row>
    <row r="423" spans="3:41" x14ac:dyDescent="0.25" ht="20" customHeight="1">
      <c r="D423" s="15"/>
      <c r="E423" s="15"/>
      <c r="F423" s="15"/>
      <c r="G423" s="15" t="s">
        <v>1157</v>
      </c>
      <c r="H423" s="15" t="s">
        <v>1157</v>
      </c>
      <c r="I423" s="76"/>
      <c r="J423" s="257" cm="1">
        <f t="array" ref="J423">Scope3_Equations.VEERG_15_9_1_1__1_EmissionsFromPurchasedGrowMedia(E423,I423)</f>
        <v>0</v>
      </c>
      <c r="K423" s="15" t="str">
        <f t="shared" si="2"/>
        <v xml:space="preserve">t CO2e / </v>
      </c>
      <c r="L423" s="34"/>
      <c r="M423" s="13"/>
      <c r="N423" s="34"/>
    </row>
    <row r="425" spans="3:41" ht="20" x14ac:dyDescent="0.25" customHeight="1">
      <c r="D425" s="259" t="s">
        <v>1069</v>
      </c>
      <c r="E425" s="91" t="s">
        <v>1157</v>
      </c>
      <c r="F425" s="95" t="str">
        <f>$E$170</f>
        <v>t CO2e</v>
      </c>
    </row>
    <row r="426" spans="3:41" ht="20" x14ac:dyDescent="0.25" customHeight="1">
      <c r="D426" s="259" t="s">
        <v>1072</v>
      </c>
      <c r="E426" s="91">
        <f>SUM(J414:J423)</f>
        <v>0</v>
      </c>
      <c r="F426" s="95" t="str">
        <f>$E$170</f>
        <v>t CO2e</v>
      </c>
    </row>
    <row r="429" spans="3:41" x14ac:dyDescent="0.25" ht="20" customHeight="1">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row>
    <row r="430" spans="3:41" ht="20" x14ac:dyDescent="0.25" customHeight="1">
      <c r="D430" s="2" t="str" cm="1">
        <f t="array" ref="D430">Scope3_Equations.VEERG_15_10_1_1__1_OtherPurchasedGoodsAndServices_Title()</f>
        <v>Other purchased goods and services generic estimate</v>
      </c>
    </row>
    <row r="431" spans="3:41" x14ac:dyDescent="0.25" ht="20" customHeight="1">
      <c r="D431" s="17" t="str" cm="1">
        <f t="array" ref="D431">Scope3_Equations.VEERG_15_10_1_1__1_OtherPurchasedGoodsAndServices_Source()</f>
        <v>VEERG 2026: 15.10, generic placeholder equation</v>
      </c>
    </row>
    <row r="432" spans="3:41" x14ac:dyDescent="0.25" ht="20" customHeight="1">
      <c r="D432" s="26" t="s">
        <v>1163</v>
      </c>
    </row>
    <row r="433" spans="4:13" x14ac:dyDescent="0.25" ht="20" customHeight="1">
      <c r="D433" s="103" t="s">
        <v>372</v>
      </c>
      <c r="E433" s="103" t="str" cm="1">
        <f t="array" aca="1" ref="E433" ca="1">Common_InputFunctions.Utility_DisplayFunctionName(H445)</f>
        <v>=Scope3_Equations.VEERG_15_10_1_1__1_OtherPurchasedGoodsAndServices</v>
      </c>
    </row>
    <row r="436" spans="4:13" x14ac:dyDescent="0.25" ht="20" customHeight="1">
      <c r="D436" s="77" t="s">
        <v>374</v>
      </c>
      <c r="E436" s="1" t="str" cm="1">
        <f t="array" ref="E436">Scope3_Equations.VEERG_15_10_1_1__1_OtherPurchasedGoodsAndServices_Variable()</f>
        <v>emissions</v>
      </c>
    </row>
    <row r="437" spans="4:13" x14ac:dyDescent="0.25" ht="20" customHeight="1">
      <c r="D437" s="77" t="s">
        <v>121</v>
      </c>
      <c r="E437" s="9" t="str" cm="1">
        <f t="array" ref="E437">Scope3_Equations.VEERG_15_10_1_1__1_OtherPurchasedGoodsAndServices_Unit()</f>
        <v>t CO2e</v>
      </c>
    </row>
    <row r="439" spans="4:13" x14ac:dyDescent="0.25" ht="20" customHeight="1">
      <c r="D439" s="105" t="str" cm="1">
        <f t="array" ref="D439:E440">_xlfn.CHOOSECOLS(Scope3_Equations.VEERG_15_10_1_1__1_OtherPurchasedGoodsAndServices_Arguments(),1,2)</f>
        <v>activity_data</v>
      </c>
      <c r="E439" s="106" t="str">
        <v>measured activity for the purchased good or service</v>
      </c>
      <c r="F439" s="108"/>
      <c r="G439" s="105" t="str" cm="1">
        <f t="array" ref="G439:H440">_xlfn.CHOOSECOLS(Scope3_Equations.VEERG_15_10_1_1__1_OtherPurchasedGoodsAndServices_Arguments(),3,4)</f>
        <v>varies</v>
      </c>
      <c r="H439" s="255" t="str">
        <v>Input</v>
      </c>
    </row>
    <row r="440" spans="4:13" x14ac:dyDescent="0.25" ht="20" customHeight="1">
      <c r="D440" s="105" t="str">
        <v>emission_factor</v>
      </c>
      <c r="E440" s="106" t="str">
        <v>lifecycle emissions per unit of activity</v>
      </c>
      <c r="F440" s="108"/>
      <c r="G440" s="105" t="str">
        <v>varies</v>
      </c>
      <c r="H440" s="110" t="str">
        <v>Constant</v>
      </c>
    </row>
    <row r="442" spans="4:13" ht="20" x14ac:dyDescent="0.25" customHeight="1">
      <c r="D442" s="243" t="s">
        <v>1164</v>
      </c>
    </row>
    <row r="444" spans="4:13" x14ac:dyDescent="0.25" ht="20" customHeight="1">
      <c r="D444" s="82" t="s">
        <v>1063</v>
      </c>
      <c r="E444" s="256" t="s">
        <v>1165</v>
      </c>
      <c r="F444" s="256" t="s">
        <v>1166</v>
      </c>
      <c r="G444" s="114" t="s">
        <v>124</v>
      </c>
      <c r="H444" s="114" t="s">
        <v>1069</v>
      </c>
      <c r="I444" s="82" t="s">
        <v>125</v>
      </c>
      <c r="J444" s="114" t="s">
        <v>1072</v>
      </c>
      <c r="K444" s="82" t="s">
        <v>1073</v>
      </c>
      <c r="L444" s="82" t="s">
        <v>1074</v>
      </c>
      <c r="M444" s="82" t="s">
        <v>1075</v>
      </c>
    </row>
    <row r="445" spans="4:13" x14ac:dyDescent="0.25" ht="20" customHeight="1">
      <c r="D445" s="15" cm="1">
        <f t="array" ref="D445:D454">IFERROR(INDEX(Table_Input_ChemicalsCleaning[Product name], _xlfn.SEQUENCE(10)), "")</f>
        <v>0</v>
      </c>
      <c r="E445" s="15" cm="1">
        <f t="array" ref="E445:E454">IFERROR(INDEX(Table_Input_ChemicalsCleaning[Type (select)], _xlfn.SEQUENCE(10)), "")</f>
        <v>0</v>
      </c>
      <c r="F445" s="15" cm="1">
        <f t="array" ref="F445:F454">IFERROR(INDEX(Table_Input_ChemicalsCleaning[Quantity purchased (kg)], _xlfn.SEQUENCE(10)), "")</f>
        <v>0</v>
      </c>
      <c r="G445" s="15" cm="1">
        <f t="array" ref="G445">Common_InputFunctions.Utility_LookupValueInTableNumber(E445,Table_SourceData_Scope3_ChemicalsCleaning[Product],Table_SourceData_Scope3_ChemicalsCleaning[Emissions intensity])</f>
        <v>0</v>
      </c>
      <c r="H445" s="257" cm="1">
        <f t="array" ref="H445">Scope3_Equations.VEERG_15_10_1_1__1_OtherPurchasedGoodsAndServices(F445,G445*10^-3)</f>
        <v>0</v>
      </c>
      <c r="I445" s="76">
        <v>1.3</v>
      </c>
      <c r="J445" s="257" cm="1">
        <f t="array" ref="J445">Scope3_Equations.VEERG_15_10_1_1__1_OtherPurchasedGoodsAndServices(F445,IF(I445,I445,G445)*10^-3)</f>
        <v>0</v>
      </c>
      <c r="K445" s="34"/>
      <c r="L445" s="13"/>
      <c r="M445" s="34"/>
    </row>
    <row r="446" spans="4:13" x14ac:dyDescent="0.25" ht="20" customHeight="1">
      <c r="D446" s="15">
        <v>0</v>
      </c>
      <c r="E446" s="15">
        <v>0</v>
      </c>
      <c r="F446" s="15">
        <v>0</v>
      </c>
      <c r="G446" s="15" cm="1">
        <f t="array" ref="G446">Common_InputFunctions.Utility_LookupValueInTableNumber(E446,Table_SourceData_Scope3_ChemicalsCleaning[Product],Table_SourceData_Scope3_ChemicalsCleaning[Emissions intensity])</f>
        <v>0</v>
      </c>
      <c r="H446" s="257" cm="1">
        <f t="array" ref="H446">Scope3_Equations.VEERG_15_10_1_1__1_OtherPurchasedGoodsAndServices(F446,G446*10^-3)</f>
        <v>0</v>
      </c>
      <c r="I446" s="76">
        <v>8</v>
      </c>
      <c r="J446" s="257" cm="1">
        <f t="array" ref="J446">Scope3_Equations.VEERG_15_10_1_1__1_OtherPurchasedGoodsAndServices(F446,IF(I446,I446,G446)*10^-3)</f>
        <v>0</v>
      </c>
      <c r="K446" s="34"/>
      <c r="L446" s="13"/>
      <c r="M446" s="34"/>
    </row>
    <row r="447" spans="4:13" x14ac:dyDescent="0.25" ht="20" customHeight="1">
      <c r="D447" s="15">
        <v>0</v>
      </c>
      <c r="E447" s="15">
        <v>0</v>
      </c>
      <c r="F447" s="15">
        <v>0</v>
      </c>
      <c r="G447" s="15" cm="1">
        <f t="array" ref="G447">Common_InputFunctions.Utility_LookupValueInTableNumber(E447,Table_SourceData_Scope3_ChemicalsCleaning[Product],Table_SourceData_Scope3_ChemicalsCleaning[Emissions intensity])</f>
        <v>0</v>
      </c>
      <c r="H447" s="257" cm="1">
        <f t="array" ref="H447">Scope3_Equations.VEERG_15_10_1_1__1_OtherPurchasedGoodsAndServices(F447,G447*10^-3)</f>
        <v>0</v>
      </c>
      <c r="I447" s="76">
        <v>4</v>
      </c>
      <c r="J447" s="257" cm="1">
        <f t="array" ref="J447">Scope3_Equations.VEERG_15_10_1_1__1_OtherPurchasedGoodsAndServices(F447,IF(I447,I447,G447)*10^-3)</f>
        <v>0</v>
      </c>
      <c r="K447" s="34"/>
      <c r="L447" s="13"/>
      <c r="M447" s="34"/>
    </row>
    <row r="448" spans="4:13" x14ac:dyDescent="0.25" ht="20" customHeight="1">
      <c r="D448" s="15">
        <v>0</v>
      </c>
      <c r="E448" s="15">
        <v>0</v>
      </c>
      <c r="F448" s="15">
        <v>0</v>
      </c>
      <c r="G448" s="15" cm="1">
        <f t="array" ref="G448">Common_InputFunctions.Utility_LookupValueInTableNumber(E448,Table_SourceData_Scope3_ChemicalsCleaning[Product],Table_SourceData_Scope3_ChemicalsCleaning[Emissions intensity])</f>
        <v>0</v>
      </c>
      <c r="H448" s="257" cm="1">
        <f t="array" ref="H448">Scope3_Equations.VEERG_15_10_1_1__1_OtherPurchasedGoodsAndServices(F448,G448*10^-3)</f>
        <v>0</v>
      </c>
      <c r="I448" s="76">
        <v>3</v>
      </c>
      <c r="J448" s="257" cm="1">
        <f t="array" ref="J448">Scope3_Equations.VEERG_15_10_1_1__1_OtherPurchasedGoodsAndServices(F448,IF(I448,I448,G448)*10^-3)</f>
        <v>0</v>
      </c>
      <c r="K448" s="34"/>
      <c r="L448" s="13"/>
      <c r="M448" s="34"/>
    </row>
    <row r="449" spans="4:13" x14ac:dyDescent="0.25" ht="20" customHeight="1">
      <c r="D449" s="15">
        <v>0</v>
      </c>
      <c r="E449" s="15">
        <v>0</v>
      </c>
      <c r="F449" s="15">
        <v>0</v>
      </c>
      <c r="G449" s="15" cm="1">
        <f t="array" ref="G449">Common_InputFunctions.Utility_LookupValueInTableNumber(E449,Table_SourceData_Scope3_ChemicalsCleaning[Product],Table_SourceData_Scope3_ChemicalsCleaning[Emissions intensity])</f>
        <v>0</v>
      </c>
      <c r="H449" s="257" cm="1">
        <f t="array" ref="H449">Scope3_Equations.VEERG_15_10_1_1__1_OtherPurchasedGoodsAndServices(F449,G449*10^-3)</f>
        <v>0</v>
      </c>
      <c r="I449" s="76">
        <v>6</v>
      </c>
      <c r="J449" s="257" cm="1">
        <f t="array" ref="J449">Scope3_Equations.VEERG_15_10_1_1__1_OtherPurchasedGoodsAndServices(F449,IF(I449,I449,G449)*10^-3)</f>
        <v>0</v>
      </c>
      <c r="K449" s="34"/>
      <c r="L449" s="13"/>
      <c r="M449" s="34"/>
    </row>
    <row r="450" spans="4:13" x14ac:dyDescent="0.25" ht="20" customHeight="1">
      <c r="D450" s="15">
        <v>0</v>
      </c>
      <c r="E450" s="15">
        <v>0</v>
      </c>
      <c r="F450" s="15">
        <v>0</v>
      </c>
      <c r="G450" s="15" cm="1">
        <f t="array" ref="G450">Common_InputFunctions.Utility_LookupValueInTableNumber(E450,Table_SourceData_Scope3_ChemicalsCleaning[Product],Table_SourceData_Scope3_ChemicalsCleaning[Emissions intensity])</f>
        <v>0</v>
      </c>
      <c r="H450" s="257" cm="1">
        <f t="array" ref="H450">Scope3_Equations.VEERG_15_10_1_1__1_OtherPurchasedGoodsAndServices(F450,G450*10^-3)</f>
        <v>0</v>
      </c>
      <c r="I450" s="76">
        <v>5</v>
      </c>
      <c r="J450" s="257" cm="1">
        <f t="array" ref="J450">Scope3_Equations.VEERG_15_10_1_1__1_OtherPurchasedGoodsAndServices(F450,IF(I450,I450,G450)*10^-3)</f>
        <v>0</v>
      </c>
      <c r="K450" s="34"/>
      <c r="L450" s="13"/>
      <c r="M450" s="34"/>
    </row>
    <row r="451" spans="4:13" x14ac:dyDescent="0.25" ht="20" customHeight="1">
      <c r="D451" s="15">
        <v>0</v>
      </c>
      <c r="E451" s="15">
        <v>0</v>
      </c>
      <c r="F451" s="15">
        <v>0</v>
      </c>
      <c r="G451" s="15" cm="1">
        <f t="array" ref="G451">Common_InputFunctions.Utility_LookupValueInTableNumber(E451,Table_SourceData_Scope3_ChemicalsCleaning[Product],Table_SourceData_Scope3_ChemicalsCleaning[Emissions intensity])</f>
        <v>0</v>
      </c>
      <c r="H451" s="257" cm="1">
        <f t="array" ref="H451">Scope3_Equations.VEERG_15_10_1_1__1_OtherPurchasedGoodsAndServices(F451,G451*10^-3)</f>
        <v>0</v>
      </c>
      <c r="I451" s="76"/>
      <c r="J451" s="257" cm="1">
        <f t="array" ref="J451">Scope3_Equations.VEERG_15_10_1_1__1_OtherPurchasedGoodsAndServices(F451,IF(I451,I451,G451)*10^-3)</f>
        <v>0</v>
      </c>
      <c r="K451" s="34"/>
      <c r="L451" s="13"/>
      <c r="M451" s="34"/>
    </row>
    <row r="452" spans="4:13" x14ac:dyDescent="0.25" ht="20" customHeight="1">
      <c r="D452" s="15">
        <v>0</v>
      </c>
      <c r="E452" s="15">
        <v>0</v>
      </c>
      <c r="F452" s="15">
        <v>0</v>
      </c>
      <c r="G452" s="15" cm="1">
        <f t="array" ref="G452">Common_InputFunctions.Utility_LookupValueInTableNumber(E452,Table_SourceData_Scope3_ChemicalsCleaning[Product],Table_SourceData_Scope3_ChemicalsCleaning[Emissions intensity])</f>
        <v>0</v>
      </c>
      <c r="H452" s="257" cm="1">
        <f t="array" ref="H452">Scope3_Equations.VEERG_15_10_1_1__1_OtherPurchasedGoodsAndServices(F452,G452*10^-3)</f>
        <v>0</v>
      </c>
      <c r="I452" s="76"/>
      <c r="J452" s="257" cm="1">
        <f t="array" ref="J452">Scope3_Equations.VEERG_15_10_1_1__1_OtherPurchasedGoodsAndServices(F452,IF(I452,I452,G452)*10^-3)</f>
        <v>0</v>
      </c>
      <c r="K452" s="34"/>
      <c r="L452" s="13"/>
      <c r="M452" s="34"/>
    </row>
    <row r="453" spans="4:13" x14ac:dyDescent="0.25" ht="20" customHeight="1">
      <c r="D453" s="15">
        <v>0</v>
      </c>
      <c r="E453" s="15">
        <v>0</v>
      </c>
      <c r="F453" s="15">
        <v>0</v>
      </c>
      <c r="G453" s="15" cm="1">
        <f t="array" ref="G453">Common_InputFunctions.Utility_LookupValueInTableNumber(E453,Table_SourceData_Scope3_ChemicalsCleaning[Product],Table_SourceData_Scope3_ChemicalsCleaning[Emissions intensity])</f>
        <v>0</v>
      </c>
      <c r="H453" s="257" cm="1">
        <f t="array" ref="H453">Scope3_Equations.VEERG_15_10_1_1__1_OtherPurchasedGoodsAndServices(F453,G453*10^-3)</f>
        <v>0</v>
      </c>
      <c r="I453" s="76"/>
      <c r="J453" s="257" cm="1">
        <f t="array" ref="J453">Scope3_Equations.VEERG_15_10_1_1__1_OtherPurchasedGoodsAndServices(F453,IF(I453,I453,G453)*10^-3)</f>
        <v>0</v>
      </c>
      <c r="K453" s="34"/>
      <c r="L453" s="13"/>
      <c r="M453" s="34"/>
    </row>
    <row r="454" spans="4:13" x14ac:dyDescent="0.25" ht="20" customHeight="1">
      <c r="D454" s="15">
        <v>0</v>
      </c>
      <c r="E454" s="15">
        <v>0</v>
      </c>
      <c r="F454" s="15">
        <v>0</v>
      </c>
      <c r="G454" s="15" cm="1">
        <f t="array" ref="G454">Common_InputFunctions.Utility_LookupValueInTableNumber(E454,Table_SourceData_Scope3_ChemicalsCleaning[Product],Table_SourceData_Scope3_ChemicalsCleaning[Emissions intensity])</f>
        <v>0</v>
      </c>
      <c r="H454" s="257" cm="1">
        <f t="array" ref="H454">Scope3_Equations.VEERG_15_10_1_1__1_OtherPurchasedGoodsAndServices(F454,G454*10^-3)</f>
        <v>0</v>
      </c>
      <c r="I454" s="76"/>
      <c r="J454" s="257" cm="1">
        <f t="array" ref="J454">Scope3_Equations.VEERG_15_10_1_1__1_OtherPurchasedGoodsAndServices(F454,IF(I454,I454,G454)*10^-3)</f>
        <v>0</v>
      </c>
      <c r="K454" s="34"/>
      <c r="L454" s="13"/>
      <c r="M454" s="34"/>
    </row>
    <row r="456" spans="4:13" ht="20" x14ac:dyDescent="0.25" customHeight="1">
      <c r="D456" s="259" t="s">
        <v>1069</v>
      </c>
      <c r="E456" s="91">
        <f>SUM(H445:H454)</f>
        <v>0</v>
      </c>
      <c r="F456" s="95" t="str">
        <f>$E$170</f>
        <v>t CO2e</v>
      </c>
    </row>
    <row r="457" spans="4:13" ht="20" x14ac:dyDescent="0.25" customHeight="1">
      <c r="D457" s="259" t="s">
        <v>1072</v>
      </c>
      <c r="E457" s="91">
        <f>SUM(J445:J454)</f>
        <v>0</v>
      </c>
      <c r="F457" s="95" t="str">
        <f>$E$170</f>
        <v>t CO2e</v>
      </c>
    </row>
    <row r="460" spans="4:13" ht="20" x14ac:dyDescent="0.25" customHeight="1">
      <c r="D460" s="243" t="s">
        <v>1167</v>
      </c>
    </row>
    <row r="462" spans="4:13" x14ac:dyDescent="0.25" ht="20" customHeight="1">
      <c r="D462" s="82" t="s">
        <v>1063</v>
      </c>
      <c r="E462" s="256" t="s">
        <v>1165</v>
      </c>
      <c r="F462" s="256" t="s">
        <v>1040</v>
      </c>
      <c r="G462" s="114" t="s">
        <v>1168</v>
      </c>
      <c r="H462" s="114" t="s">
        <v>1069</v>
      </c>
      <c r="I462" s="82" t="s">
        <v>1169</v>
      </c>
      <c r="J462" s="114" t="s">
        <v>1072</v>
      </c>
      <c r="K462" s="82" t="s">
        <v>1073</v>
      </c>
      <c r="L462" s="82" t="s">
        <v>1074</v>
      </c>
      <c r="M462" s="82" t="s">
        <v>1075</v>
      </c>
    </row>
    <row r="463" spans="4:13" x14ac:dyDescent="0.25" ht="20" customHeight="1">
      <c r="D463" s="15" cm="1">
        <f t="array" ref="D463:D472">IFERROR(INDEX(Table_Input_ChemicalsPharmacy[Product name], _xlfn.SEQUENCE(10)), "")</f>
        <v>0</v>
      </c>
      <c r="E463" s="15" cm="1">
        <f t="array" ref="E463:E472">IFERROR(INDEX(Table_Input_ChemicalsPharmacy[Type (select)], _xlfn.SEQUENCE(10)), "")</f>
        <v>0</v>
      </c>
      <c r="F463" s="15" cm="1">
        <f t="array" ref="F463:F472">IFERROR(INDEX(Table_Input_ChemicalsCleaning[Quantity purchased (kg)], _xlfn.SEQUENCE(10)), "")</f>
        <v>0</v>
      </c>
      <c r="G463" s="15" cm="1">
        <f t="array" ref="G463">Common_InputFunctions.Utility_LookupValueInTableNumber(E463,Table_SourceData_Scope3_ChemicalsPharmacy[Product],Table_SourceData_Scope3_ChemicalsPharmacy[Emissions intensity])</f>
        <v>0</v>
      </c>
      <c r="H463" s="257" cm="1">
        <f t="array" ref="H463">Scope3_Equations.VEERG_15_10_1_1__1_OtherPurchasedGoodsAndServices(F463,G463*10^-3)</f>
        <v>0</v>
      </c>
      <c r="I463" s="76">
        <v>0.05</v>
      </c>
      <c r="J463" s="257" cm="1">
        <f t="array" ref="J463">Scope3_Equations.VEERG_15_10_1_1__1_OtherPurchasedGoodsAndServices(F463,IF(I463,I463,G463)*10^-3)</f>
        <v>0</v>
      </c>
      <c r="K463" s="34"/>
      <c r="L463" s="13"/>
      <c r="M463" s="34"/>
    </row>
    <row r="464" spans="4:13" x14ac:dyDescent="0.25" ht="20" customHeight="1">
      <c r="D464" s="15">
        <v>0</v>
      </c>
      <c r="E464" s="15">
        <v>0</v>
      </c>
      <c r="F464" s="15">
        <v>0</v>
      </c>
      <c r="G464" s="15" cm="1">
        <f t="array" ref="G464">Common_InputFunctions.Utility_LookupValueInTableNumber(E464,Table_SourceData_Scope3_ChemicalsPharmacy[Product],Table_SourceData_Scope3_ChemicalsPharmacy[Emissions intensity])</f>
        <v>0</v>
      </c>
      <c r="H464" s="257" cm="1">
        <f t="array" ref="H464">Scope3_Equations.VEERG_15_10_1_1__1_OtherPurchasedGoodsAndServices(F464,G464*10^-3)</f>
        <v>0</v>
      </c>
      <c r="I464" s="76">
        <v>0.01</v>
      </c>
      <c r="J464" s="257" cm="1">
        <f t="array" ref="J464">Scope3_Equations.VEERG_15_10_1_1__1_OtherPurchasedGoodsAndServices(F464,IF(I464,I464,G464)*10^-3)</f>
        <v>0</v>
      </c>
      <c r="K464" s="34"/>
      <c r="L464" s="13"/>
      <c r="M464" s="34"/>
    </row>
    <row r="465" spans="4:13" x14ac:dyDescent="0.25" ht="20" customHeight="1">
      <c r="D465" s="15">
        <v>0</v>
      </c>
      <c r="E465" s="15">
        <v>0</v>
      </c>
      <c r="F465" s="15">
        <v>0</v>
      </c>
      <c r="G465" s="15" cm="1">
        <f t="array" ref="G465">Common_InputFunctions.Utility_LookupValueInTableNumber(E465,Table_SourceData_Scope3_ChemicalsPharmacy[Product],Table_SourceData_Scope3_ChemicalsPharmacy[Emissions intensity])</f>
        <v>0</v>
      </c>
      <c r="H465" s="257" cm="1">
        <f t="array" ref="H465">Scope3_Equations.VEERG_15_10_1_1__1_OtherPurchasedGoodsAndServices(F465,G465*10^-3)</f>
        <v>0</v>
      </c>
      <c r="I465" s="76">
        <v>0.01</v>
      </c>
      <c r="J465" s="257" cm="1">
        <f t="array" ref="J465">Scope3_Equations.VEERG_15_10_1_1__1_OtherPurchasedGoodsAndServices(F465,IF(I465,I465,G465)*10^-3)</f>
        <v>0</v>
      </c>
      <c r="K465" s="34"/>
      <c r="L465" s="13"/>
      <c r="M465" s="34"/>
    </row>
    <row r="466" spans="4:13" x14ac:dyDescent="0.25" ht="20" customHeight="1">
      <c r="D466" s="15">
        <v>0</v>
      </c>
      <c r="E466" s="15">
        <v>0</v>
      </c>
      <c r="F466" s="15">
        <v>0</v>
      </c>
      <c r="G466" s="15" cm="1">
        <f t="array" ref="G466">Common_InputFunctions.Utility_LookupValueInTableNumber(E466,Table_SourceData_Scope3_ChemicalsPharmacy[Product],Table_SourceData_Scope3_ChemicalsPharmacy[Emissions intensity])</f>
        <v>0</v>
      </c>
      <c r="H466" s="257" cm="1">
        <f t="array" ref="H466">Scope3_Equations.VEERG_15_10_1_1__1_OtherPurchasedGoodsAndServices(F466,G466*10^-3)</f>
        <v>0</v>
      </c>
      <c r="I466" s="76">
        <v>4.0000000000000001E-3</v>
      </c>
      <c r="J466" s="257" cm="1">
        <f t="array" ref="J466">Scope3_Equations.VEERG_15_10_1_1__1_OtherPurchasedGoodsAndServices(F466,IF(I466,I466,G466)*10^-3)</f>
        <v>0</v>
      </c>
      <c r="K466" s="34"/>
      <c r="L466" s="13"/>
      <c r="M466" s="34"/>
    </row>
    <row r="467" spans="4:13" x14ac:dyDescent="0.25" ht="20" customHeight="1">
      <c r="D467" s="15">
        <v>0</v>
      </c>
      <c r="E467" s="15">
        <v>0</v>
      </c>
      <c r="F467" s="15">
        <v>0</v>
      </c>
      <c r="G467" s="15" cm="1">
        <f t="array" ref="G467">Common_InputFunctions.Utility_LookupValueInTableNumber(E467,Table_SourceData_Scope3_ChemicalsPharmacy[Product],Table_SourceData_Scope3_ChemicalsPharmacy[Emissions intensity])</f>
        <v>0</v>
      </c>
      <c r="H467" s="257" cm="1">
        <f t="array" ref="H467">Scope3_Equations.VEERG_15_10_1_1__1_OtherPurchasedGoodsAndServices(F467,G467*10^-3)</f>
        <v>0</v>
      </c>
      <c r="I467" s="76">
        <v>0.05</v>
      </c>
      <c r="J467" s="257" cm="1">
        <f t="array" ref="J467">Scope3_Equations.VEERG_15_10_1_1__1_OtherPurchasedGoodsAndServices(F467,IF(I467,I467,G467)*10^-3)</f>
        <v>0</v>
      </c>
      <c r="K467" s="34"/>
      <c r="L467" s="13"/>
      <c r="M467" s="34"/>
    </row>
    <row r="468" spans="4:13" x14ac:dyDescent="0.25" ht="20" customHeight="1">
      <c r="D468" s="15">
        <v>0</v>
      </c>
      <c r="E468" s="15">
        <v>0</v>
      </c>
      <c r="F468" s="15">
        <v>0</v>
      </c>
      <c r="G468" s="15" cm="1">
        <f t="array" ref="G468">Common_InputFunctions.Utility_LookupValueInTableNumber(E468,Table_SourceData_Scope3_ChemicalsPharmacy[Product],Table_SourceData_Scope3_ChemicalsPharmacy[Emissions intensity])</f>
        <v>0</v>
      </c>
      <c r="H468" s="257" cm="1">
        <f t="array" ref="H468">Scope3_Equations.VEERG_15_10_1_1__1_OtherPurchasedGoodsAndServices(F468,G468*10^-3)</f>
        <v>0</v>
      </c>
      <c r="I468" s="76">
        <v>0.01</v>
      </c>
      <c r="J468" s="257" cm="1">
        <f t="array" ref="J468">Scope3_Equations.VEERG_15_10_1_1__1_OtherPurchasedGoodsAndServices(F468,IF(I468,I468,G468)*10^-3)</f>
        <v>0</v>
      </c>
      <c r="K468" s="34"/>
      <c r="L468" s="13"/>
      <c r="M468" s="34"/>
    </row>
    <row r="469" spans="4:13" x14ac:dyDescent="0.25" ht="20" customHeight="1">
      <c r="D469" s="15">
        <v>0</v>
      </c>
      <c r="E469" s="15">
        <v>0</v>
      </c>
      <c r="F469" s="15">
        <v>0</v>
      </c>
      <c r="G469" s="15" cm="1">
        <f t="array" ref="G469">Common_InputFunctions.Utility_LookupValueInTableNumber(E469,Table_SourceData_Scope3_ChemicalsPharmacy[Product],Table_SourceData_Scope3_ChemicalsPharmacy[Emissions intensity])</f>
        <v>0</v>
      </c>
      <c r="H469" s="257" cm="1">
        <f t="array" ref="H469">Scope3_Equations.VEERG_15_10_1_1__1_OtherPurchasedGoodsAndServices(F469,G469*10^-3)</f>
        <v>0</v>
      </c>
      <c r="I469" s="76"/>
      <c r="J469" s="257" cm="1">
        <f t="array" ref="J469">Scope3_Equations.VEERG_15_10_1_1__1_OtherPurchasedGoodsAndServices(F469,IF(I469,I469,G469)*10^-3)</f>
        <v>0</v>
      </c>
      <c r="K469" s="34"/>
      <c r="L469" s="13"/>
      <c r="M469" s="34"/>
    </row>
    <row r="470" spans="4:13" x14ac:dyDescent="0.25" ht="20" customHeight="1">
      <c r="D470" s="15">
        <v>0</v>
      </c>
      <c r="E470" s="15">
        <v>0</v>
      </c>
      <c r="F470" s="15">
        <v>0</v>
      </c>
      <c r="G470" s="15" cm="1">
        <f t="array" ref="G470">Common_InputFunctions.Utility_LookupValueInTableNumber(E470,Table_SourceData_Scope3_ChemicalsPharmacy[Product],Table_SourceData_Scope3_ChemicalsPharmacy[Emissions intensity])</f>
        <v>0</v>
      </c>
      <c r="H470" s="257" cm="1">
        <f t="array" ref="H470">Scope3_Equations.VEERG_15_10_1_1__1_OtherPurchasedGoodsAndServices(F470,G470*10^-3)</f>
        <v>0</v>
      </c>
      <c r="I470" s="76"/>
      <c r="J470" s="257" cm="1">
        <f t="array" ref="J470">Scope3_Equations.VEERG_15_10_1_1__1_OtherPurchasedGoodsAndServices(F470,IF(I470,I470,G470)*10^-3)</f>
        <v>0</v>
      </c>
      <c r="K470" s="34"/>
      <c r="L470" s="13"/>
      <c r="M470" s="34"/>
    </row>
    <row r="471" spans="4:13" x14ac:dyDescent="0.25" ht="20" customHeight="1">
      <c r="D471" s="15">
        <v>0</v>
      </c>
      <c r="E471" s="15">
        <v>0</v>
      </c>
      <c r="F471" s="15">
        <v>0</v>
      </c>
      <c r="G471" s="15" cm="1">
        <f t="array" ref="G471">Common_InputFunctions.Utility_LookupValueInTableNumber(E471,Table_SourceData_Scope3_ChemicalsPharmacy[Product],Table_SourceData_Scope3_ChemicalsPharmacy[Emissions intensity])</f>
        <v>0</v>
      </c>
      <c r="H471" s="257" cm="1">
        <f t="array" ref="H471">Scope3_Equations.VEERG_15_10_1_1__1_OtherPurchasedGoodsAndServices(F471,G471*10^-3)</f>
        <v>0</v>
      </c>
      <c r="I471" s="76"/>
      <c r="J471" s="257" cm="1">
        <f t="array" ref="J471">Scope3_Equations.VEERG_15_10_1_1__1_OtherPurchasedGoodsAndServices(F471,IF(I471,I471,G471)*10^-3)</f>
        <v>0</v>
      </c>
      <c r="K471" s="34"/>
      <c r="L471" s="13"/>
      <c r="M471" s="34"/>
    </row>
    <row r="472" spans="4:13" x14ac:dyDescent="0.25" ht="20" customHeight="1">
      <c r="D472" s="15">
        <v>0</v>
      </c>
      <c r="E472" s="15">
        <v>0</v>
      </c>
      <c r="F472" s="15">
        <v>0</v>
      </c>
      <c r="G472" s="15" cm="1">
        <f t="array" ref="G472">Common_InputFunctions.Utility_LookupValueInTableNumber(E472,Table_SourceData_Scope3_ChemicalsPharmacy[Product],Table_SourceData_Scope3_ChemicalsPharmacy[Emissions intensity])</f>
        <v>0</v>
      </c>
      <c r="H472" s="257" cm="1">
        <f t="array" ref="H472">Scope3_Equations.VEERG_15_10_1_1__1_OtherPurchasedGoodsAndServices(F472,G472*10^-3)</f>
        <v>0</v>
      </c>
      <c r="I472" s="76"/>
      <c r="J472" s="257" cm="1">
        <f t="array" ref="J472">Scope3_Equations.VEERG_15_10_1_1__1_OtherPurchasedGoodsAndServices(F472,IF(I472,I472,G472)*10^-3)</f>
        <v>0</v>
      </c>
      <c r="K472" s="34"/>
      <c r="L472" s="13"/>
      <c r="M472" s="34"/>
    </row>
    <row r="474" spans="4:13" ht="20" x14ac:dyDescent="0.25" customHeight="1">
      <c r="D474" s="259" t="s">
        <v>1069</v>
      </c>
      <c r="E474" s="91">
        <f>SUM(H463:H472)</f>
        <v>0</v>
      </c>
      <c r="F474" s="95" t="str">
        <f>$E$170</f>
        <v>t CO2e</v>
      </c>
    </row>
    <row r="475" spans="4:13" ht="20" x14ac:dyDescent="0.25" customHeight="1">
      <c r="D475" s="259" t="s">
        <v>1072</v>
      </c>
      <c r="E475" s="91">
        <f>SUM(J463:J472)</f>
        <v>0</v>
      </c>
      <c r="F475" s="95" t="str">
        <f>$E$170</f>
        <v>t CO2e</v>
      </c>
    </row>
    <row r="478" spans="4:13" ht="20" x14ac:dyDescent="0.25" customHeight="1">
      <c r="D478" s="243" t="s">
        <v>1024</v>
      </c>
    </row>
    <row r="480" spans="4:13" x14ac:dyDescent="0.25" ht="20" customHeight="1">
      <c r="D480" s="82" t="s">
        <v>998</v>
      </c>
      <c r="E480" s="82" t="s">
        <v>1170</v>
      </c>
      <c r="F480" s="114" t="s">
        <v>1168</v>
      </c>
      <c r="G480" s="114" t="s">
        <v>1069</v>
      </c>
      <c r="H480" s="82" t="s">
        <v>1169</v>
      </c>
      <c r="I480" s="114" t="s">
        <v>1072</v>
      </c>
      <c r="J480" s="82" t="s">
        <v>1073</v>
      </c>
      <c r="K480" s="82" t="s">
        <v>1074</v>
      </c>
      <c r="L480" s="82" t="s">
        <v>1075</v>
      </c>
    </row>
    <row r="481" spans="4:12" x14ac:dyDescent="0.25" ht="20" customHeight="1">
      <c r="D481" s="15" t="str">
        <f>'Input - Crop pasture farm input'!D23</f>
        <v>Barley grain (for seed)</v>
      </c>
      <c r="E481" s="15">
        <f>IFERROR(X_Cell_FarmInputs_Seed_BarleyGrain, 0)</f>
        <v>0</v>
      </c>
      <c r="F481" s="15" cm="1">
        <f t="array" ref="F481">Common_InputFunctions.Utility_LookupValueInTableNumber(D481,Table_SourceData_Scope3_Other[Product],Table_SourceData_Scope3_Other[Emissions intensity])</f>
        <v>0.23899999999999999</v>
      </c>
      <c r="G481" s="257" cm="1">
        <f t="array" ref="G481">Scope3_Equations.VEERG_15_10_1_1__1_OtherPurchasedGoodsAndServices(E481,F481*10^-3)</f>
        <v>0</v>
      </c>
      <c r="H481" s="76">
        <v>0.2</v>
      </c>
      <c r="I481" s="257" cm="1">
        <f t="array" ref="I481">Scope3_Equations.VEERG_15_10_1_1__1_OtherPurchasedGoodsAndServices(E481,IF(H481,H481,F481)*10^-3)</f>
        <v>0</v>
      </c>
      <c r="J481" s="34"/>
      <c r="K481" s="13"/>
      <c r="L481" s="34"/>
    </row>
    <row r="482" spans="4:12" x14ac:dyDescent="0.25" ht="20" customHeight="1">
      <c r="D482" s="15" t="str">
        <f>'Input - Crop pasture farm input'!D24</f>
        <v>Maize grain (for seed)</v>
      </c>
      <c r="E482" s="15">
        <f>IFERROR(X_Cell_FarmInputs_Seed_MaizeGrain, 0)</f>
        <v>0</v>
      </c>
      <c r="F482" s="15" cm="1">
        <f t="array" ref="F482">Common_InputFunctions.Utility_LookupValueInTableNumber(D482,Table_SourceData_Scope3_Other[Product],Table_SourceData_Scope3_Other[Emissions intensity])</f>
        <v>0.18099999999999999</v>
      </c>
      <c r="G482" s="257" cm="1">
        <f t="array" ref="G482">Scope3_Equations.VEERG_15_10_1_1__1_OtherPurchasedGoodsAndServices(E482,F482*10^-3)</f>
        <v>0</v>
      </c>
      <c r="H482" s="76"/>
      <c r="I482" s="257" cm="1">
        <f t="array" ref="I482">Scope3_Equations.VEERG_15_10_1_1__1_OtherPurchasedGoodsAndServices(E482,IF(H482,H482,F482)*10^-3)</f>
        <v>0</v>
      </c>
      <c r="J482" s="34"/>
      <c r="K482" s="13"/>
      <c r="L482" s="34"/>
    </row>
    <row r="483" spans="4:12" x14ac:dyDescent="0.25" ht="20" customHeight="1">
      <c r="D483" s="15" t="str">
        <f>'Input - Crop pasture farm input'!D25</f>
        <v>Oat grain (for seed)</v>
      </c>
      <c r="E483" s="15">
        <f>IFERROR(X_Cell_FarmInputs_Seed_OatGrain, 0)</f>
        <v>0</v>
      </c>
      <c r="F483" s="15" cm="1">
        <f t="array" ref="F483">Common_InputFunctions.Utility_LookupValueInTableNumber(D483,Table_SourceData_Scope3_Other[Product],Table_SourceData_Scope3_Other[Emissions intensity])</f>
        <v>0.27</v>
      </c>
      <c r="G483" s="257" cm="1">
        <f t="array" ref="G483">Scope3_Equations.VEERG_15_10_1_1__1_OtherPurchasedGoodsAndServices(E483,F483*10^-3)</f>
        <v>0</v>
      </c>
      <c r="H483" s="76">
        <v>0.2</v>
      </c>
      <c r="I483" s="257" cm="1">
        <f t="array" ref="I483">Scope3_Equations.VEERG_15_10_1_1__1_OtherPurchasedGoodsAndServices(E483,IF(H483,H483,F483)*10^-3)</f>
        <v>0</v>
      </c>
      <c r="J483" s="34"/>
      <c r="K483" s="13"/>
      <c r="L483" s="34"/>
    </row>
    <row r="484" spans="4:12" x14ac:dyDescent="0.25" ht="20" customHeight="1">
      <c r="D484" s="15" t="str">
        <f>'Input - Crop pasture farm input'!D26</f>
        <v>Sorghum grain (for seed)</v>
      </c>
      <c r="E484" s="15">
        <f>IFERROR(X_Cell_FarmInputs_Seed_SorghumGrain, 0)</f>
        <v>0</v>
      </c>
      <c r="F484" s="15" cm="1">
        <f t="array" ref="F484">Common_InputFunctions.Utility_LookupValueInTableNumber(D484,Table_SourceData_Scope3_Other[Product],Table_SourceData_Scope3_Other[Emissions intensity])</f>
        <v>0.23200000000000001</v>
      </c>
      <c r="G484" s="257" cm="1">
        <f t="array" ref="G484">Scope3_Equations.VEERG_15_10_1_1__1_OtherPurchasedGoodsAndServices(E484,F484*10^-3)</f>
        <v>0</v>
      </c>
      <c r="H484" s="76"/>
      <c r="I484" s="257" cm="1">
        <f t="array" ref="I484">Scope3_Equations.VEERG_15_10_1_1__1_OtherPurchasedGoodsAndServices(E484,IF(H484,H484,F484)*10^-3)</f>
        <v>0</v>
      </c>
      <c r="J484" s="34"/>
      <c r="K484" s="13"/>
      <c r="L484" s="34"/>
    </row>
    <row r="485" spans="4:12" x14ac:dyDescent="0.25" ht="20" customHeight="1">
      <c r="D485" s="15" t="str">
        <f>'Input - Crop pasture farm input'!D27</f>
        <v>Wheat grain (for seed)</v>
      </c>
      <c r="E485" s="15">
        <f>IFERROR(X_Cell_FarmInputs_Seed_WheatGrain, 0)</f>
        <v>0</v>
      </c>
      <c r="F485" s="15" cm="1">
        <f t="array" ref="F485">Common_InputFunctions.Utility_LookupValueInTableNumber(D485,Table_SourceData_Scope3_Other[Product],Table_SourceData_Scope3_Other[Emissions intensity])</f>
        <v>0.26800000000000002</v>
      </c>
      <c r="G485" s="257" cm="1">
        <f t="array" ref="G485">Scope3_Equations.VEERG_15_10_1_1__1_OtherPurchasedGoodsAndServices(E485,F485*10^-3)</f>
        <v>0</v>
      </c>
      <c r="H485" s="76">
        <v>0.2</v>
      </c>
      <c r="I485" s="257" cm="1">
        <f t="array" ref="I485">Scope3_Equations.VEERG_15_10_1_1__1_OtherPurchasedGoodsAndServices(E485,IF(H485,H485,F485)*10^-3)</f>
        <v>0</v>
      </c>
      <c r="J485" s="34"/>
      <c r="K485" s="13"/>
      <c r="L485" s="34"/>
    </row>
    <row r="487" spans="4:12" ht="20" x14ac:dyDescent="0.25" customHeight="1">
      <c r="D487" s="259" t="s">
        <v>1069</v>
      </c>
      <c r="E487" s="91">
        <f>SUM(G481:G485)</f>
        <v>0</v>
      </c>
      <c r="F487" s="95" t="str">
        <f>$E$170</f>
        <v>t CO2e</v>
      </c>
    </row>
    <row r="488" spans="4:12" ht="20" x14ac:dyDescent="0.25" customHeight="1">
      <c r="D488" s="259" t="s">
        <v>1072</v>
      </c>
      <c r="E488" s="91">
        <f>SUM(I481:I485)</f>
        <v>0</v>
      </c>
      <c r="F488" s="95" t="str">
        <f>$E$170</f>
        <v>t CO2e</v>
      </c>
    </row>
    <row r="491" spans="4:12" ht="20" x14ac:dyDescent="0.25" customHeight="1">
      <c r="D491" s="243" t="s">
        <v>1171</v>
      </c>
    </row>
    <row r="493" spans="4:12" x14ac:dyDescent="0.25" ht="20" customHeight="1">
      <c r="D493" s="82" t="s">
        <v>998</v>
      </c>
      <c r="E493" s="82" t="s">
        <v>1170</v>
      </c>
      <c r="F493" s="114" t="s">
        <v>1168</v>
      </c>
      <c r="G493" s="114" t="s">
        <v>1069</v>
      </c>
      <c r="H493" s="82" t="s">
        <v>1169</v>
      </c>
      <c r="I493" s="114" t="s">
        <v>1072</v>
      </c>
      <c r="J493" s="82" t="s">
        <v>1073</v>
      </c>
      <c r="K493" s="82" t="s">
        <v>1074</v>
      </c>
      <c r="L493" s="82" t="s">
        <v>1075</v>
      </c>
    </row>
    <row r="494" spans="4:12" x14ac:dyDescent="0.25" ht="20" customHeight="1">
      <c r="D494" s="15" t="str">
        <f>'Input - Livestock farm Inputs'!D47</f>
        <v>Animal ear tags (large)</v>
      </c>
      <c r="E494" s="15">
        <f>IFERROR(X_Cell_FarmInputs_Misc_AnimalEarTagsLarge, 0)</f>
        <v>0</v>
      </c>
      <c r="F494" s="15" cm="1">
        <f t="array" ref="F494">Common_InputFunctions.Utility_LookupValueInTableNumber(D494,Table_SourceData_Scope3_Other[Product],Table_SourceData_Scope3_Other[Emissions intensity])</f>
        <v>4.24E-2</v>
      </c>
      <c r="G494" s="257" cm="1">
        <f t="array" ref="G494">Scope3_Equations.VEERG_15_10_1_1__1_OtherPurchasedGoodsAndServices(E494,F494*10^-3)</f>
        <v>0</v>
      </c>
      <c r="H494" s="76">
        <v>0.2</v>
      </c>
      <c r="I494" s="257" cm="1">
        <f t="array" ref="I494">Scope3_Equations.VEERG_15_10_1_1__1_OtherPurchasedGoodsAndServices(E494,IF(H494,H494,F494)*10^-3)</f>
        <v>0</v>
      </c>
      <c r="J494" s="34"/>
      <c r="K494" s="13"/>
      <c r="L494" s="34"/>
    </row>
    <row r="495" spans="4:12" x14ac:dyDescent="0.25" ht="20" customHeight="1">
      <c r="D495" s="15" t="str">
        <f>'Input - Livestock farm Inputs'!D48</f>
        <v>Animal ear tags (small)</v>
      </c>
      <c r="E495" s="15">
        <f>IFERROR(X_Cell_FarmInputs_Misc_AnimalEarTagsSmall, 0)</f>
        <v>0</v>
      </c>
      <c r="F495" s="15" cm="1">
        <f t="array" ref="F495">Common_InputFunctions.Utility_LookupValueInTableNumber(D495,Table_SourceData_Scope3_Other[Product],Table_SourceData_Scope3_Other[Emissions intensity])</f>
        <v>2.93E-2</v>
      </c>
      <c r="G495" s="257" cm="1">
        <f t="array" ref="G495">Scope3_Equations.VEERG_15_10_1_1__1_OtherPurchasedGoodsAndServices(E495,F495*10^-3)</f>
        <v>0</v>
      </c>
      <c r="H495" s="76"/>
      <c r="I495" s="257" cm="1">
        <f t="array" ref="I495">Scope3_Equations.VEERG_15_10_1_1__1_OtherPurchasedGoodsAndServices(E495,IF(H495,H495,F495)*10^-3)</f>
        <v>0</v>
      </c>
      <c r="J495" s="34"/>
      <c r="K495" s="13"/>
      <c r="L495" s="34"/>
    </row>
    <row r="496" spans="4:12" x14ac:dyDescent="0.25" ht="20" customHeight="1">
      <c r="D496" s="15"/>
      <c r="E496" s="15">
        <f>IFERROR(X_Cell_FarmInputs_Misc_NylonNetting, 0)</f>
        <v>0</v>
      </c>
      <c r="F496" s="15" cm="1">
        <f t="array" ref="F496">Common_InputFunctions.Utility_LookupValueInTableNumber(D496,Table_SourceData_Scope3_Other[Product],Table_SourceData_Scope3_Other[Emissions intensity])</f>
        <v>0</v>
      </c>
      <c r="G496" s="257" cm="1">
        <f t="array" ref="G496">Scope3_Equations.VEERG_15_10_1_1__1_OtherPurchasedGoodsAndServices(E496,F496*10^-3)</f>
        <v>0</v>
      </c>
      <c r="H496" s="76">
        <v>0.2</v>
      </c>
      <c r="I496" s="257" cm="1">
        <f t="array" ref="I496">Scope3_Equations.VEERG_15_10_1_1__1_OtherPurchasedGoodsAndServices(E496,IF(H496,H496,F496)*10^-3)</f>
        <v>0</v>
      </c>
      <c r="J496" s="34"/>
      <c r="K496" s="13"/>
      <c r="L496" s="34"/>
    </row>
    <row r="498" spans="4:14" ht="20" x14ac:dyDescent="0.25" customHeight="1">
      <c r="D498" s="259" t="s">
        <v>1069</v>
      </c>
      <c r="E498" s="91">
        <f>SUM(G494:G496)</f>
        <v>0</v>
      </c>
      <c r="F498" s="95" t="str">
        <f>$E$170</f>
        <v>t CO2e</v>
      </c>
    </row>
    <row r="499" spans="4:14" ht="20" x14ac:dyDescent="0.25" customHeight="1">
      <c r="D499" s="259" t="s">
        <v>1072</v>
      </c>
      <c r="E499" s="91">
        <f>SUM(I494:I496)</f>
        <v>0</v>
      </c>
      <c r="F499" s="95" t="str">
        <f>$E$170</f>
        <v>t CO2e</v>
      </c>
    </row>
    <row r="502" spans="4:14" ht="20" x14ac:dyDescent="0.25" customHeight="1">
      <c r="D502" s="243" t="s">
        <v>1172</v>
      </c>
    </row>
    <row r="504" spans="4:14" x14ac:dyDescent="0.25" ht="20" customHeight="1">
      <c r="D504" s="82" t="s">
        <v>998</v>
      </c>
      <c r="E504" s="82" t="s">
        <v>899</v>
      </c>
      <c r="F504" s="82" t="s">
        <v>808</v>
      </c>
      <c r="G504" s="114" t="s">
        <v>1152</v>
      </c>
      <c r="H504" s="114" t="s">
        <v>1153</v>
      </c>
      <c r="I504" s="82" t="s">
        <v>1154</v>
      </c>
      <c r="J504" s="82" t="s">
        <v>1173</v>
      </c>
      <c r="K504" s="114" t="s">
        <v>1155</v>
      </c>
      <c r="L504" s="82" t="s">
        <v>1073</v>
      </c>
      <c r="M504" s="82" t="s">
        <v>1074</v>
      </c>
      <c r="N504" s="82" t="s">
        <v>1075</v>
      </c>
    </row>
    <row r="505" spans="4:14" x14ac:dyDescent="0.25" ht="20" customHeight="1">
      <c r="D505" s="15" cm="1">
        <f t="array" ref="D505:D514">IFERROR(INDEX(Table_Input_UncategorisedProductsServices[Product / service name], _xlfn.SEQUENCE(10)), "")</f>
        <v>0</v>
      </c>
      <c r="E505" s="15" cm="1">
        <f t="array" ref="E505:E514">IFERROR(INDEX(Table_Input_UncategorisedProductsServices[Amount], _xlfn.SEQUENCE(10)), "")</f>
        <v>0</v>
      </c>
      <c r="F505" s="15" cm="1">
        <f t="array" ref="F505:F514">IFERROR(INDEX(Table_Input_UncategorisedProductsServices[Amount unit], _xlfn.SEQUENCE(10)), "")</f>
        <v>0</v>
      </c>
      <c r="G505" s="15" t="s">
        <v>1157</v>
      </c>
      <c r="H505" s="15" t="s">
        <v>1157</v>
      </c>
      <c r="I505" s="76">
        <v>4</v>
      </c>
      <c r="J505" s="13" t="s">
        <v>1174</v>
      </c>
      <c r="K505" s="257" cm="1">
        <f t="array" ref="K505">Scope3_Equations.VEERG_15_10_1_1__1_OtherPurchasedGoodsAndServices(E505,IF(J505="kg / amount unit", I505*10^-3, I505))</f>
        <v>0</v>
      </c>
      <c r="L505" s="34"/>
      <c r="M505" s="13"/>
      <c r="N505" s="34"/>
    </row>
    <row r="506" spans="4:14" x14ac:dyDescent="0.25" ht="20" customHeight="1">
      <c r="D506" s="15">
        <v>0</v>
      </c>
      <c r="E506" s="15">
        <v>0</v>
      </c>
      <c r="F506" s="15">
        <v>0</v>
      </c>
      <c r="G506" s="15" t="s">
        <v>1157</v>
      </c>
      <c r="H506" s="15" t="s">
        <v>1157</v>
      </c>
      <c r="I506" s="76">
        <v>2</v>
      </c>
      <c r="J506" s="13" t="s">
        <v>1174</v>
      </c>
      <c r="K506" s="257" cm="1">
        <f t="array" ref="K506">Scope3_Equations.VEERG_15_10_1_1__1_OtherPurchasedGoodsAndServices(E506,IF(J506="kg / amount unit", I506*10^-3, I506))</f>
        <v>0</v>
      </c>
      <c r="L506" s="34"/>
      <c r="M506" s="13"/>
      <c r="N506" s="34"/>
    </row>
    <row r="507" spans="4:14" x14ac:dyDescent="0.25" ht="20" customHeight="1">
      <c r="D507" s="15">
        <v>0</v>
      </c>
      <c r="E507" s="15">
        <v>0</v>
      </c>
      <c r="F507" s="15">
        <v>0</v>
      </c>
      <c r="G507" s="15" t="s">
        <v>1157</v>
      </c>
      <c r="H507" s="15" t="s">
        <v>1157</v>
      </c>
      <c r="I507" s="76"/>
      <c r="J507" s="13"/>
      <c r="K507" s="257" cm="1">
        <f t="array" ref="K507">Scope3_Equations.VEERG_15_10_1_1__1_OtherPurchasedGoodsAndServices(E507,IF(J507="kg / amount unit", I507*10^-3, I507))</f>
        <v>0</v>
      </c>
      <c r="L507" s="34"/>
      <c r="M507" s="13"/>
      <c r="N507" s="34"/>
    </row>
    <row r="508" spans="4:14" x14ac:dyDescent="0.25" ht="20" customHeight="1">
      <c r="D508" s="15">
        <v>0</v>
      </c>
      <c r="E508" s="15">
        <v>0</v>
      </c>
      <c r="F508" s="15">
        <v>0</v>
      </c>
      <c r="G508" s="15" t="s">
        <v>1157</v>
      </c>
      <c r="H508" s="15" t="s">
        <v>1157</v>
      </c>
      <c r="I508" s="76"/>
      <c r="J508" s="13"/>
      <c r="K508" s="257" cm="1">
        <f t="array" ref="K508">Scope3_Equations.VEERG_15_10_1_1__1_OtherPurchasedGoodsAndServices(E508,IF(J508="kg / amount unit", I508*10^-3, I508))</f>
        <v>0</v>
      </c>
      <c r="L508" s="34"/>
      <c r="M508" s="13"/>
      <c r="N508" s="34"/>
    </row>
    <row r="509" spans="4:14" x14ac:dyDescent="0.25" ht="20" customHeight="1">
      <c r="D509" s="15">
        <v>0</v>
      </c>
      <c r="E509" s="15">
        <v>0</v>
      </c>
      <c r="F509" s="15">
        <v>0</v>
      </c>
      <c r="G509" s="15" t="s">
        <v>1157</v>
      </c>
      <c r="H509" s="15" t="s">
        <v>1157</v>
      </c>
      <c r="I509" s="76"/>
      <c r="J509" s="13"/>
      <c r="K509" s="257" cm="1">
        <f t="array" ref="K509">Scope3_Equations.VEERG_15_10_1_1__1_OtherPurchasedGoodsAndServices(E509,IF(J509="kg / amount unit", I509*10^-3, I509))</f>
        <v>0</v>
      </c>
      <c r="L509" s="34"/>
      <c r="M509" s="13"/>
      <c r="N509" s="34"/>
    </row>
    <row r="510" spans="4:14" x14ac:dyDescent="0.25" ht="20" customHeight="1">
      <c r="D510" s="15">
        <v>0</v>
      </c>
      <c r="E510" s="15">
        <v>0</v>
      </c>
      <c r="F510" s="15">
        <v>0</v>
      </c>
      <c r="G510" s="15" t="s">
        <v>1157</v>
      </c>
      <c r="H510" s="15" t="s">
        <v>1157</v>
      </c>
      <c r="I510" s="76"/>
      <c r="J510" s="13"/>
      <c r="K510" s="257" cm="1">
        <f t="array" ref="K510">Scope3_Equations.VEERG_15_10_1_1__1_OtherPurchasedGoodsAndServices(E510,IF(J510="kg / amount unit", I510*10^-3, I510))</f>
        <v>0</v>
      </c>
      <c r="L510" s="34"/>
      <c r="M510" s="13"/>
      <c r="N510" s="34"/>
    </row>
    <row r="511" spans="4:14" x14ac:dyDescent="0.25" ht="20" customHeight="1">
      <c r="D511" s="15">
        <v>0</v>
      </c>
      <c r="E511" s="15">
        <v>0</v>
      </c>
      <c r="F511" s="15">
        <v>0</v>
      </c>
      <c r="G511" s="15" t="s">
        <v>1157</v>
      </c>
      <c r="H511" s="15" t="s">
        <v>1157</v>
      </c>
      <c r="I511" s="76"/>
      <c r="J511" s="13"/>
      <c r="K511" s="257" cm="1">
        <f t="array" ref="K511">Scope3_Equations.VEERG_15_10_1_1__1_OtherPurchasedGoodsAndServices(E511,IF(J511="kg / amount unit", I511*10^-3, I511))</f>
        <v>0</v>
      </c>
      <c r="L511" s="34"/>
      <c r="M511" s="13"/>
      <c r="N511" s="34"/>
    </row>
    <row r="512" spans="4:14" x14ac:dyDescent="0.25" ht="20" customHeight="1">
      <c r="D512" s="15">
        <v>0</v>
      </c>
      <c r="E512" s="15">
        <v>0</v>
      </c>
      <c r="F512" s="15">
        <v>0</v>
      </c>
      <c r="G512" s="15" t="s">
        <v>1157</v>
      </c>
      <c r="H512" s="15" t="s">
        <v>1157</v>
      </c>
      <c r="I512" s="76"/>
      <c r="J512" s="13"/>
      <c r="K512" s="257" cm="1">
        <f t="array" ref="K512">Scope3_Equations.VEERG_15_10_1_1__1_OtherPurchasedGoodsAndServices(E512,IF(J512="kg / amount unit", I512*10^-3, I512))</f>
        <v>0</v>
      </c>
      <c r="L512" s="34"/>
      <c r="M512" s="13"/>
      <c r="N512" s="34"/>
    </row>
    <row r="513" spans="3:41" x14ac:dyDescent="0.25" ht="20" customHeight="1">
      <c r="D513" s="15">
        <v>0</v>
      </c>
      <c r="E513" s="15">
        <v>0</v>
      </c>
      <c r="F513" s="15">
        <v>0</v>
      </c>
      <c r="G513" s="15" t="s">
        <v>1157</v>
      </c>
      <c r="H513" s="15" t="s">
        <v>1157</v>
      </c>
      <c r="I513" s="76"/>
      <c r="J513" s="13"/>
      <c r="K513" s="257" cm="1">
        <f t="array" ref="K513">Scope3_Equations.VEERG_15_10_1_1__1_OtherPurchasedGoodsAndServices(E513,IF(J513="kg / amount unit", I513*10^-3, I513))</f>
        <v>0</v>
      </c>
      <c r="L513" s="34"/>
      <c r="M513" s="13"/>
      <c r="N513" s="34"/>
    </row>
    <row r="514" spans="3:41" x14ac:dyDescent="0.25" ht="20" customHeight="1">
      <c r="D514" s="15">
        <v>0</v>
      </c>
      <c r="E514" s="15">
        <v>0</v>
      </c>
      <c r="F514" s="15">
        <v>0</v>
      </c>
      <c r="G514" s="15" t="s">
        <v>1157</v>
      </c>
      <c r="H514" s="15" t="s">
        <v>1157</v>
      </c>
      <c r="I514" s="76"/>
      <c r="J514" s="13"/>
      <c r="K514" s="257" cm="1">
        <f t="array" ref="K514">Scope3_Equations.VEERG_15_10_1_1__1_OtherPurchasedGoodsAndServices(E514,IF(J514="kg / amount unit", I514*10^-3, I514))</f>
        <v>0</v>
      </c>
      <c r="L514" s="34"/>
      <c r="M514" s="13"/>
      <c r="N514" s="34"/>
    </row>
    <row r="516" spans="3:41" ht="20" x14ac:dyDescent="0.25" customHeight="1">
      <c r="D516" s="259" t="s">
        <v>1069</v>
      </c>
      <c r="E516" s="91" t="s">
        <v>1157</v>
      </c>
      <c r="F516" s="95" t="str">
        <f>$E$170</f>
        <v>t CO2e</v>
      </c>
    </row>
    <row r="517" spans="3:41" ht="20" x14ac:dyDescent="0.25" customHeight="1">
      <c r="D517" s="259" t="s">
        <v>1072</v>
      </c>
      <c r="E517" s="91">
        <f>SUM(K505:K514)</f>
        <v>0</v>
      </c>
      <c r="F517" s="95" t="str">
        <f>$E$170</f>
        <v>t CO2e</v>
      </c>
    </row>
    <row r="520" spans="3:41" x14ac:dyDescent="0.25" ht="20" customHeight="1">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row>
    <row r="521" spans="3:41" ht="20" x14ac:dyDescent="0.25" customHeight="1">
      <c r="D521" s="2" t="str" cm="1">
        <f t="array" ref="D521">Scope3_Equations.VEERG_15_11_1_1__1_TotalUpstreamEmissionsFromFuel_Title()</f>
        <v>Total upstream emissions from scope 1 fuel consumption</v>
      </c>
    </row>
    <row r="522" spans="3:41" x14ac:dyDescent="0.25" ht="20" customHeight="1">
      <c r="D522" s="17" t="str" cm="1">
        <f t="array" ref="D522">Scope3_Equations.VEERG_15_11_1_1__1_TotalUpstreamEmissionsFromFuel_Source()</f>
        <v>VEERG 2026: 15.11.1.1, Equation (1)</v>
      </c>
    </row>
    <row r="523" spans="3:41" x14ac:dyDescent="0.25" ht="20" customHeight="1">
      <c r="D523" s="103" t="s">
        <v>372</v>
      </c>
      <c r="E523" s="103" t="str">
        <f ca="1">Common_InputFunctions.Utility_DisplayFunctionName(VEERG_15_11_1_1__1_TotalUpstreamEmissionsFromFuel_Result)</f>
        <v>=Scope3_Equations.VEERG_15_11_1_1__1_TotalUpstreamEmissionsFromFuel</v>
      </c>
    </row>
    <row r="527" spans="3:41" x14ac:dyDescent="0.25" ht="20" customHeight="1">
      <c r="D527" s="77" t="s">
        <v>374</v>
      </c>
      <c r="E527" s="1" t="str" cm="1">
        <f t="array" ref="E527">Scope3_Equations.VEERG_15_11_1_1__1_TotalUpstreamEmissionsFromFuel_Variable()</f>
        <v>E</v>
      </c>
    </row>
    <row r="528" spans="3:41" x14ac:dyDescent="0.25" ht="20" customHeight="1">
      <c r="D528" s="77" t="s">
        <v>121</v>
      </c>
      <c r="E528" s="9" t="str" cm="1">
        <f t="array" ref="E528">Scope3_Equations.VEERG_15_11_1_1__1_TotalUpstreamEmissionsFromFuel_Unit()</f>
        <v>t CO2e</v>
      </c>
    </row>
    <row r="530" spans="3:41" x14ac:dyDescent="0.25" ht="20" customHeight="1">
      <c r="D530" s="105" t="str" cm="1">
        <f t="array" ref="D530:E531">_xlfn.CHOOSECOLS(Scope3_Equations.VEERG_15_11_1_1__1_TotalUpstreamEmissionsFromFuel_Arguments(),1,2)</f>
        <v>E_WTTtransq</v>
      </c>
      <c r="E530" s="106" t="str">
        <v>upstream emissions from scope 1 transport fuel use</v>
      </c>
      <c r="F530" s="108"/>
      <c r="G530" s="105" t="str" cm="1">
        <f t="array" ref="G530:H531">_xlfn.CHOOSECOLS(Scope3_Equations.VEERG_15_11_1_1__1_TotalUpstreamEmissionsFromFuel_Arguments(),3,4)</f>
        <v>t CO2e</v>
      </c>
      <c r="H530" s="110" t="str">
        <v>Calculated by 15.11.1.1 (2)</v>
      </c>
      <c r="I530" s="105">
        <f>VEERG_8_1_1_1__1_FuelCombustionTransport_Result</f>
        <v>0</v>
      </c>
    </row>
    <row r="531" spans="3:41" x14ac:dyDescent="0.25" ht="20" customHeight="1">
      <c r="D531" s="105" t="str">
        <v>E_WTTSCq</v>
      </c>
      <c r="E531" s="106" t="str">
        <v>upstream emissions from scope 1 stationary combustion fuel use</v>
      </c>
      <c r="F531" s="108"/>
      <c r="G531" s="105" t="str">
        <v>t CO2e</v>
      </c>
      <c r="H531" s="110" t="str">
        <v>Calculated by 15.11.1.1 (3)</v>
      </c>
      <c r="I531" s="105">
        <f>VEERG_8_2_1_1__1_FuelCombustionStationary_Result</f>
        <v>0</v>
      </c>
    </row>
    <row r="533" spans="3:41" ht="20" x14ac:dyDescent="0.25" customHeight="1">
      <c r="D533" s="259" t="s">
        <v>1175</v>
      </c>
      <c r="E533" s="91" cm="1">
        <f t="array" ref="E533">Scope3_Equations.VEERG_15_11_1_1__1_TotalUpstreamEmissionsFromFuel(I530,I531)</f>
        <v>0</v>
      </c>
      <c r="F533" s="95" t="str">
        <f>$E$170</f>
        <v>t CO2e</v>
      </c>
    </row>
    <row r="535" spans="3:41" x14ac:dyDescent="0.25" ht="20" customHeight="1">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row>
    <row r="536" spans="3:41" ht="20" x14ac:dyDescent="0.25" customHeight="1">
      <c r="D536" s="2" t="str" cm="1">
        <f t="array" ref="D536">Scope3_Equations.VEERG_15_12_1_1__1_UpstreamPurchasedElectricityLocationBased_Title()</f>
        <v>Scope 3 emissions from purchased electricity location based</v>
      </c>
    </row>
    <row r="537" spans="3:41" x14ac:dyDescent="0.25" ht="20" customHeight="1">
      <c r="D537" s="17" t="str" cm="1">
        <f t="array" ref="D537">Scope3_Equations.VEERG_15_12_1_1__1_UpstreamPurchasedElectricityLocationBased_Source()</f>
        <v>VEERG 2026: 15.12.1.1, Equation (1)</v>
      </c>
    </row>
    <row r="538" spans="3:41" x14ac:dyDescent="0.25" ht="20" customHeight="1">
      <c r="D538" s="103" t="s">
        <v>372</v>
      </c>
      <c r="E538" s="103" t="str">
        <f ca="1">Common_InputFunctions.Utility_DisplayFunctionName(VEERG_15_12_1_1__1_UpstreamPurchasedElectricityLocationBased_Result)</f>
        <v>=Scope3_Equations.VEERG_15_12_1_1__1_UpstreamPurchasedElectricityLocationBased</v>
      </c>
    </row>
    <row r="541" spans="3:41" x14ac:dyDescent="0.25" ht="20" customHeight="1">
      <c r="D541" s="77" t="s">
        <v>374</v>
      </c>
      <c r="E541" s="1" t="str" cm="1">
        <f t="array" ref="E541">Scope3_Equations.VEERG_15_12_1_1__1_UpstreamPurchasedElectricityLocationBased_Variable()</f>
        <v>E_3elec</v>
      </c>
    </row>
    <row r="542" spans="3:41" x14ac:dyDescent="0.25" ht="20" customHeight="1">
      <c r="D542" s="77" t="s">
        <v>121</v>
      </c>
      <c r="E542" s="1" t="str" cm="1">
        <f t="array" ref="E542">Scope3_Equations.VEERG_15_12_1_1__1_UpstreamPurchasedElectricityLocationBased_Unit()</f>
        <v>t CO2e</v>
      </c>
    </row>
    <row r="544" spans="3:41" x14ac:dyDescent="0.25" ht="20" customHeight="1">
      <c r="D544" s="105" t="str" cm="1">
        <f t="array" ref="D544:E546">_xlfn.CHOOSECOLS(Scope3_Equations.VEERG_15_12_1_1__1_UpstreamPurchasedElectricityLocationBased_Arguments(),1,2)</f>
        <v>Q_elec</v>
      </c>
      <c r="E544" s="105" t="str">
        <v>amount of electricity purchased from the grid</v>
      </c>
      <c r="F544" s="105"/>
      <c r="G544" s="105" t="str" cm="1">
        <f t="array" ref="G544:H546">_xlfn.CHOOSECOLS(Scope3_Equations.VEERG_15_12_1_1__1_UpstreamPurchasedElectricityLocationBased_Arguments(),3,4)</f>
        <v>kWh</v>
      </c>
      <c r="H544" s="255" t="str">
        <v>Input</v>
      </c>
      <c r="I544" s="106">
        <f>X_Cell_Electricity_Location_AmountPurchasedInkWh</f>
        <v>0</v>
      </c>
      <c r="J544" s="108"/>
    </row>
    <row r="545" spans="3:41" x14ac:dyDescent="0.25" ht="20" customHeight="1">
      <c r="D545" s="105" t="str">
        <v>EF_3elec</v>
      </c>
      <c r="E545" s="105" t="str">
        <v>scope 3 emission factor for purchased electricity</v>
      </c>
      <c r="F545" s="105"/>
      <c r="G545" s="105" t="str">
        <v>kg CO2e/kWh</v>
      </c>
      <c r="H545" s="110" t="str">
        <v>Constant</v>
      </c>
      <c r="I545" s="106" cm="1">
        <f t="array" ref="I545">Common_InputFunctions.Utility_LookupValueInTableNumber(I546,Table_SourceData_ElectricityEFs[State, Territory or grid description],Table_SourceData_ElectricityEFs[Scope 3 Emission Factors (kg CO2-e/kWh)])</f>
        <v>0</v>
      </c>
      <c r="J545" s="108"/>
    </row>
    <row r="546" spans="3:41" x14ac:dyDescent="0.25" ht="20" customHeight="1">
      <c r="D546" s="105" t="str">
        <v>g</v>
      </c>
      <c r="E546" s="106" t="str">
        <v>grid electricity was purchased from</v>
      </c>
      <c r="F546" s="108"/>
      <c r="G546" s="105" t="str">
        <v/>
      </c>
      <c r="H546" s="255" t="str">
        <v>Input</v>
      </c>
      <c r="I546" s="106">
        <f>X_Cell_Electricity_Location_GridElectricityPurchasedFrom</f>
        <v>0</v>
      </c>
      <c r="J546" s="108"/>
    </row>
    <row r="548" spans="3:41" ht="20" x14ac:dyDescent="0.25" customHeight="1">
      <c r="D548" s="259" t="s">
        <v>1176</v>
      </c>
      <c r="E548" s="91" cm="1">
        <f t="array" ref="E548">Scope3_Equations.VEERG_15_12_1_1__1_UpstreamPurchasedElectricityLocationBased(I544,I545)</f>
        <v>0</v>
      </c>
      <c r="F548" s="95" t="str">
        <f>$E$170</f>
        <v>t CO2e</v>
      </c>
    </row>
    <row r="551" spans="3:41" x14ac:dyDescent="0.25" ht="20" customHeight="1">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row>
    <row r="552" spans="3:41" ht="20" x14ac:dyDescent="0.25" customHeight="1">
      <c r="D552" s="2" t="str" cm="1">
        <f t="array" ref="D552">Scope3_Equations.VEERG_15_12_1_2__1_UpstreamPurchasedElectricityMarketBased_Title()</f>
        <v>Scope 3 emissions from purchased electricity market based</v>
      </c>
    </row>
    <row r="553" spans="3:41" x14ac:dyDescent="0.25" ht="20" customHeight="1">
      <c r="D553" s="17" t="str" cm="1">
        <f t="array" ref="D553">Scope3_Equations.VEERG_15_12_1_2__1_UpstreamPurchasedElectricityMarketBased_Source()</f>
        <v>VEERG 2026: 15.12.1.2, Equation (1)</v>
      </c>
    </row>
    <row r="554" spans="3:41" x14ac:dyDescent="0.25" ht="20" customHeight="1">
      <c r="D554" s="26"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x14ac:dyDescent="0.25" ht="20" customHeight="1">
      <c r="D555" s="103" t="s">
        <v>372</v>
      </c>
      <c r="E555" s="103" t="str">
        <f ca="1">Common_InputFunctions.Utility_DisplayFunctionName(VEERG_15_12_1_2__1_UpstreamPurchasedElectricityMarketBasedVariation_Result)</f>
        <v>=Scope3_Equations.VEERG_15_12_1_2__1_UpstreamPurchasedElectricityMarketBasedVariation</v>
      </c>
    </row>
    <row r="559" spans="3:41" x14ac:dyDescent="0.25" ht="20" customHeight="1">
      <c r="D559" s="77" t="s">
        <v>374</v>
      </c>
      <c r="E559" s="1" t="str" cm="1">
        <f t="array" ref="E559">Scope3_Equations.VEERG_15_12_1_2__1_UpstreamPurchasedElectricityMarketBased_Variable()</f>
        <v>E_3elec</v>
      </c>
    </row>
    <row r="560" spans="3:41" x14ac:dyDescent="0.25" ht="20" customHeight="1">
      <c r="D560" s="77" t="s">
        <v>121</v>
      </c>
      <c r="E560" s="1" t="str" cm="1">
        <f t="array" ref="E560">Scope3_Equations.VEERG_15_12_1_2__1_UpstreamPurchasedElectricityMarketBased_Unit()</f>
        <v>t CO2e</v>
      </c>
    </row>
    <row r="562" spans="3:41" x14ac:dyDescent="0.25" ht="20" customHeight="1">
      <c r="D562" s="105" t="str" cm="1">
        <f t="array" ref="D562:E568">_xlfn.CHOOSECOLS(Scope3_Equations.VEERG_15_12_1_2__1_UpstreamPurchasedElectricityMarketBased_Arguments(),1,2)</f>
        <v>Q_elec</v>
      </c>
      <c r="E562" s="106" t="str">
        <v>amount of electricity purchased from the grid</v>
      </c>
      <c r="F562" s="108"/>
      <c r="G562" s="105" t="str" cm="1">
        <f t="array" ref="G562:H568">_xlfn.CHOOSECOLS(Scope3_Equations.VEERG_15_12_1_2__1_UpstreamPurchasedElectricityMarketBased_Arguments(),3,4)</f>
        <v>kWh</v>
      </c>
      <c r="H562" s="255" t="str">
        <v>Input</v>
      </c>
      <c r="I562" s="260">
        <f>X_Cell_Electricity_Market_AmountPurchasedExcludingGreenPower</f>
        <v>0</v>
      </c>
    </row>
    <row r="563" spans="3:41" x14ac:dyDescent="0.25" ht="20" customHeight="1">
      <c r="D563" s="105" t="str">
        <v>RPP</v>
      </c>
      <c r="E563" s="106" t="str">
        <v>renewable power percentage under LRET for the applicable period</v>
      </c>
      <c r="F563" s="108"/>
      <c r="G563" s="105" t="str">
        <v>fraction</v>
      </c>
      <c r="H563" s="255" t="str">
        <v>Input</v>
      </c>
      <c r="I563" s="185">
        <f>X_Cell_Electricity_Market_RenewablePowerPercentage</f>
        <v>0</v>
      </c>
    </row>
    <row r="564" spans="3:41" x14ac:dyDescent="0.25" ht="20" customHeight="1">
      <c r="D564" s="105" t="str">
        <v>JRPP</v>
      </c>
      <c r="E564" s="106" t="str">
        <v>jurisdictional renewable power percentage for the applicable period</v>
      </c>
      <c r="F564" s="108"/>
      <c r="G564" s="105" t="str">
        <v>fraction</v>
      </c>
      <c r="H564" s="255" t="str">
        <v>Input</v>
      </c>
      <c r="I564" s="185">
        <f>X_Cell_Electricity_Market_JurisdictionalRenewablePowerPercentage</f>
        <v>0</v>
      </c>
    </row>
    <row r="565" spans="3:41" x14ac:dyDescent="0.25" ht="20" customHeight="1">
      <c r="D565" s="105" t="str">
        <v>REC_surrendered</v>
      </c>
      <c r="E565" s="106" t="str">
        <v>eligible renewable energy certificates voluntarily surrendered</v>
      </c>
      <c r="F565" s="108"/>
      <c r="G565" s="105" t="str">
        <v>MWh</v>
      </c>
      <c r="H565" s="255" t="str">
        <v>Input</v>
      </c>
      <c r="I565" s="105">
        <f>(X_Cell_Electricity_Market_AmountPurchasedGreenPower*10^-3)+X_Cell_TotalElegibleVoluntarilySurrenderedRECs</f>
        <v>0</v>
      </c>
    </row>
    <row r="566" spans="3:41" x14ac:dyDescent="0.25" ht="20" customHeight="1">
      <c r="D566" s="105" t="str">
        <v>REC_onsite</v>
      </c>
      <c r="E566" s="106" t="str">
        <v>eligible renewable energy certificates issued for onsite generated electricity</v>
      </c>
      <c r="F566" s="108"/>
      <c r="G566" s="105" t="str">
        <v>MWh</v>
      </c>
      <c r="H566" s="255" t="str">
        <v>Input</v>
      </c>
      <c r="I566" s="105">
        <f>X_Cell_TotalElegibleRECsForElectricityProducedOnSite</f>
        <v>0</v>
      </c>
    </row>
    <row r="567" spans="3:41" x14ac:dyDescent="0.25" ht="20" customHeight="1">
      <c r="D567" s="105" t="str">
        <v>EF_RMF3elec</v>
      </c>
      <c r="E567" s="106" t="str">
        <v>scope 3 residual mix emission factor for electricity</v>
      </c>
      <c r="F567" s="108"/>
      <c r="G567" s="105" t="str">
        <v>kg CO2e/kWh</v>
      </c>
      <c r="H567" s="110" t="str">
        <v>Constant</v>
      </c>
      <c r="I567" s="105" cm="1">
        <f t="array" ref="I567">Table_SourceData_ElectricityEFsMarketBased[Scope 3 EF (kg CO2-e/kWh)]</f>
        <v>0.1</v>
      </c>
    </row>
    <row r="568" spans="3:41" x14ac:dyDescent="0.25" ht="20" customHeight="1">
      <c r="D568" s="105" t="str">
        <v>i</v>
      </c>
      <c r="E568" s="106" t="str">
        <v>state</v>
      </c>
      <c r="F568" s="108"/>
      <c r="G568" s="105" t="str">
        <v/>
      </c>
      <c r="H568" s="255" t="str">
        <v>Input</v>
      </c>
      <c r="I568" s="105">
        <f>X_Cell_Site_State</f>
        <v>0</v>
      </c>
    </row>
    <row r="570" spans="3:41" ht="20" x14ac:dyDescent="0.25" customHeight="1">
      <c r="D570" s="259" t="s">
        <v>1176</v>
      </c>
      <c r="E570" s="91" cm="1">
        <f t="array" ref="E570">Scope3_Equations.VEERG_15_12_1_2__1_UpstreamPurchasedElectricityMarketBasedVariation(I562,I563,I564,I565,I566,I567)</f>
        <v>0</v>
      </c>
      <c r="F570" s="95" t="str">
        <f>$E$170</f>
        <v>t CO2e</v>
      </c>
    </row>
    <row r="573" spans="3:41" x14ac:dyDescent="0.25" ht="20" customHeight="1">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row>
    <row r="574" spans="3:41" ht="20" x14ac:dyDescent="0.25" customHeight="1">
      <c r="D574" s="2" t="str" cm="1">
        <f t="array" ref="D574">Scope3_Equations.VEERG_15_13_1_1__1_EmissionsFromManureSentOffSite_Title()</f>
        <v>Emissions from manure sent off site applied to soils in another farming system or enterprise</v>
      </c>
    </row>
    <row r="575" spans="3:41" x14ac:dyDescent="0.25" ht="20" customHeight="1">
      <c r="D575" s="17" t="str" cm="1">
        <f t="array" ref="D575">Scope3_Equations.VEERG_15_13_1_1__1_EmissionsFromManureSentOffSite_Source()</f>
        <v>VEERG 2026: 15.13.1.1, Equation (1)</v>
      </c>
    </row>
    <row r="576" spans="3:41" x14ac:dyDescent="0.25" ht="20" customHeight="1">
      <c r="D576" s="103" t="s">
        <v>372</v>
      </c>
      <c r="E576" s="103" t="str" cm="1">
        <f t="array" aca="1" ref="E576" ca="1">Common_InputFunctions.Utility_DisplayFunctionName(E588)</f>
        <v>=Scope3_Equations.VEERG_15_13_1_1__1_EmissionsFromManureSentOffSite</v>
      </c>
    </row>
    <row r="579" spans="4:18" x14ac:dyDescent="0.25" ht="20" customHeight="1">
      <c r="D579" s="77" t="s">
        <v>374</v>
      </c>
      <c r="E579" s="1" t="str" cm="1">
        <f t="array" ref="E579">Scope3_Equations.VEERG_15_13_1_1__1_EmissionsFromManureSentOffSite_Variable()</f>
        <v>E</v>
      </c>
    </row>
    <row r="580" spans="4:18" x14ac:dyDescent="0.25" ht="20" customHeight="1">
      <c r="D580" s="77" t="s">
        <v>121</v>
      </c>
      <c r="E580" s="9" t="str" cm="1">
        <f t="array" ref="E580">Scope3_Equations.VEERG_15_13_1_1__1_EmissionsFromManureSentOffSite_Unit()</f>
        <v>t N2O</v>
      </c>
    </row>
    <row r="582" spans="4:18" x14ac:dyDescent="0.25" ht="20" customHeight="1">
      <c r="D582" s="25" t="s">
        <v>136</v>
      </c>
      <c r="L582" s="25" t="s">
        <v>137</v>
      </c>
    </row>
    <row r="584" spans="4:18" x14ac:dyDescent="0.25" ht="20" customHeight="1">
      <c r="D584" s="105" t="str" cm="1">
        <f t="array" ref="D584:E586">_xlfn.CHOOSECOLS(Scope3_Equations.VEERG_15_13_1_1__1_EmissionsFromManureSentOffSite_Arguments(),1,2)</f>
        <v>E_N2O</v>
      </c>
      <c r="E584" s="106" t="str">
        <v>direct nitrous oxide emissions from application of manure to soils outside of scope 1 boundary</v>
      </c>
      <c r="F584" s="107"/>
      <c r="G584" s="108"/>
      <c r="H584" s="105" t="str" cm="1">
        <f t="array" ref="H584:I586">_xlfn.CHOOSECOLS(Scope3_Equations.VEERG_15_13_1_1__1_EmissionsFromManureSentOffSite_Arguments(),3,4)</f>
        <v>t N2O</v>
      </c>
      <c r="I584" s="110" t="str">
        <v>Calculated</v>
      </c>
      <c r="J584" s="105">
        <f>VEERG_5_2_1_1__1_OrganicFertiliserApplicationN2OEmissions_Result_Method1</f>
        <v>0</v>
      </c>
      <c r="L584" s="105" t="str" cm="1">
        <f t="array" ref="L584:M586">_xlfn.CHOOSECOLS(Scope3_Equations.VEERG_15_13_1_1__1_EmissionsFromManureSentOffSite_Arguments(),1,2)</f>
        <v>E_N2O</v>
      </c>
      <c r="M584" s="106" t="str">
        <v>direct nitrous oxide emissions from application of manure to soils outside of scope 1 boundary</v>
      </c>
      <c r="N584" s="107"/>
      <c r="O584" s="108"/>
      <c r="P584" s="105" t="str" cm="1">
        <f t="array" ref="P584:Q586">_xlfn.CHOOSECOLS(Scope3_Equations.VEERG_15_13_1_1__1_EmissionsFromManureSentOffSite_Arguments(),3,4)</f>
        <v>t N2O</v>
      </c>
      <c r="Q584" s="110" t="str">
        <v>Calculated</v>
      </c>
      <c r="R584" s="105">
        <f>VEERG_5_2_1_1__1_OrganicFertiliserApplicationN2OEmissions_Result_Method2</f>
        <v>0</v>
      </c>
    </row>
    <row r="585" spans="4:18" x14ac:dyDescent="0.25" ht="20" customHeight="1">
      <c r="D585" s="105" t="str">
        <v>E_ad</v>
      </c>
      <c r="E585" s="106" t="str">
        <v>nitrous oxide emissions from atmospheric deposition of manure to soils</v>
      </c>
      <c r="F585" s="107"/>
      <c r="G585" s="108"/>
      <c r="H585" s="105" t="str">
        <v>t N2O</v>
      </c>
      <c r="I585" s="110" t="str">
        <v>Calculated</v>
      </c>
      <c r="J585" s="105" t="e">
        <f>VEERG_5_4_1_3__1_OrganicFertiliserAtmosphericDepositionN2OEmissions_Result_Method1</f>
        <v>#N/A</v>
      </c>
      <c r="L585" s="105" t="str">
        <v>E_ad</v>
      </c>
      <c r="M585" s="106" t="str">
        <v>nitrous oxide emissions from atmospheric deposition of manure to soils</v>
      </c>
      <c r="N585" s="107"/>
      <c r="O585" s="108"/>
      <c r="P585" s="105" t="str">
        <v>t N2O</v>
      </c>
      <c r="Q585" s="110" t="str">
        <v>Calculated</v>
      </c>
      <c r="R585" s="105" t="e">
        <f>VEERG_5_4_1_3__1_OrganicFertiliserAtmosphericDepositionN2OEmissions_Result_Method2</f>
        <v>#N/A</v>
      </c>
    </row>
    <row r="586" spans="4:18" x14ac:dyDescent="0.25" ht="20" customHeight="1">
      <c r="D586" s="105" t="str">
        <v>E_leach</v>
      </c>
      <c r="E586" s="106" t="str">
        <v>nitrous oxide emissions from nitrogen leaching and runoff of manure to soils</v>
      </c>
      <c r="F586" s="107"/>
      <c r="G586" s="108"/>
      <c r="H586" s="105" t="str">
        <v>t N2O</v>
      </c>
      <c r="I586" s="110" t="str">
        <v>Calculated</v>
      </c>
      <c r="J586" s="105">
        <f>VEERG_5_5_1_1__1_FertiliserLeachingAndRunoffN2OEmissions_Result_Method1</f>
        <v>0</v>
      </c>
      <c r="L586" s="105" t="str">
        <v>E_leach</v>
      </c>
      <c r="M586" s="106" t="str">
        <v>nitrous oxide emissions from nitrogen leaching and runoff of manure to soils</v>
      </c>
      <c r="N586" s="107"/>
      <c r="O586" s="108"/>
      <c r="P586" s="105" t="str">
        <v>t N2O</v>
      </c>
      <c r="Q586" s="110" t="str">
        <v>Calculated</v>
      </c>
      <c r="R586" s="105">
        <f>VEERG_5_5_1_1__1_FertiliserLeachingAndRunoffN2OEmissions_Result_Method2</f>
        <v>0</v>
      </c>
    </row>
    <row r="588" spans="4:18" ht="20" x14ac:dyDescent="0.25" customHeight="1">
      <c r="D588" s="259" t="s">
        <v>1176</v>
      </c>
      <c r="E588" s="91" t="e" cm="1">
        <f t="array" ref="E588">Scope3_Equations.VEERG_15_13_1_1__1_EmissionsFromManureSentOffSite(J584,J585,J586)</f>
        <v>#N/A</v>
      </c>
      <c r="F588" s="95" t="str">
        <f>$E$580</f>
        <v>t N2O</v>
      </c>
      <c r="L588" s="259" t="s">
        <v>1176</v>
      </c>
      <c r="M588" s="91" t="e" cm="1">
        <f t="array" ref="M588">Scope3_Equations.VEERG_15_13_1_1__1_EmissionsFromManureSentOffSite(R584,R585,R586)</f>
        <v>#N/A</v>
      </c>
      <c r="N588" s="95" t="str">
        <f>$E$580</f>
        <v>t N2O</v>
      </c>
    </row>
    <row r="590" spans="4:18" x14ac:dyDescent="0.25" ht="20" customHeight="1">
      <c r="D590" s="116" t="str" cm="1">
        <f t="array" ref="D590:E591">Common_Equations.Common_ConvertN2OToCO2e_Arguments()</f>
        <v>EN2O</v>
      </c>
      <c r="E590" s="117" t="str">
        <v>Nitrous oxide emissions (t N2O)</v>
      </c>
      <c r="F590" s="118"/>
      <c r="G590" s="15" t="e">
        <f>E588</f>
        <v>#N/A</v>
      </c>
      <c r="L590" s="116" t="str" cm="1">
        <f t="array" ref="L590:M591">Common_Equations.Common_ConvertN2OToCO2e_Arguments()</f>
        <v>EN2O</v>
      </c>
      <c r="M590" s="117" t="str">
        <v>Nitrous oxide emissions (t N2O)</v>
      </c>
      <c r="N590" s="118"/>
      <c r="O590" s="15" t="e">
        <f>M588</f>
        <v>#N/A</v>
      </c>
    </row>
    <row r="591" spans="4:18" x14ac:dyDescent="0.25" ht="20" customHeight="1">
      <c r="D591" s="116" t="str">
        <v>GWPN2O</v>
      </c>
      <c r="E591" s="117" t="str">
        <v>Global warming potential for nitrous oxide (t CO2-e / t N2O)</v>
      </c>
      <c r="F591" s="118"/>
      <c r="G591" s="15">
        <f>Common_InputFunctions.Utility_LookupValueInTableNumber("N2O",Table_GWPData[Gas],Table_GWPData[CO2-e factor])</f>
        <v>265</v>
      </c>
      <c r="L591" s="116" t="str">
        <v>GWPN2O</v>
      </c>
      <c r="M591" s="117" t="str">
        <v>Global warming potential for nitrous oxide (t CO2-e / t N2O)</v>
      </c>
      <c r="N591" s="118"/>
      <c r="O591" s="15">
        <f>Common_InputFunctions.Utility_LookupValueInTableNumber("N2O",Table_GWPData[Gas],Table_GWPData[CO2-e factor])</f>
        <v>265</v>
      </c>
    </row>
    <row r="593" spans="3:41" ht="20" x14ac:dyDescent="0.25" customHeight="1">
      <c r="D593" s="87" t="s">
        <v>436</v>
      </c>
      <c r="E593" s="87" t="e" cm="1">
        <f t="array" ref="E593">Common_Equations.Common_ConvertN2OToCO2e(G590,G591)</f>
        <v>#N/A</v>
      </c>
      <c r="F593" s="94" t="str" cm="1">
        <f t="array" ref="F593">Common_Equations.Common_ConvertN2OToCO2e_Unit()</f>
        <v>t CO2e</v>
      </c>
      <c r="L593" s="87" t="s">
        <v>436</v>
      </c>
      <c r="M593" s="87" t="e" cm="1">
        <f t="array" ref="M593">Common_Equations.Common_ConvertN2OToCO2e(O590,O591)</f>
        <v>#N/A</v>
      </c>
      <c r="N593" s="94" t="str" cm="1">
        <f t="array" ref="N593">Common_Equations.Common_ConvertN2OToCO2e_Unit()</f>
        <v>t CO2e</v>
      </c>
    </row>
    <row r="596" spans="3:41" x14ac:dyDescent="0.25" ht="20" customHeight="1">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row>
    <row r="597" spans="3:41" ht="20" x14ac:dyDescent="0.25" customHeight="1">
      <c r="D597" s="2" t="str" cm="1">
        <f t="array" ref="D597">Scope3_Equations.VEERG_15_13_1_3__1_EmissionsFromSolidWasteTreatmentFacility_Title()</f>
        <v>Emissions from solid waste sent to a treatment facility</v>
      </c>
    </row>
    <row r="598" spans="3:41" x14ac:dyDescent="0.25" ht="20" customHeight="1">
      <c r="D598" s="17" t="str" cm="1">
        <f t="array" ref="D598">Scope3_Equations.VEERG_15_13_1_3__1_EmissionsFromSolidWasteTreatmentFacility_Source()</f>
        <v>VEERG 2026: 15.13.1.3</v>
      </c>
    </row>
    <row r="600" spans="3:41" x14ac:dyDescent="0.25" ht="20" customHeight="1">
      <c r="D600" s="77" t="s">
        <v>374</v>
      </c>
      <c r="E600" s="1" t="str" cm="1">
        <f t="array" ref="E600">Scope3_Equations.VEERG_15_13_1_3__1_EmissionsFromSolidWasteTreatmentFacility_Variable()</f>
        <v>E</v>
      </c>
    </row>
    <row r="601" spans="3:41" x14ac:dyDescent="0.25" ht="20" customHeight="1">
      <c r="D601" s="77" t="s">
        <v>121</v>
      </c>
      <c r="E601" s="9" t="str" cm="1">
        <f t="array" ref="E601">Scope3_Equations.VEERG_15_13_1_3__1_EmissionsFromSolidWasteTreatmentFacility_Unit()</f>
        <v>t CO2e</v>
      </c>
    </row>
    <row r="603" spans="3:41" ht="20" x14ac:dyDescent="0.25" customHeight="1">
      <c r="D603" s="259" t="s">
        <v>1176</v>
      </c>
      <c r="E603" s="91">
        <f>VEERG_10_1_1_1__1_EmissionsFromWasteManagement_Scope3_Result_Method1</f>
        <v>0</v>
      </c>
      <c r="F603" s="95" t="str">
        <f>E601</f>
        <v>t CO2e</v>
      </c>
    </row>
    <row r="606" spans="3:41" x14ac:dyDescent="0.25" ht="20" customHeight="1">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row>
    <row r="607" spans="3:41" ht="20" x14ac:dyDescent="0.25" customHeight="1">
      <c r="D607" s="2" t="str" cm="1">
        <f t="array" ref="D607">Scope3_Equations.VEERG_15_14_1_1__1_EmbeddedEmissionsFromUpstreamFreight_Title()</f>
        <v>Embedded emissions from upstream freight</v>
      </c>
    </row>
    <row r="608" spans="3:41" x14ac:dyDescent="0.25" ht="20" customHeight="1">
      <c r="D608" s="17" t="str" cm="1">
        <f t="array" ref="D608">Scope3_Equations.VEERG_15_14_1_1__1_EmbeddedEmissionsFromUpstreamFreight_Source()</f>
        <v>VEERG 2026: 15.14.1.1, Equation (1)</v>
      </c>
    </row>
    <row r="609" spans="4:13" x14ac:dyDescent="0.25" ht="20" customHeight="1">
      <c r="D609" s="103" t="s">
        <v>372</v>
      </c>
      <c r="E609" s="103" t="str" cm="1">
        <f t="array" aca="1" ref="E609" ca="1">Common_InputFunctions.Utility_DisplayFunctionName(J624)</f>
        <v>=Scope3_Equations.VEERG_15_14_1_1__1_EmbeddedEmissionsFromUpstreamFreight</v>
      </c>
    </row>
    <row r="613" spans="4:13" x14ac:dyDescent="0.25" ht="20" customHeight="1">
      <c r="D613" s="77" t="s">
        <v>374</v>
      </c>
      <c r="E613" s="1" t="str" cm="1">
        <f t="array" ref="E613">Scope3_Equations.VEERG_15_14_1_1__1_EmbeddedEmissionsFromUpstreamFreight_Variable()</f>
        <v>E</v>
      </c>
    </row>
    <row r="614" spans="4:13" x14ac:dyDescent="0.25" ht="20" customHeight="1">
      <c r="D614" s="77" t="s">
        <v>121</v>
      </c>
      <c r="E614" s="9" t="str" cm="1">
        <f t="array" ref="E614">Scope3_Equations.VEERG_15_14_1_1__1_EmbeddedEmissionsFromUpstreamFreight_Unit()</f>
        <v>t CO2e</v>
      </c>
    </row>
    <row r="616" spans="4:13" x14ac:dyDescent="0.25" ht="20" customHeight="1">
      <c r="D616" s="105" t="str" cm="1">
        <f t="array" ref="D616:E619">_xlfn.CHOOSECOLS(Scope3_Equations.VEERG_15_14_1_1__1_EmbeddedEmissionsFromUpstreamFreight_Arguments(),1,2)</f>
        <v>W_f</v>
      </c>
      <c r="E616" s="106" t="str">
        <v>total mass of goods transported per freight type f</v>
      </c>
      <c r="F616" s="108"/>
      <c r="G616" s="105" t="str" cm="1">
        <f t="array" ref="G616:H619">_xlfn.CHOOSECOLS(Scope3_Equations.VEERG_15_14_1_1__1_EmbeddedEmissionsFromUpstreamFreight_Arguments(),3,4)</f>
        <v>t</v>
      </c>
      <c r="H616" s="255" t="str">
        <v>Input</v>
      </c>
    </row>
    <row r="617" spans="4:13" x14ac:dyDescent="0.25" ht="20" customHeight="1">
      <c r="D617" s="105" t="str">
        <v>D_f</v>
      </c>
      <c r="E617" s="106" t="str">
        <v>total distance transported per freight type f</v>
      </c>
      <c r="F617" s="108"/>
      <c r="G617" s="105" t="str">
        <v>km</v>
      </c>
      <c r="H617" s="255" t="str">
        <v>Input</v>
      </c>
    </row>
    <row r="618" spans="4:13" x14ac:dyDescent="0.25" ht="20" customHeight="1">
      <c r="D618" s="105" t="str">
        <v>EF_f</v>
      </c>
      <c r="E618" s="106" t="str">
        <v>emission factor for freight type f</v>
      </c>
      <c r="F618" s="108"/>
      <c r="G618" s="105" t="str">
        <v>t CO2e/(t km)</v>
      </c>
      <c r="H618" s="110" t="str">
        <v>Constant</v>
      </c>
    </row>
    <row r="619" spans="4:13" x14ac:dyDescent="0.25" ht="20" customHeight="1">
      <c r="D619" s="105" t="str">
        <v>f</v>
      </c>
      <c r="E619" s="106" t="str">
        <v>freight type</v>
      </c>
      <c r="F619" s="108"/>
      <c r="G619" s="105" t="str">
        <v/>
      </c>
      <c r="H619" s="255" t="str">
        <v>Input</v>
      </c>
    </row>
    <row r="621" spans="4:13" ht="20" x14ac:dyDescent="0.25" customHeight="1">
      <c r="D621" s="243" t="s">
        <v>1044</v>
      </c>
    </row>
    <row r="623" spans="4:13" ht="20" x14ac:dyDescent="0.25" customHeight="1">
      <c r="D623" s="82" t="s">
        <v>1177</v>
      </c>
      <c r="E623" s="82" t="s">
        <v>1178</v>
      </c>
      <c r="F623" s="82" t="s">
        <v>1179</v>
      </c>
      <c r="G623" s="114" t="s">
        <v>1180</v>
      </c>
      <c r="H623" s="114" t="s">
        <v>1069</v>
      </c>
      <c r="I623" s="82" t="s">
        <v>1118</v>
      </c>
      <c r="J623" s="114" t="s">
        <v>1072</v>
      </c>
      <c r="K623" s="82" t="s">
        <v>1073</v>
      </c>
      <c r="L623" s="82" t="s">
        <v>1074</v>
      </c>
      <c r="M623" s="82" t="s">
        <v>1075</v>
      </c>
    </row>
    <row r="624" spans="4:13" x14ac:dyDescent="0.25" ht="20" customHeight="1">
      <c r="D624" s="15" cm="1">
        <f t="array" ref="D624:D633">IFERROR(INDEX(Table_Input_FreightIncoming[Route name], _xlfn.SEQUENCE(10)), "")</f>
        <v>0</v>
      </c>
      <c r="E624" s="15" cm="1">
        <f t="array" ref="E624:E633">IFERROR(INDEX(Table_Input_FreightIncoming[Average weight of freight per trip (t)], _xlfn.SEQUENCE(10)), "")</f>
        <v>0</v>
      </c>
      <c r="F624" s="15" cm="1">
        <f t="array" ref="F624:F633">IFERROR(INDEX(Table_Input_FreightIncoming[Route distance (km)], _xlfn.SEQUENCE(10))*INDEX(Table_Input_FreightIncoming[Number of trips taken], _xlfn.SEQUENCE(10)), "")</f>
        <v>0</v>
      </c>
      <c r="G624" s="15" t="s">
        <v>1157</v>
      </c>
      <c r="H624" s="15" t="s">
        <v>1157</v>
      </c>
      <c r="I624" s="76">
        <v>10</v>
      </c>
      <c r="J624" s="15" cm="1">
        <f t="array" ref="J624">Scope3_Equations.VEERG_15_14_1_1__1_EmbeddedEmissionsFromUpstreamFreight(E624,F624,I624)</f>
        <v>0</v>
      </c>
      <c r="K624" s="34"/>
      <c r="L624" s="13"/>
      <c r="M624" s="34"/>
    </row>
    <row r="625" spans="4:13" x14ac:dyDescent="0.25" ht="20" customHeight="1">
      <c r="D625" s="15">
        <v>0</v>
      </c>
      <c r="E625" s="15">
        <v>0</v>
      </c>
      <c r="F625" s="15">
        <v>0</v>
      </c>
      <c r="G625" s="15" t="s">
        <v>1157</v>
      </c>
      <c r="H625" s="15" t="s">
        <v>1157</v>
      </c>
      <c r="I625" s="76">
        <v>5</v>
      </c>
      <c r="J625" s="15" cm="1">
        <f t="array" ref="J625">Scope3_Equations.VEERG_15_14_1_1__1_EmbeddedEmissionsFromUpstreamFreight(E625,F625,I625)</f>
        <v>0</v>
      </c>
      <c r="K625" s="34"/>
      <c r="L625" s="13"/>
      <c r="M625" s="34"/>
    </row>
    <row r="626" spans="4:13" x14ac:dyDescent="0.25" ht="20" customHeight="1">
      <c r="D626" s="15">
        <v>0</v>
      </c>
      <c r="E626" s="15">
        <v>0</v>
      </c>
      <c r="F626" s="15">
        <v>0</v>
      </c>
      <c r="G626" s="15" t="s">
        <v>1157</v>
      </c>
      <c r="H626" s="15" t="s">
        <v>1157</v>
      </c>
      <c r="I626" s="76"/>
      <c r="J626" s="15" cm="1">
        <f t="array" ref="J626">Scope3_Equations.VEERG_15_14_1_1__1_EmbeddedEmissionsFromUpstreamFreight(E626,F626,I626)</f>
        <v>0</v>
      </c>
      <c r="K626" s="34"/>
      <c r="L626" s="13"/>
      <c r="M626" s="34"/>
    </row>
    <row r="627" spans="4:13" x14ac:dyDescent="0.25" ht="20" customHeight="1">
      <c r="D627" s="15">
        <v>0</v>
      </c>
      <c r="E627" s="15">
        <v>0</v>
      </c>
      <c r="F627" s="15">
        <v>0</v>
      </c>
      <c r="G627" s="15" t="s">
        <v>1157</v>
      </c>
      <c r="H627" s="15" t="s">
        <v>1157</v>
      </c>
      <c r="I627" s="76"/>
      <c r="J627" s="15" cm="1">
        <f t="array" ref="J627">Scope3_Equations.VEERG_15_14_1_1__1_EmbeddedEmissionsFromUpstreamFreight(E627,F627,I627)</f>
        <v>0</v>
      </c>
      <c r="K627" s="34"/>
      <c r="L627" s="13"/>
      <c r="M627" s="34"/>
    </row>
    <row r="628" spans="4:13" x14ac:dyDescent="0.25" ht="20" customHeight="1">
      <c r="D628" s="15">
        <v>0</v>
      </c>
      <c r="E628" s="15">
        <v>0</v>
      </c>
      <c r="F628" s="15">
        <v>0</v>
      </c>
      <c r="G628" s="15" t="s">
        <v>1157</v>
      </c>
      <c r="H628" s="15" t="s">
        <v>1157</v>
      </c>
      <c r="I628" s="76"/>
      <c r="J628" s="15" cm="1">
        <f t="array" ref="J628">Scope3_Equations.VEERG_15_14_1_1__1_EmbeddedEmissionsFromUpstreamFreight(E628,F628,I628)</f>
        <v>0</v>
      </c>
      <c r="K628" s="34"/>
      <c r="L628" s="13"/>
      <c r="M628" s="34"/>
    </row>
    <row r="629" spans="4:13" x14ac:dyDescent="0.25" ht="20" customHeight="1">
      <c r="D629" s="15">
        <v>0</v>
      </c>
      <c r="E629" s="15">
        <v>0</v>
      </c>
      <c r="F629" s="15">
        <v>0</v>
      </c>
      <c r="G629" s="15" t="s">
        <v>1157</v>
      </c>
      <c r="H629" s="15" t="s">
        <v>1157</v>
      </c>
      <c r="I629" s="76"/>
      <c r="J629" s="15" cm="1">
        <f t="array" ref="J629">Scope3_Equations.VEERG_15_14_1_1__1_EmbeddedEmissionsFromUpstreamFreight(E629,F629,I629)</f>
        <v>0</v>
      </c>
      <c r="K629" s="34"/>
      <c r="L629" s="13"/>
      <c r="M629" s="34"/>
    </row>
    <row r="630" spans="4:13" x14ac:dyDescent="0.25" ht="20" customHeight="1">
      <c r="D630" s="15">
        <v>0</v>
      </c>
      <c r="E630" s="15">
        <v>0</v>
      </c>
      <c r="F630" s="15">
        <v>0</v>
      </c>
      <c r="G630" s="15" t="s">
        <v>1157</v>
      </c>
      <c r="H630" s="15" t="s">
        <v>1157</v>
      </c>
      <c r="I630" s="76"/>
      <c r="J630" s="15" cm="1">
        <f t="array" ref="J630">Scope3_Equations.VEERG_15_14_1_1__1_EmbeddedEmissionsFromUpstreamFreight(E630,F630,I630)</f>
        <v>0</v>
      </c>
      <c r="K630" s="34"/>
      <c r="L630" s="13"/>
      <c r="M630" s="34"/>
    </row>
    <row r="631" spans="4:13" x14ac:dyDescent="0.25" ht="20" customHeight="1">
      <c r="D631" s="15">
        <v>0</v>
      </c>
      <c r="E631" s="15">
        <v>0</v>
      </c>
      <c r="F631" s="15">
        <v>0</v>
      </c>
      <c r="G631" s="15" t="s">
        <v>1157</v>
      </c>
      <c r="H631" s="15" t="s">
        <v>1157</v>
      </c>
      <c r="I631" s="76"/>
      <c r="J631" s="15" cm="1">
        <f t="array" ref="J631">Scope3_Equations.VEERG_15_14_1_1__1_EmbeddedEmissionsFromUpstreamFreight(E631,F631,I631)</f>
        <v>0</v>
      </c>
      <c r="K631" s="34"/>
      <c r="L631" s="13"/>
      <c r="M631" s="34"/>
    </row>
    <row r="632" spans="4:13" x14ac:dyDescent="0.25" ht="20" customHeight="1">
      <c r="D632" s="15">
        <v>0</v>
      </c>
      <c r="E632" s="15">
        <v>0</v>
      </c>
      <c r="F632" s="15">
        <v>0</v>
      </c>
      <c r="G632" s="15" t="s">
        <v>1157</v>
      </c>
      <c r="H632" s="15" t="s">
        <v>1157</v>
      </c>
      <c r="I632" s="76"/>
      <c r="J632" s="15" cm="1">
        <f t="array" ref="J632">Scope3_Equations.VEERG_15_14_1_1__1_EmbeddedEmissionsFromUpstreamFreight(E632,F632,I632)</f>
        <v>0</v>
      </c>
      <c r="K632" s="34"/>
      <c r="L632" s="13"/>
      <c r="M632" s="34"/>
    </row>
    <row r="633" spans="4:13" x14ac:dyDescent="0.25" ht="20" customHeight="1">
      <c r="D633" s="15">
        <v>0</v>
      </c>
      <c r="E633" s="15">
        <v>0</v>
      </c>
      <c r="F633" s="15">
        <v>0</v>
      </c>
      <c r="G633" s="15" t="s">
        <v>1157</v>
      </c>
      <c r="H633" s="15" t="s">
        <v>1157</v>
      </c>
      <c r="I633" s="76"/>
      <c r="J633" s="15" cm="1">
        <f t="array" ref="J633">Scope3_Equations.VEERG_15_14_1_1__1_EmbeddedEmissionsFromUpstreamFreight(E633,F633,I633)</f>
        <v>0</v>
      </c>
      <c r="K633" s="34"/>
      <c r="L633" s="13"/>
      <c r="M633" s="34"/>
    </row>
    <row r="635" spans="4:13" x14ac:dyDescent="0.25" ht="20" customHeight="1">
      <c r="D635" s="93" t="s">
        <v>1181</v>
      </c>
      <c r="E635" s="87" t="s">
        <v>1157</v>
      </c>
      <c r="F635" s="94" t="str">
        <f>$E$105</f>
        <v>t CO2e</v>
      </c>
    </row>
    <row r="636" spans="4:13" x14ac:dyDescent="0.25" ht="20" customHeight="1">
      <c r="D636" s="93" t="s">
        <v>1182</v>
      </c>
      <c r="E636" s="87">
        <f>SUM(J624:J633)</f>
        <v>0</v>
      </c>
      <c r="F636" s="94" t="str">
        <f>$E$105</f>
        <v>t CO2e</v>
      </c>
    </row>
    <row r="639" spans="4:13" ht="20" x14ac:dyDescent="0.25" customHeight="1">
      <c r="D639" s="243" t="s">
        <v>1050</v>
      </c>
    </row>
    <row r="641" spans="4:13" ht="20" x14ac:dyDescent="0.25" customHeight="1">
      <c r="D641" s="82" t="s">
        <v>1177</v>
      </c>
      <c r="E641" s="82" t="s">
        <v>1178</v>
      </c>
      <c r="F641" s="82" t="s">
        <v>1179</v>
      </c>
      <c r="G641" s="114" t="s">
        <v>1180</v>
      </c>
      <c r="H641" s="114" t="s">
        <v>1069</v>
      </c>
      <c r="I641" s="82" t="s">
        <v>1118</v>
      </c>
      <c r="J641" s="114" t="s">
        <v>1072</v>
      </c>
      <c r="K641" s="82" t="s">
        <v>1073</v>
      </c>
      <c r="L641" s="82" t="s">
        <v>1074</v>
      </c>
      <c r="M641" s="82" t="s">
        <v>1075</v>
      </c>
    </row>
    <row r="642" spans="4:13" x14ac:dyDescent="0.25" ht="20" customHeight="1">
      <c r="D642" s="15" cm="1">
        <f t="array" ref="D642:D651">IFERROR(INDEX(Table_Input_FreightOutgoing[Route name], _xlfn.SEQUENCE(10)), "")</f>
        <v>0</v>
      </c>
      <c r="E642" s="15" cm="1">
        <f t="array" ref="E642:E651">IFERROR(INDEX(Table_Input_FreightOutgoing[Average weight of freight per trip (t)], _xlfn.SEQUENCE(10)), "")</f>
        <v>0</v>
      </c>
      <c r="F642" s="15" cm="1">
        <f t="array" ref="F642:F651">IFERROR(INDEX(Table_Input_FreightOutgoing[Route distance (km)], _xlfn.SEQUENCE(10))*INDEX(Table_Input_FreightOutgoing[Number of trips taken], _xlfn.SEQUENCE(10)), "")</f>
        <v>0</v>
      </c>
      <c r="G642" s="15" t="s">
        <v>1157</v>
      </c>
      <c r="H642" s="15" t="s">
        <v>1157</v>
      </c>
      <c r="I642" s="76">
        <v>6.4</v>
      </c>
      <c r="J642" s="15" cm="1">
        <f t="array" ref="J642">Scope3_Equations.VEERG_15_14_1_1__1_EmbeddedEmissionsFromUpstreamFreight(E642,F642,I642)</f>
        <v>0</v>
      </c>
      <c r="K642" s="34"/>
      <c r="L642" s="13"/>
      <c r="M642" s="34"/>
    </row>
    <row r="643" spans="4:13" x14ac:dyDescent="0.25" ht="20" customHeight="1">
      <c r="D643" s="15">
        <v>0</v>
      </c>
      <c r="E643" s="15">
        <v>0</v>
      </c>
      <c r="F643" s="15">
        <v>0</v>
      </c>
      <c r="G643" s="15" t="s">
        <v>1157</v>
      </c>
      <c r="H643" s="15" t="s">
        <v>1157</v>
      </c>
      <c r="I643" s="76"/>
      <c r="J643" s="15" cm="1">
        <f t="array" ref="J643">Scope3_Equations.VEERG_15_14_1_1__1_EmbeddedEmissionsFromUpstreamFreight(E643,F643,I643)</f>
        <v>0</v>
      </c>
      <c r="K643" s="34"/>
      <c r="L643" s="13"/>
      <c r="M643" s="34"/>
    </row>
    <row r="644" spans="4:13" x14ac:dyDescent="0.25" ht="20" customHeight="1">
      <c r="D644" s="15">
        <v>0</v>
      </c>
      <c r="E644" s="15">
        <v>0</v>
      </c>
      <c r="F644" s="15">
        <v>0</v>
      </c>
      <c r="G644" s="15" t="s">
        <v>1157</v>
      </c>
      <c r="H644" s="15" t="s">
        <v>1157</v>
      </c>
      <c r="I644" s="76"/>
      <c r="J644" s="15" cm="1">
        <f t="array" ref="J644">Scope3_Equations.VEERG_15_14_1_1__1_EmbeddedEmissionsFromUpstreamFreight(E644,F644,I644)</f>
        <v>0</v>
      </c>
      <c r="K644" s="34"/>
      <c r="L644" s="13"/>
      <c r="M644" s="34"/>
    </row>
    <row r="645" spans="4:13" x14ac:dyDescent="0.25" ht="20" customHeight="1">
      <c r="D645" s="15">
        <v>0</v>
      </c>
      <c r="E645" s="15">
        <v>0</v>
      </c>
      <c r="F645" s="15">
        <v>0</v>
      </c>
      <c r="G645" s="15" t="s">
        <v>1157</v>
      </c>
      <c r="H645" s="15" t="s">
        <v>1157</v>
      </c>
      <c r="I645" s="76"/>
      <c r="J645" s="15" cm="1">
        <f t="array" ref="J645">Scope3_Equations.VEERG_15_14_1_1__1_EmbeddedEmissionsFromUpstreamFreight(E645,F645,I645)</f>
        <v>0</v>
      </c>
      <c r="K645" s="34"/>
      <c r="L645" s="13"/>
      <c r="M645" s="34"/>
    </row>
    <row r="646" spans="4:13" x14ac:dyDescent="0.25" ht="20" customHeight="1">
      <c r="D646" s="15">
        <v>0</v>
      </c>
      <c r="E646" s="15">
        <v>0</v>
      </c>
      <c r="F646" s="15">
        <v>0</v>
      </c>
      <c r="G646" s="15" t="s">
        <v>1157</v>
      </c>
      <c r="H646" s="15" t="s">
        <v>1157</v>
      </c>
      <c r="I646" s="76"/>
      <c r="J646" s="15" cm="1">
        <f t="array" ref="J646">Scope3_Equations.VEERG_15_14_1_1__1_EmbeddedEmissionsFromUpstreamFreight(E646,F646,I646)</f>
        <v>0</v>
      </c>
      <c r="K646" s="34"/>
      <c r="L646" s="13"/>
      <c r="M646" s="34"/>
    </row>
    <row r="647" spans="4:13" x14ac:dyDescent="0.25" ht="20" customHeight="1">
      <c r="D647" s="15">
        <v>0</v>
      </c>
      <c r="E647" s="15">
        <v>0</v>
      </c>
      <c r="F647" s="15">
        <v>0</v>
      </c>
      <c r="G647" s="15" t="s">
        <v>1157</v>
      </c>
      <c r="H647" s="15" t="s">
        <v>1157</v>
      </c>
      <c r="I647" s="76"/>
      <c r="J647" s="15" cm="1">
        <f t="array" ref="J647">Scope3_Equations.VEERG_15_14_1_1__1_EmbeddedEmissionsFromUpstreamFreight(E647,F647,I647)</f>
        <v>0</v>
      </c>
      <c r="K647" s="34"/>
      <c r="L647" s="13"/>
      <c r="M647" s="34"/>
    </row>
    <row r="648" spans="4:13" x14ac:dyDescent="0.25" ht="20" customHeight="1">
      <c r="D648" s="15">
        <v>0</v>
      </c>
      <c r="E648" s="15">
        <v>0</v>
      </c>
      <c r="F648" s="15">
        <v>0</v>
      </c>
      <c r="G648" s="15" t="s">
        <v>1157</v>
      </c>
      <c r="H648" s="15" t="s">
        <v>1157</v>
      </c>
      <c r="I648" s="76"/>
      <c r="J648" s="15" cm="1">
        <f t="array" ref="J648">Scope3_Equations.VEERG_15_14_1_1__1_EmbeddedEmissionsFromUpstreamFreight(E648,F648,I648)</f>
        <v>0</v>
      </c>
      <c r="K648" s="34"/>
      <c r="L648" s="13"/>
      <c r="M648" s="34"/>
    </row>
    <row r="649" spans="4:13" x14ac:dyDescent="0.25" ht="20" customHeight="1">
      <c r="D649" s="15">
        <v>0</v>
      </c>
      <c r="E649" s="15">
        <v>0</v>
      </c>
      <c r="F649" s="15">
        <v>0</v>
      </c>
      <c r="G649" s="15" t="s">
        <v>1157</v>
      </c>
      <c r="H649" s="15" t="s">
        <v>1157</v>
      </c>
      <c r="I649" s="76"/>
      <c r="J649" s="15" cm="1">
        <f t="array" ref="J649">Scope3_Equations.VEERG_15_14_1_1__1_EmbeddedEmissionsFromUpstreamFreight(E649,F649,I649)</f>
        <v>0</v>
      </c>
      <c r="K649" s="34"/>
      <c r="L649" s="13"/>
      <c r="M649" s="34"/>
    </row>
    <row r="650" spans="4:13" x14ac:dyDescent="0.25" ht="20" customHeight="1">
      <c r="D650" s="15">
        <v>0</v>
      </c>
      <c r="E650" s="15">
        <v>0</v>
      </c>
      <c r="F650" s="15">
        <v>0</v>
      </c>
      <c r="G650" s="15" t="s">
        <v>1157</v>
      </c>
      <c r="H650" s="15" t="s">
        <v>1157</v>
      </c>
      <c r="I650" s="76"/>
      <c r="J650" s="15" cm="1">
        <f t="array" ref="J650">Scope3_Equations.VEERG_15_14_1_1__1_EmbeddedEmissionsFromUpstreamFreight(E650,F650,I650)</f>
        <v>0</v>
      </c>
      <c r="K650" s="34"/>
      <c r="L650" s="13"/>
      <c r="M650" s="34"/>
    </row>
    <row r="651" spans="4:13" x14ac:dyDescent="0.25" ht="20" customHeight="1">
      <c r="D651" s="15">
        <v>0</v>
      </c>
      <c r="E651" s="15">
        <v>0</v>
      </c>
      <c r="F651" s="15">
        <v>0</v>
      </c>
      <c r="G651" s="15" t="s">
        <v>1157</v>
      </c>
      <c r="H651" s="15" t="s">
        <v>1157</v>
      </c>
      <c r="I651" s="76"/>
      <c r="J651" s="15" cm="1">
        <f t="array" ref="J651">Scope3_Equations.VEERG_15_14_1_1__1_EmbeddedEmissionsFromUpstreamFreight(E651,F651,I651)</f>
        <v>0</v>
      </c>
      <c r="K651" s="34"/>
      <c r="L651" s="13"/>
      <c r="M651" s="34"/>
    </row>
    <row r="653" spans="4:13" x14ac:dyDescent="0.25" ht="20" customHeight="1">
      <c r="D653" s="93" t="s">
        <v>1183</v>
      </c>
      <c r="E653" s="87" t="s">
        <v>1157</v>
      </c>
      <c r="F653" s="94" t="str">
        <f>$E$105</f>
        <v>t CO2e</v>
      </c>
    </row>
    <row r="654" spans="4:13" x14ac:dyDescent="0.25" ht="20" customHeight="1">
      <c r="D654" s="93" t="s">
        <v>1184</v>
      </c>
      <c r="E654" s="87">
        <f>SUM(J642:J651)</f>
        <v>0</v>
      </c>
      <c r="F654" s="94" t="str">
        <f>$E$105</f>
        <v>t CO2e</v>
      </c>
    </row>
    <row r="656" spans="4:13" ht="20" x14ac:dyDescent="0.25" customHeight="1">
      <c r="D656" s="90" t="s">
        <v>1069</v>
      </c>
      <c r="E656" s="91" t="s">
        <v>1157</v>
      </c>
      <c r="F656" s="95" t="str">
        <f>$E$105</f>
        <v>t CO2e</v>
      </c>
    </row>
    <row r="657" spans="4:6" ht="20" x14ac:dyDescent="0.25" customHeight="1">
      <c r="D657" s="90" t="s">
        <v>1072</v>
      </c>
      <c r="E657" s="91">
        <f>VEERG_15_14_1_1__1_EmbeddedEmissionsFromUpstreamFreight_Incoming_Result_Method2+VEERG_15_14_1_1__1_EmbeddedEmissionsFromUpstreamFreight_Outgoing_Result_Method2</f>
        <v>0</v>
      </c>
      <c r="F657" s="95" t="str">
        <f>$E$105</f>
        <v>t CO2e</v>
      </c>
    </row>
  </sheetData>
  <dataValidations count="2">
    <dataValidation type="list" allowBlank="1" showInputMessage="1" showErrorMessage="1" sqref="J505:J514" xr:uid="{74CAD3EE-DE50-4366-AFAE-E106CED8BF04}">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0D899A8C-70D9-4C43-A73A-7F4D11D2E58E}">
      <formula1>INDIRECT("Table_SourceData_DataScores_Scope3[Data source]")</formula1>
    </dataValidation>
  </dataValidation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A5C5-526A-4C1B-B3F4-F291C04F0ADF}">
  <sheetPr>
    <tabColor theme="9" tint="-0.249977111117893"/>
  </sheetPr>
  <dimension ref="A1:U160"/>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style="239" customWidth="1"/>
    <col min="2" max="2" width="5.28515625" style="239" customWidth="1"/>
    <col min="3" max="3" width="5.28515625" style="1" customWidth="1"/>
    <col min="4" max="10" width="35" style="1" customWidth="1"/>
    <col min="11" max="11" width="5.28515625" style="1" customWidth="1"/>
    <col min="12" max="12" width="5.28515625" style="239" customWidth="1"/>
    <col min="13" max="13" width="5.28515625" style="1" customWidth="1"/>
    <col min="14" max="20" width="35" style="1" customWidth="1"/>
    <col min="21" max="21" width="5.28515625" style="1" customWidth="1"/>
    <col min="22" max="16384" width="9.140625" style="239"/>
  </cols>
  <sheetData>
    <row r="1" spans="1:21" ht="30" customHeight="1" x14ac:dyDescent="0.35">
      <c r="A1" s="10" t="e" vm="1">
        <v>#VALUE!</v>
      </c>
      <c r="C1" s="21" t="s">
        <v>1185</v>
      </c>
      <c r="D1" s="21"/>
      <c r="E1" s="21"/>
      <c r="F1" s="21"/>
      <c r="G1" s="21"/>
      <c r="H1" s="21"/>
      <c r="I1" s="21"/>
      <c r="J1" s="21"/>
      <c r="K1" s="21"/>
      <c r="M1" s="21"/>
      <c r="N1" s="21"/>
      <c r="O1" s="21"/>
      <c r="P1" s="21"/>
      <c r="Q1" s="21"/>
      <c r="R1" s="21"/>
      <c r="S1" s="21"/>
      <c r="T1" s="21"/>
      <c r="U1" s="21"/>
    </row>
    <row r="2" spans="1:21" ht="20" customHeight="1" x14ac:dyDescent="0.25">
      <c r="A2"/>
      <c r="C2" s="3"/>
      <c r="D2" s="3"/>
      <c r="E2" s="3"/>
      <c r="F2" s="3"/>
      <c r="G2" s="3"/>
      <c r="H2" s="3"/>
      <c r="I2" s="3"/>
      <c r="J2" s="3"/>
      <c r="K2" s="3"/>
      <c r="M2" s="3"/>
      <c r="N2" s="3"/>
      <c r="O2" s="3"/>
      <c r="P2" s="3"/>
      <c r="Q2" s="3"/>
      <c r="R2" s="3"/>
      <c r="S2" s="3"/>
      <c r="T2" s="3"/>
      <c r="U2" s="3"/>
    </row>
    <row r="3" spans="1:21" ht="20" customHeight="1" x14ac:dyDescent="0.25">
      <c r="A3" s="5" t="str">
        <f>HYPERLINK("#'Home'!A1", "Home")</f>
        <v>Home</v>
      </c>
      <c r="C3" s="23"/>
      <c r="D3" s="23" t="s">
        <v>136</v>
      </c>
      <c r="E3" s="23"/>
      <c r="F3" s="23"/>
      <c r="G3" s="23"/>
      <c r="H3" s="23"/>
      <c r="I3" s="23"/>
      <c r="J3" s="23"/>
      <c r="K3" s="23"/>
      <c r="M3" s="23"/>
      <c r="N3" s="23" t="s">
        <v>137</v>
      </c>
      <c r="O3" s="23"/>
      <c r="P3" s="23"/>
      <c r="Q3" s="23"/>
      <c r="R3" s="23"/>
      <c r="S3" s="23"/>
      <c r="T3" s="23"/>
      <c r="U3" s="23"/>
    </row>
    <row r="4" spans="1:21" ht="20" customHeight="1" x14ac:dyDescent="0.25">
      <c r="A4" s="5" t="str">
        <f>HYPERLINK("#'Results - Activity period'!A1", "Results - Activity period")</f>
        <v>Results - Activity period</v>
      </c>
    </row>
    <row r="5" spans="1:21" ht="20" customHeight="1" x14ac:dyDescent="0.25">
      <c r="A5" s="5" t="str">
        <f>HYPERLINK("#'Results - Product EI'!A1", "Results - Product Emissions Intensity")</f>
        <v>Results - Product Emissions Intensity</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 customHeight="1" x14ac:dyDescent="0.25">
      <c r="A6"/>
      <c r="D6" s="17" t="str" cm="1">
        <f t="array" ref="D6">Fertiliser_Equations_OrganicN2O.VEERG_5_2_1_1__1_OrganicFertiliserApplicationN2OEmissions_Source()</f>
        <v>VEERG 2026: 5.2.1.1, Equation (1)</v>
      </c>
      <c r="N6" s="17" t="str" cm="1">
        <f t="array" ref="N6">Fertiliser_Equations_OrganicN2O.VEERG_5_2_1_1__1_OrganicFertiliserApplicationN2OEmissions_Source()</f>
        <v>VEERG 2026: 5.2.1.1, Equation (1)</v>
      </c>
    </row>
    <row r="7" spans="1:21" ht="20" customHeight="1" x14ac:dyDescent="0.25">
      <c r="A7"/>
      <c r="D7" s="103" t="s">
        <v>372</v>
      </c>
      <c r="E7" s="103" t="str">
        <f ca="1">Common_InputFunctions.Utility_DisplayFunctionName(VEERG_5_2_1_1__1_OrganicFertiliserApplicationN2OEmissions_Result_Method1)</f>
        <v>=Fertiliser_Equations_OrganicN2O.VEERG_5_2_1_1__1_OrganicFertiliserApplicationN2OEmissions</v>
      </c>
      <c r="N7" s="103" t="s">
        <v>372</v>
      </c>
      <c r="O7" s="103" t="str">
        <f ca="1">Common_InputFunctions.Utility_DisplayFunctionName(VEERG_5_2_1_1__1_OrganicFertiliserApplicationN2OEmissions_Result_Method2)</f>
        <v>=Fertiliser_Equations_OrganicN2O.VEERG_5_2_1_1__1_OrganicFertiliserApplicationN2OEmissions</v>
      </c>
    </row>
    <row r="8" spans="1:21" ht="20" customHeight="1" x14ac:dyDescent="0.25">
      <c r="A8" s="7" t="s">
        <v>0</v>
      </c>
    </row>
    <row r="9" spans="1:21" ht="20" customHeight="1" x14ac:dyDescent="0.25">
      <c r="A9" s="5" t="str">
        <f>HYPERLINK("#'Input - Enterprise'!A1", "Enterprise")</f>
        <v>Enterprise</v>
      </c>
    </row>
    <row r="10" spans="1:21" ht="20" customHeight="1" x14ac:dyDescent="0.25">
      <c r="A10" s="5" t="str">
        <f>HYPERLINK("#'Input - Site'!A1", "Site")</f>
        <v>Site</v>
      </c>
      <c r="D10" s="77" t="s">
        <v>374</v>
      </c>
      <c r="E10" s="1" t="str" cm="1">
        <f t="array" ref="E10">Fertiliser_Equations_OrganicN2O.VEERG_5_2_1_1__1_OrganicFertiliserApplicationN2OEmissions_Variable()</f>
        <v>E_N2O</v>
      </c>
      <c r="N10" s="77" t="s">
        <v>374</v>
      </c>
      <c r="O10" s="1" t="str" cm="1">
        <f t="array" ref="O10">Fertiliser_Equations_OrganicN2O.VEERG_5_2_1_1__1_OrganicFertiliserApplicationN2OEmissions_Variable()</f>
        <v>E_N2O</v>
      </c>
    </row>
    <row r="11" spans="1:21" ht="20" customHeight="1" x14ac:dyDescent="0.25">
      <c r="A11" s="5" t="str">
        <f>HYPERLINK("#'Input - Pasture Beef'!A1", "Pasture Beef")</f>
        <v>Pasture Beef</v>
      </c>
      <c r="D11" s="77" t="s">
        <v>121</v>
      </c>
      <c r="E11" s="9" t="str" cm="1">
        <f t="array" ref="E11">Fertiliser_Equations_OrganicN2O.VEERG_5_2_1_1__1_OrganicFertiliserApplicationN2OEmissions_Unit()</f>
        <v>t N2O</v>
      </c>
      <c r="N11" s="77" t="s">
        <v>121</v>
      </c>
      <c r="O11" s="9" t="str" cm="1">
        <f t="array" ref="O11">Fertiliser_Equations_OrganicN2O.VEERG_5_2_1_1__1_OrganicFertiliserApplicationN2OEmissions_Unit()</f>
        <v>t N2O</v>
      </c>
    </row>
    <row r="12" spans="1:21" ht="20" customHeight="1" x14ac:dyDescent="0.25">
      <c r="A12" s="5" t="str">
        <f>HYPERLINK("#'Input - Livestock sales'!A1", "Livestock sales")</f>
        <v>Livestock sales</v>
      </c>
    </row>
    <row r="13" spans="1:21" ht="20" customHeight="1" x14ac:dyDescent="0.25">
      <c r="A13" s="5" t="str">
        <f>HYPERLINK("#'Input - Beef cattle purchases'!A1", "Beef cattle purchases")</f>
        <v>Beef cattle purchases</v>
      </c>
      <c r="D13" s="105" t="str" cm="1">
        <f t="array" ref="D13:E17">_xlfn.CHOOSECOLS(Fertiliser_Equations_OrganicN2O.VEERG_5_2_1_1__1_OrganicFertiliserApplicationN2OEmissions_Arguments(), 1, 2)</f>
        <v>MNSoil_jf</v>
      </c>
      <c r="E13" s="106" t="str">
        <v>mass of nitrogen in organic fertiliser type f applied to production system j</v>
      </c>
      <c r="F13" s="107"/>
      <c r="G13" s="108"/>
      <c r="H13" s="105" t="str" cm="1">
        <f t="array" ref="H13:I17">_xlfn.CHOOSECOLS(Fertiliser_Equations_OrganicN2O.VEERG_5_2_1_1__1_OrganicFertiliserApplicationN2OEmissions_Arguments(), 3,4)</f>
        <v>kg N</v>
      </c>
      <c r="I13" s="110" t="str">
        <v>Calculated from 5.2.1.1 (2)</v>
      </c>
      <c r="J13" s="105">
        <f>X_Cell_ManureSentOffsite_MassNitrogenManure_Method1</f>
        <v>0</v>
      </c>
      <c r="N13" s="105" t="str" cm="1">
        <f t="array" ref="N13:O17">_xlfn.CHOOSECOLS(Fertiliser_Equations_OrganicN2O.VEERG_5_2_1_1__1_OrganicFertiliserApplicationN2OEmissions_Arguments(), 1, 2)</f>
        <v>MNSoil_jf</v>
      </c>
      <c r="O13" s="106" t="str">
        <v>mass of nitrogen in organic fertiliser type f applied to production system j</v>
      </c>
      <c r="P13" s="107"/>
      <c r="Q13" s="108"/>
      <c r="R13" s="105" t="str" cm="1">
        <f t="array" ref="R13:S17">_xlfn.CHOOSECOLS(Fertiliser_Equations_OrganicN2O.VEERG_5_2_1_1__1_OrganicFertiliserApplicationN2OEmissions_Arguments(), 3,4)</f>
        <v>kg N</v>
      </c>
      <c r="S13" s="110" t="str">
        <v>Calculated from 5.2.1.1 (2)</v>
      </c>
      <c r="T13" s="105">
        <f>X_Cell_ManureSentOffsite_MassNitrogenManure_Method2</f>
        <v>0</v>
      </c>
    </row>
    <row r="14" spans="1:21" ht="20" customHeight="1" x14ac:dyDescent="0.25">
      <c r="A14" s="5" t="str">
        <f>HYPERLINK("#'Input - Pasture'!A1", "Pasture")</f>
        <v>Pasture</v>
      </c>
      <c r="D14" s="105" t="str">
        <v>EF_N2Oi</v>
      </c>
      <c r="E14" s="106" t="str">
        <v>emission factor for direct nitrous oxide emissions from organic fertiliser applied to soils and aquatic systems in climate zone i</v>
      </c>
      <c r="F14" s="107"/>
      <c r="G14" s="108"/>
      <c r="H14" s="105" t="str">
        <v>kg N2O-N/kg N</v>
      </c>
      <c r="I14" s="110" t="str">
        <v>Lookup</v>
      </c>
      <c r="J14" s="105">
        <f>Common_InputFunctions.Utility_LookupValueInTableNumber(J17, Table_SourceData_Common_EFOrganicFertCropResidues[Climate Zone],Table_SourceData_Common_EFOrganicFertCropResidues[EFNi &amp; EFN2Oi])</f>
        <v>0</v>
      </c>
      <c r="N14" s="105" t="str">
        <v>EF_N2Oi</v>
      </c>
      <c r="O14" s="106" t="str">
        <v>emission factor for direct nitrous oxide emissions from organic fertiliser applied to soils and aquatic systems in climate zone i</v>
      </c>
      <c r="P14" s="107"/>
      <c r="Q14" s="108"/>
      <c r="R14" s="105" t="str">
        <v>kg N2O-N/kg N</v>
      </c>
      <c r="S14" s="110" t="str">
        <v>Lookup</v>
      </c>
      <c r="T14" s="105"/>
    </row>
    <row r="15" spans="1:21" ht="20" customHeight="1" x14ac:dyDescent="0.25">
      <c r="A15" s="5" t="str">
        <f>HYPERLINK("#'Input - Fert Prod System'!A1", "Fert Prod System")</f>
        <v>Fert Prod System</v>
      </c>
      <c r="D15" s="105" t="str">
        <v>C_N2O</v>
      </c>
      <c r="E15" s="106" t="str">
        <v>factor to convert elemental mass of nitrous oxide to molecular mass</v>
      </c>
      <c r="F15" s="107"/>
      <c r="G15" s="108"/>
      <c r="H15" s="105" t="str">
        <v/>
      </c>
      <c r="I15" s="110" t="str">
        <v>Constant</v>
      </c>
      <c r="J15" s="105">
        <f>Common_InputFunctions.Utility_LookupValueInTableNumber("N2O",Table_GasToMolecularConversionFactor[Gas],Table_GasToMolecularConversionFactor[Conversion factor combined])</f>
        <v>1.5714285714285714</v>
      </c>
      <c r="N15" s="105" t="str">
        <v>C_N2O</v>
      </c>
      <c r="O15" s="106" t="str">
        <v>factor to convert elemental mass of nitrous oxide to molecular mass</v>
      </c>
      <c r="P15" s="107"/>
      <c r="Q15" s="108"/>
      <c r="R15" s="105" t="str">
        <v/>
      </c>
      <c r="S15" s="110" t="str">
        <v>Constant</v>
      </c>
      <c r="T15" s="105"/>
    </row>
    <row r="16" spans="1:21" ht="20" customHeight="1" x14ac:dyDescent="0.25">
      <c r="A16" s="5" t="str">
        <f>HYPERLINK("#'Input - Fertiliser'!A1", "Fertiliser")</f>
        <v>Fertiliser</v>
      </c>
      <c r="D16" s="105" t="str">
        <v>j</v>
      </c>
      <c r="E16" s="106" t="str">
        <v>Production system</v>
      </c>
      <c r="F16" s="107"/>
      <c r="G16" s="108"/>
      <c r="H16" s="105" t="str">
        <v/>
      </c>
      <c r="I16" s="255" t="str">
        <v>Input</v>
      </c>
      <c r="J16" s="105">
        <f>X_Cell_ManureSentOffsite_ManureProductionSystem</f>
        <v>0</v>
      </c>
      <c r="N16" s="105" t="str">
        <v>j</v>
      </c>
      <c r="O16" s="106" t="str">
        <v>Production system</v>
      </c>
      <c r="P16" s="107"/>
      <c r="Q16" s="108"/>
      <c r="R16" s="105" t="str">
        <v/>
      </c>
      <c r="S16" s="255" t="str">
        <v>Input</v>
      </c>
      <c r="T16" s="105"/>
    </row>
    <row r="17" spans="1:20" ht="20" customHeight="1" x14ac:dyDescent="0.25">
      <c r="A17" s="5" t="str">
        <f>HYPERLINK("#'Input - Fuel'!A1", "Fuel")</f>
        <v>Fuel</v>
      </c>
      <c r="D17" s="105" t="str">
        <v>i</v>
      </c>
      <c r="E17" s="106" t="str">
        <v>Wet or dry climate zone</v>
      </c>
      <c r="F17" s="107"/>
      <c r="G17" s="108"/>
      <c r="H17" s="105" t="str">
        <v/>
      </c>
      <c r="I17" s="255" t="str">
        <v>Input</v>
      </c>
      <c r="J17" s="105" t="e">
        <f>X_Cell_Site_WetOrDryClimateZone</f>
        <v>#DIV/0!</v>
      </c>
      <c r="N17" s="105" t="str">
        <v>i</v>
      </c>
      <c r="O17" s="106" t="str">
        <v>Wet or dry climate zone</v>
      </c>
      <c r="P17" s="107"/>
      <c r="Q17" s="108"/>
      <c r="R17" s="105" t="str">
        <v/>
      </c>
      <c r="S17" s="255" t="str">
        <v>Input</v>
      </c>
      <c r="T17" s="105"/>
    </row>
    <row r="18" spans="1:20" ht="20" customHeight="1" x14ac:dyDescent="0.25">
      <c r="A18" s="5" t="str">
        <f>HYPERLINK("#'Input - Electricity'!A1", "Electricity")</f>
        <v>Electricity</v>
      </c>
    </row>
    <row r="19" spans="1:20" ht="20" customHeight="1" x14ac:dyDescent="0.25">
      <c r="A19" s="5" t="str">
        <f>HYPERLINK("#'Input - Common farm inputs'!A1", "Common farm inputs")</f>
        <v>Common farm inputs</v>
      </c>
      <c r="D19" s="90" t="s">
        <v>660</v>
      </c>
      <c r="E19" s="91" cm="1">
        <f t="array" ref="E19">Fertiliser_Equations_OrganicN2O.VEERG_5_2_1_1__1_OrganicFertiliserApplicationN2OEmissions(J13,J14,J15)</f>
        <v>0</v>
      </c>
      <c r="F19" s="95" t="str">
        <f>$E$11</f>
        <v>t N2O</v>
      </c>
      <c r="N19" s="90" t="s">
        <v>660</v>
      </c>
      <c r="O19" s="91" cm="1">
        <f t="array" ref="O19">Fertiliser_Equations_OrganicN2O.VEERG_5_2_1_1__1_OrganicFertiliserApplicationN2OEmissions(T13,J14,J15)</f>
        <v>0</v>
      </c>
      <c r="P19" s="95" t="str">
        <f>$E$11</f>
        <v>t N2O</v>
      </c>
    </row>
    <row r="20" spans="1:20" ht="20" customHeight="1" x14ac:dyDescent="0.25">
      <c r="A20" s="5" t="str">
        <f>HYPERLINK("#'Input - Crop pasture farm input'!A1", "Crop pasture farm input")</f>
        <v>Crop pasture farm input</v>
      </c>
    </row>
    <row r="21" spans="1:20" ht="20" customHeight="1" x14ac:dyDescent="0.25">
      <c r="A21" s="5" t="str">
        <f>HYPERLINK("#'Input - Livestock farm Inputs'!A1", "Livestock farm Inputs")</f>
        <v>Livestock farm Inputs</v>
      </c>
    </row>
    <row r="22" spans="1:20" ht="20" customHeight="1" x14ac:dyDescent="0.25">
      <c r="A22" s="5" t="str">
        <f>HYPERLINK("#'Input - Freight'!A1", "Freight")</f>
        <v>Freight</v>
      </c>
    </row>
    <row r="23" spans="1:20" ht="20" customHeight="1" x14ac:dyDescent="0.25">
      <c r="A23" s="5" t="str">
        <f>HYPERLINK("#'Input - Solid waste'!A1", "Solid waste")</f>
        <v>Solid waste</v>
      </c>
    </row>
    <row r="24" spans="1:20" ht="20" customHeight="1" x14ac:dyDescent="0.25">
      <c r="A24" s="5" t="str">
        <f>HYPERLINK("#'Input - Manure sent off-site'!A1", "Manure sent off-site")</f>
        <v>Manure sent off-site</v>
      </c>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 customHeight="1" x14ac:dyDescent="0.25">
      <c r="A25" s="5" t="str">
        <f>HYPERLINK("#'Input - Data quality'!A1", "Data quality")</f>
        <v>Data quality</v>
      </c>
      <c r="D25" s="17" t="str" cm="1">
        <f t="array" ref="D25">Fertiliser_Equations_AtmosphericDeposition.VEERG_5_4_1_3__2_MassOfNitrogenVolatilisedFromOrganicFertiliser_Source()</f>
        <v>VEERG 2026: 5.4.1.3, Equation (2)</v>
      </c>
      <c r="N25" s="17" t="str" cm="1">
        <f t="array" ref="N25">Fertiliser_Equations_AtmosphericDeposition.VEERG_5_4_1_3__2_MassOfNitrogenVolatilisedFromOrganicFertiliser_Source()</f>
        <v>VEERG 2026: 5.4.1.3, Equation (2)</v>
      </c>
    </row>
    <row r="26" spans="1:20" ht="20" customHeight="1" x14ac:dyDescent="0.25">
      <c r="A26"/>
      <c r="D26" s="103" t="s">
        <v>372</v>
      </c>
      <c r="E26" s="103" t="str" cm="1">
        <f t="array" aca="1" ref="E26" ca="1">Common_InputFunctions.Utility_DisplayFunctionName(E35)</f>
        <v>=Fertiliser_Equations_AtmosphericDeposition.VEERG_5_4_1_3__2_MassOfNitrogenVolatilisedFromOrganicFertiliser</v>
      </c>
      <c r="N26" s="103" t="s">
        <v>372</v>
      </c>
      <c r="O26" s="103" t="str" cm="1">
        <f t="array" aca="1" ref="O26" ca="1">Common_InputFunctions.Utility_DisplayFunctionName(O35)</f>
        <v>=Fertiliser_Equations_AtmosphericDeposition.VEERG_5_4_1_3__2_MassOfNitrogenVolatilisedFromOrganicFertiliser</v>
      </c>
    </row>
    <row r="27" spans="1:20" ht="20" customHeight="1" x14ac:dyDescent="0.25">
      <c r="A27"/>
    </row>
    <row r="28" spans="1:20" ht="20" customHeight="1" x14ac:dyDescent="0.25">
      <c r="A28" s="6" t="s">
        <v>2</v>
      </c>
    </row>
    <row r="29" spans="1:20" ht="20" customHeight="1" x14ac:dyDescent="0.25">
      <c r="A29" s="5" t="str">
        <f>HYPERLINK("#'3.2.1.1-2 Enteric Methane'!A1", "3.2.1.1-2 Enteric Methane")</f>
        <v>3.2.1.1-2 Enteric Methane</v>
      </c>
      <c r="D29" s="77" t="s">
        <v>374</v>
      </c>
      <c r="E29" s="1" t="str" cm="1">
        <f t="array" ref="E29">Fertiliser_Equations_AtmosphericDeposition.VEERG_5_4_1_3__2_MassOfNitrogenVolatilisedFromOrganicFertiliser_Variable()</f>
        <v>M_volorganicjf</v>
      </c>
      <c r="N29" s="77" t="s">
        <v>374</v>
      </c>
      <c r="O29" s="1" t="str" cm="1">
        <f t="array" ref="O29">Fertiliser_Equations_AtmosphericDeposition.VEERG_5_4_1_3__2_MassOfNitrogenVolatilisedFromOrganicFertiliser_Variable()</f>
        <v>M_volorganicjf</v>
      </c>
    </row>
    <row r="30" spans="1:20" ht="20" customHeight="1" x14ac:dyDescent="0.25">
      <c r="A30" s="5" t="str">
        <f>HYPERLINK("#'4.2.1.1-2 Methane'!A1", "4.2.1.1-2 Manure methane")</f>
        <v>4.2.1.1-2 Manure methane</v>
      </c>
      <c r="D30" s="77" t="s">
        <v>121</v>
      </c>
      <c r="E30" s="9" t="str" cm="1">
        <f t="array" ref="E30">Fertiliser_Equations_AtmosphericDeposition.VEERG_5_4_1_3__2_MassOfNitrogenVolatilisedFromOrganicFertiliser_Unit()</f>
        <v>kg N</v>
      </c>
      <c r="N30" s="77" t="s">
        <v>121</v>
      </c>
      <c r="O30" s="9" t="str" cm="1">
        <f t="array" ref="O30">Fertiliser_Equations_AtmosphericDeposition.VEERG_5_4_1_3__2_MassOfNitrogenVolatilisedFromOrganicFertiliser_Unit()</f>
        <v>kg N</v>
      </c>
    </row>
    <row r="31" spans="1:20" ht="20" customHeight="1" x14ac:dyDescent="0.25">
      <c r="A31" s="5" t="str">
        <f>HYPERLINK("#'4.2.1.3-4 Soil direct N20'!A1", "4.2.1.3-4 Soil direct N2O")</f>
        <v>4.2.1.3-4 Soil direct N2O</v>
      </c>
    </row>
    <row r="32" spans="1:20" ht="20" customHeight="1" x14ac:dyDescent="0.25">
      <c r="A32" s="5" t="str">
        <f>HYPERLINK("#'4.2.1.5-6 Soil Atmos Dep'!A1", "4.2.1.5-6 Soil atm. deposition")</f>
        <v>4.2.1.5-6 Soil atm. deposition</v>
      </c>
      <c r="D32" s="105" t="str" cm="1">
        <f t="array" ref="D32:E33">_xlfn.CHOOSECOLS(Fertiliser_Equations_AtmosphericDeposition.VEERG_5_4_1_3__2_MassOfNitrogenVolatilisedFromOrganicFertiliser_Arguments(), 1, 2)</f>
        <v>MNSoil_jf</v>
      </c>
      <c r="E32" s="105" t="str">
        <v>mass of nitrogen in organic fertiliser type f applied to production system j</v>
      </c>
      <c r="F32" s="105"/>
      <c r="G32" s="105" t="str" cm="1">
        <f t="array" ref="G32:H33">_xlfn.CHOOSECOLS(Fertiliser_Equations_AtmosphericDeposition.VEERG_5_4_1_3__2_MassOfNitrogenVolatilisedFromOrganicFertiliser_Arguments(), 3,4)</f>
        <v>kg N</v>
      </c>
      <c r="H32" s="110" t="str">
        <v>Calculated from 5.2.1.1 (2)</v>
      </c>
      <c r="I32" s="105">
        <f>X_Cell_ManureSentOffsite_MassNitrogenManure_Method1</f>
        <v>0</v>
      </c>
      <c r="N32" s="105" t="str" cm="1">
        <f t="array" ref="N32:O33">_xlfn.CHOOSECOLS(Fertiliser_Equations_AtmosphericDeposition.VEERG_5_4_1_3__2_MassOfNitrogenVolatilisedFromOrganicFertiliser_Arguments(), 1, 2)</f>
        <v>MNSoil_jf</v>
      </c>
      <c r="O32" s="105" t="str">
        <v>mass of nitrogen in organic fertiliser type f applied to production system j</v>
      </c>
      <c r="P32" s="105"/>
      <c r="Q32" s="105" t="str" cm="1">
        <f t="array" ref="Q32:R33">_xlfn.CHOOSECOLS(Fertiliser_Equations_AtmosphericDeposition.VEERG_5_4_1_3__2_MassOfNitrogenVolatilisedFromOrganicFertiliser_Arguments(), 3,4)</f>
        <v>kg N</v>
      </c>
      <c r="R32" s="110" t="str">
        <v>Calculated from 5.2.1.1 (2)</v>
      </c>
      <c r="S32" s="105">
        <f>X_Cell_ManureSentOffsite_MassNitrogenManure_Method2</f>
        <v>0</v>
      </c>
    </row>
    <row r="33" spans="1:19" ht="20" customHeight="1" x14ac:dyDescent="0.25">
      <c r="A33" s="5" t="str">
        <f>HYPERLINK("#'4.2.1.7-8 Soil leach runoff'!A1", "4.2.1.7-8 Soil leach &amp; runoff")</f>
        <v>4.2.1.7-8 Soil leach &amp; runoff</v>
      </c>
      <c r="D33" s="105" t="str">
        <v>FracGASM_soil</v>
      </c>
      <c r="E33" s="105" t="str">
        <v>fraction of organic fertiliser N that volatilises</v>
      </c>
      <c r="F33" s="105"/>
      <c r="G33" s="105" t="str">
        <v>(kg NH3-N + NOx-N)/kg N</v>
      </c>
      <c r="H33" s="110" t="str">
        <v>Constant</v>
      </c>
      <c r="I33" s="105">
        <f>Fertiliser_FracGASMSoil_Data</f>
        <v>0.21</v>
      </c>
      <c r="N33" s="105" t="str">
        <v>FracGASM_soil</v>
      </c>
      <c r="O33" s="105" t="str">
        <v>fraction of organic fertiliser N that volatilises</v>
      </c>
      <c r="P33" s="105"/>
      <c r="Q33" s="105" t="str">
        <v>(kg NH3-N + NOx-N)/kg N</v>
      </c>
      <c r="R33" s="110" t="str">
        <v>Constant</v>
      </c>
      <c r="S33" s="105"/>
    </row>
    <row r="34" spans="1:19" ht="20" customHeight="1" x14ac:dyDescent="0.25">
      <c r="A34" s="5" t="str">
        <f>HYPERLINK("#'5.1.1.1-2 Inorganic fert N2O'!A1", "5.1.1.1-2 Inorganic fert N2O")</f>
        <v>5.1.1.1-2 Inorganic fert N2O</v>
      </c>
    </row>
    <row r="35" spans="1:19" ht="20" customHeight="1" x14ac:dyDescent="0.25">
      <c r="A35" s="5" t="str">
        <f>HYPERLINK("#'5.1.1.3-4 Inorganic fert CO2'!A1", "5.1.1.3-4 Inorganic fert CO2")</f>
        <v>5.1.1.3-4 Inorganic fert CO2</v>
      </c>
      <c r="D35" s="93" t="s">
        <v>1186</v>
      </c>
      <c r="E35" s="87" cm="1">
        <f t="array" ref="E35">Fertiliser_Equations_AtmosphericDeposition.VEERG_5_4_1_3__2_MassOfNitrogenVolatilisedFromOrganicFertiliser(I32,I33)</f>
        <v>0</v>
      </c>
      <c r="F35" s="94" t="str">
        <f>E30</f>
        <v>kg N</v>
      </c>
      <c r="N35" s="93" t="s">
        <v>1186</v>
      </c>
      <c r="O35" s="87" cm="1">
        <f t="array" ref="O35">Fertiliser_Equations_AtmosphericDeposition.VEERG_5_4_1_3__2_MassOfNitrogenVolatilisedFromOrganicFertiliser(S32,I33)</f>
        <v>0</v>
      </c>
      <c r="P35" s="94" t="str">
        <f>O30</f>
        <v>kg N</v>
      </c>
    </row>
    <row r="36" spans="1:19" ht="20" customHeight="1" x14ac:dyDescent="0.25">
      <c r="A36" s="5" t="str">
        <f>HYPERLINK("#'5.2.1.1-2 Organic Fert N2O'!A1", "5.2.1.1-2 Organic fert N2O")</f>
        <v>5.2.1.1-2 Organic fert N2O</v>
      </c>
    </row>
    <row r="37" spans="1:19" ht="20" customHeight="1" x14ac:dyDescent="0.25">
      <c r="A37" s="5" t="str">
        <f>HYPERLINK("#'5.3.1.1-2 Lime CO2'!A1", "5.3.1.1-2 Lime CO2")</f>
        <v>5.3.1.1-2 Lime CO2</v>
      </c>
    </row>
    <row r="38" spans="1:19" ht="20" customHeight="1" x14ac:dyDescent="0.25">
      <c r="A38" s="5" t="str">
        <f>HYPERLINK("#'5.4.1.1-4 Atmos deposition'!A1", "5.4.1.1-4 Atmos. deposition")</f>
        <v>5.4.1.1-4 Atmos. deposition</v>
      </c>
    </row>
    <row r="39" spans="1:19" ht="20" customHeight="1" x14ac:dyDescent="0.25">
      <c r="A39" s="5" t="str">
        <f>HYPERLINK("#'5.5.1.1-2 Leaching and runoff'!A1", "5.5.1.1-2 Leaching &amp; runoff")</f>
        <v>5.5.1.1-2 Leaching &amp; runoff</v>
      </c>
    </row>
    <row r="40" spans="1:19" ht="20" customHeight="1" x14ac:dyDescent="0.25">
      <c r="A40" s="5" t="str">
        <f>HYPERLINK("#'6.2.1.1-2 Pasture residue N2O'!A1", "6.2.1.1-2 Pasture residue N2O")</f>
        <v>6.2.1.1-2 Pasture residue N2O</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 customHeight="1" x14ac:dyDescent="0.25">
      <c r="A41" s="5" t="str">
        <f>HYPERLINK("#'6.3.1.1-2 Leach runoff pasture'!A1", "6.3.1.1-2 Leach &amp; runoff (pasture)")</f>
        <v>6.3.1.1-2 Leach &amp; runoff (pasture)</v>
      </c>
      <c r="D41" s="17" t="str" cm="1">
        <f t="array" ref="D41">Fertiliser_Equations_AtmosphericDeposition.VEERG_5_4_1_3__1_OrganicFertiliserAtmosphericDepositionN2OEmissions_Source()</f>
        <v>VEERG 2026: 5.4.1.3, Equation (1)</v>
      </c>
      <c r="N41" s="17" t="str" cm="1">
        <f t="array" ref="N41">Fertiliser_Equations_AtmosphericDeposition.VEERG_5_4_1_3__1_OrganicFertiliserAtmosphericDepositionN2OEmissions_Source()</f>
        <v>VEERG 2026: 5.4.1.3, Equation (1)</v>
      </c>
    </row>
    <row r="42" spans="1:19" ht="20" customHeight="1" x14ac:dyDescent="0.25">
      <c r="A42" s="5" t="str">
        <f>HYPERLINK("#'8.1.1.1-2 Transport fuel'!A1", "8.1.1.1-2 Transport fuel")</f>
        <v>8.1.1.1-2 Transport fuel</v>
      </c>
      <c r="D42" s="103" t="s">
        <v>372</v>
      </c>
      <c r="E42" s="103" t="str">
        <f ca="1">Common_InputFunctions.Utility_DisplayFunctionName(VEERG_5_4_1_3__1_OrganicFertiliserAtmosphericDepositionN2OEmissions_Result_Method1)</f>
        <v>=Fertiliser_Equations_AtmosphericDeposition.VEERG_5_4_1_3__1_OrganicFertiliserAtmosphericDepositionN2OEmissions</v>
      </c>
      <c r="N42" s="103" t="s">
        <v>372</v>
      </c>
      <c r="O42" s="103"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 customHeight="1" x14ac:dyDescent="0.25">
      <c r="A43" s="5" t="str">
        <f>HYPERLINK("#'8.2.1.1-2 Stationary fuel'!A1", "8.2.1.1-2 Stationary fuel")</f>
        <v>8.2.1.1-2 Stationary fuel</v>
      </c>
    </row>
    <row r="44" spans="1:19" ht="20" customHeight="1" x14ac:dyDescent="0.25">
      <c r="A44" s="5" t="str">
        <f>HYPERLINK("#'10.1.1-2 Solid waste treatment'!A1", "10.1.1.1-2 Solid waste")</f>
        <v>10.1.1.1-2 Solid waste</v>
      </c>
    </row>
    <row r="45" spans="1:19" ht="20" customHeight="1" x14ac:dyDescent="0.25">
      <c r="A45" s="5" t="str">
        <f>HYPERLINK("#'14.1.1-2 Purchased electricity'!A1", "14.1.1-2 Purchased electricity")</f>
        <v>14.1.1-2 Purchased electricity</v>
      </c>
      <c r="D45" s="77" t="s">
        <v>374</v>
      </c>
      <c r="E45" s="1" t="str" cm="1">
        <f t="array" ref="E45">Fertiliser_Equations_AtmosphericDeposition.VEERG_5_4_1_3__1_OrganicFertiliserAtmosphericDepositionN2OEmissions_Variable()</f>
        <v>E_adorganic</v>
      </c>
      <c r="N45" s="77" t="s">
        <v>374</v>
      </c>
      <c r="O45" s="1" t="str" cm="1">
        <f t="array" ref="O45">Fertiliser_Equations_AtmosphericDeposition.VEERG_5_4_1_3__1_OrganicFertiliserAtmosphericDepositionN2OEmissions_Variable()</f>
        <v>E_adorganic</v>
      </c>
    </row>
    <row r="46" spans="1:19" ht="20" customHeight="1" x14ac:dyDescent="0.25">
      <c r="A46" s="5" t="str">
        <f>HYPERLINK("#'15 Scope 3'!A1", "15 Scope 3")</f>
        <v>15 Scope 3</v>
      </c>
      <c r="D46" s="77" t="s">
        <v>121</v>
      </c>
      <c r="E46" s="9" t="str" cm="1">
        <f t="array" ref="E46">Fertiliser_Equations_AtmosphericDeposition.VEERG_5_4_1_3__1_OrganicFertiliserAtmosphericDepositionN2OEmissions_Unit()</f>
        <v>t N2O</v>
      </c>
      <c r="N46" s="77" t="s">
        <v>121</v>
      </c>
      <c r="O46" s="9" t="str" cm="1">
        <f t="array" ref="O46">Fertiliser_Equations_AtmosphericDeposition.VEERG_5_4_1_3__1_OrganicFertiliserAtmosphericDepositionN2OEmissions_Unit()</f>
        <v>t N2O</v>
      </c>
    </row>
    <row r="47" spans="1:19" ht="20" customHeight="1" x14ac:dyDescent="0.25">
      <c r="A47" s="104" t="str">
        <f>HYPERLINK("#'Calcs - Manure sent off-site'!A1", "Calcs - Manure sent off-site")</f>
        <v>Calcs - Manure sent off-site</v>
      </c>
    </row>
    <row r="48" spans="1:19" ht="20" customHeight="1" x14ac:dyDescent="0.25">
      <c r="A48"/>
      <c r="D48" s="105" t="str" cm="1">
        <f t="array" ref="D48:E53">_xlfn.CHOOSECOLS(Fertiliser_Equations_AtmosphericDeposition.VEERG_5_4_1_3__1_OrganicFertiliserAtmosphericDepositionN2OEmissions_Arguments(), 1, 2)</f>
        <v>M_volorganicjf</v>
      </c>
      <c r="E48" s="106" t="str">
        <v>mass of nitrogen volatilised from organic fertiliser applied to production system</v>
      </c>
      <c r="F48" s="108"/>
      <c r="G48" s="105" t="str" cm="1">
        <f t="array" ref="G48:H53">_xlfn.CHOOSECOLS(Fertiliser_Equations_AtmosphericDeposition.VEERG_5_4_1_3__1_OrganicFertiliserAtmosphericDepositionN2OEmissions_Arguments(), 3,4)</f>
        <v>kg N</v>
      </c>
      <c r="H48" s="110" t="str">
        <v>Calculated from 5.4.1.3 (2)</v>
      </c>
      <c r="I48" s="105">
        <f>E35</f>
        <v>0</v>
      </c>
      <c r="N48" s="105" t="str" cm="1">
        <f t="array" ref="N48:O53">_xlfn.CHOOSECOLS(Fertiliser_Equations_AtmosphericDeposition.VEERG_5_4_1_3__1_OrganicFertiliserAtmosphericDepositionN2OEmissions_Arguments(), 1, 2)</f>
        <v>M_volorganicjf</v>
      </c>
      <c r="O48" s="106" t="str">
        <v>mass of nitrogen volatilised from organic fertiliser applied to production system</v>
      </c>
      <c r="P48" s="108"/>
      <c r="Q48" s="105" t="str" cm="1">
        <f t="array" ref="Q48:R53">_xlfn.CHOOSECOLS(Fertiliser_Equations_AtmosphericDeposition.VEERG_5_4_1_3__1_OrganicFertiliserAtmosphericDepositionN2OEmissions_Arguments(), 3,4)</f>
        <v>kg N</v>
      </c>
      <c r="R48" s="110" t="str">
        <v>Calculated from 5.4.1.3 (2)</v>
      </c>
      <c r="S48" s="105">
        <f>O35</f>
        <v>0</v>
      </c>
    </row>
    <row r="49" spans="1:19" ht="20" customHeight="1" x14ac:dyDescent="0.25">
      <c r="A49"/>
      <c r="D49" s="105" t="str">
        <v>EF_N2Oj</v>
      </c>
      <c r="E49" s="106" t="str">
        <v>emission factor for atmospheric deposition in production system j</v>
      </c>
      <c r="F49" s="108"/>
      <c r="G49" s="105" t="str">
        <v>kg N2O-N/kg N</v>
      </c>
      <c r="H49" s="110" t="str">
        <v>Constant</v>
      </c>
      <c r="I49" s="105" t="e">
        <f>Common_InputFunctions.Utility_LookupN2OEFFromProdIrrigationRainfall(I51,I52,I53,Table_SourceData_Common_EFN2O[Production system only],Table_SourceData_Common_EFN2O[Irrigation method],Table_SourceData_Common_EFN2O[Rainfall zone],Table_SourceData_Common_EFN2O[EFN2O])</f>
        <v>#N/A</v>
      </c>
      <c r="N49" s="105" t="str">
        <v>EF_N2Oj</v>
      </c>
      <c r="O49" s="106" t="str">
        <v>emission factor for atmospheric deposition in production system j</v>
      </c>
      <c r="P49" s="108"/>
      <c r="Q49" s="105" t="str">
        <v>kg N2O-N/kg N</v>
      </c>
      <c r="R49" s="110" t="str">
        <v>Constant</v>
      </c>
      <c r="S49" s="105"/>
    </row>
    <row r="50" spans="1:19" ht="20" customHeight="1" x14ac:dyDescent="0.25">
      <c r="A50" s="85" t="s">
        <v>1</v>
      </c>
      <c r="D50" s="105" t="str">
        <v>C_N2O</v>
      </c>
      <c r="E50" s="106" t="str">
        <v>factor to convert elemental mass of nitrous oxide to molecular mass</v>
      </c>
      <c r="F50" s="108"/>
      <c r="G50" s="105" t="str">
        <v/>
      </c>
      <c r="H50" s="110" t="str">
        <v>Constant</v>
      </c>
      <c r="I50" s="116">
        <f>Common_InputFunctions.Utility_LookupValueInTableNumber("N2O",Table_GasToMolecularConversionFactor[Gas],Table_GasToMolecularConversionFactor[Conversion factor combined])</f>
        <v>1.5714285714285714</v>
      </c>
      <c r="N50" s="105" t="str">
        <v>C_N2O</v>
      </c>
      <c r="O50" s="106" t="str">
        <v>factor to convert elemental mass of nitrous oxide to molecular mass</v>
      </c>
      <c r="P50" s="108"/>
      <c r="Q50" s="105" t="str">
        <v/>
      </c>
      <c r="R50" s="110" t="str">
        <v>Constant</v>
      </c>
      <c r="S50" s="116"/>
    </row>
    <row r="51" spans="1:19" ht="20" customHeight="1" x14ac:dyDescent="0.25">
      <c r="A51" s="5" t="str">
        <f>HYPERLINK("#'Constants - Pasture Beef'!A1", "Constants - Pasture Beef")</f>
        <v>Constants - Pasture Beef</v>
      </c>
      <c r="D51" s="105" t="str">
        <v>j</v>
      </c>
      <c r="E51" s="106" t="str">
        <v>Production system</v>
      </c>
      <c r="F51" s="108"/>
      <c r="G51" s="105" t="str">
        <v/>
      </c>
      <c r="H51" s="255" t="str">
        <v>Input</v>
      </c>
      <c r="I51" s="105">
        <f>X_Cell_ManureSentOffsite_ManureProductionSystem</f>
        <v>0</v>
      </c>
      <c r="N51" s="105" t="str">
        <v>j</v>
      </c>
      <c r="O51" s="106" t="str">
        <v>Production system</v>
      </c>
      <c r="P51" s="108"/>
      <c r="Q51" s="105" t="str">
        <v/>
      </c>
      <c r="R51" s="255" t="str">
        <v>Input</v>
      </c>
      <c r="S51" s="105"/>
    </row>
    <row r="52" spans="1:19" ht="20" customHeight="1" x14ac:dyDescent="0.25">
      <c r="A52" s="5" t="str">
        <f>HYPERLINK("#'Constants - Ag Residue'!A1", "Constants - Ag residue")</f>
        <v>Constants - Ag residue</v>
      </c>
      <c r="D52" s="105" t="str">
        <v>ir</v>
      </c>
      <c r="E52" s="106" t="str">
        <v>irrigation method</v>
      </c>
      <c r="F52" s="108"/>
      <c r="G52" s="105" t="str">
        <v/>
      </c>
      <c r="H52" s="255" t="str">
        <v>Input</v>
      </c>
      <c r="I52" s="105">
        <f>X_Cell_ManureSentOffsite_ManureIrrigationMethod</f>
        <v>0</v>
      </c>
      <c r="N52" s="105" t="str">
        <v>ir</v>
      </c>
      <c r="O52" s="106" t="str">
        <v>irrigation method</v>
      </c>
      <c r="P52" s="108"/>
      <c r="Q52" s="105" t="str">
        <v/>
      </c>
      <c r="R52" s="255" t="str">
        <v>Input</v>
      </c>
      <c r="S52" s="105"/>
    </row>
    <row r="53" spans="1:19" ht="20" customHeight="1" x14ac:dyDescent="0.25">
      <c r="A53" s="5" t="str">
        <f>HYPERLINK("#'Constants - Common Livestock'!A1", "Constants - Common Livestock")</f>
        <v>Constants - Common Livestock</v>
      </c>
      <c r="D53" s="105" t="str">
        <v>r</v>
      </c>
      <c r="E53" s="106" t="str">
        <v>rainfall region</v>
      </c>
      <c r="F53" s="108"/>
      <c r="G53" s="105" t="str">
        <v/>
      </c>
      <c r="H53" s="255" t="str">
        <v>Input</v>
      </c>
      <c r="I53" s="105" t="str">
        <f>X_Cell_Site_RainfallZone</f>
        <v>Low rainfall</v>
      </c>
      <c r="N53" s="105" t="str">
        <v>r</v>
      </c>
      <c r="O53" s="106" t="str">
        <v>rainfall region</v>
      </c>
      <c r="P53" s="108"/>
      <c r="Q53" s="105" t="str">
        <v/>
      </c>
      <c r="R53" s="255" t="str">
        <v>Input</v>
      </c>
      <c r="S53" s="105"/>
    </row>
    <row r="54" spans="1:19" ht="20" customHeight="1" x14ac:dyDescent="0.25">
      <c r="A54" s="5" t="str">
        <f>HYPERLINK("#'Constants - Electricity'!A1", "Constants - Electricity")</f>
        <v>Constants - Electricity</v>
      </c>
    </row>
    <row r="55" spans="1:19" ht="20" customHeight="1" x14ac:dyDescent="0.25">
      <c r="A55" s="5" t="str">
        <f>HYPERLINK("#'Constants - Fertiliser'!A1", "Constants - Fertiliser")</f>
        <v>Constants - Fertiliser</v>
      </c>
      <c r="D55" s="90" t="s">
        <v>706</v>
      </c>
      <c r="E55" s="91" t="e" cm="1">
        <f t="array" ref="E55">Fertiliser_Equations_AtmosphericDeposition.VEERG_5_4_1_3__1_OrganicFertiliserAtmosphericDepositionN2OEmissions(I48,I49,I50)</f>
        <v>#N/A</v>
      </c>
      <c r="F55" s="95" t="str">
        <f>$E$46</f>
        <v>t N2O</v>
      </c>
      <c r="N55" s="90" t="s">
        <v>706</v>
      </c>
      <c r="O55" s="91" t="e" cm="1">
        <f t="array" ref="O55">Fertiliser_Equations_AtmosphericDeposition.VEERG_5_4_1_3__1_OrganicFertiliserAtmosphericDepositionN2OEmissions(S48,I49,I50)</f>
        <v>#N/A</v>
      </c>
      <c r="P55" s="95" t="str">
        <f>$E$46</f>
        <v>t N2O</v>
      </c>
    </row>
    <row r="56" spans="1:19" ht="20" customHeight="1" x14ac:dyDescent="0.25">
      <c r="A56" s="5" t="str">
        <f>HYPERLINK("#'Constants - Fuel'!A1", "Constants - Fuel")</f>
        <v>Constants - Fuel</v>
      </c>
    </row>
    <row r="57" spans="1:19" ht="20" customHeight="1" x14ac:dyDescent="0.25">
      <c r="A57" s="5" t="str">
        <f>HYPERLINK("#'Constants - Scope 3'!A1", "Constants - Scope 3")</f>
        <v>Constants - Scope 3</v>
      </c>
    </row>
    <row r="58" spans="1:19" ht="20" customHeight="1" x14ac:dyDescent="0.25">
      <c r="A58" s="5" t="str">
        <f>HYPERLINK("#'Constants - Solid Waste'!A1", "Constants - Solid Waste")</f>
        <v>Constants - Solid Waste</v>
      </c>
    </row>
    <row r="59" spans="1:19" ht="20" customHeight="1" x14ac:dyDescent="0.25">
      <c r="A59" s="5" t="str">
        <f>HYPERLINK("#'Constants - Common'!A1", "Constants - Common")</f>
        <v>Constants - Common</v>
      </c>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 customHeight="1" x14ac:dyDescent="0.25">
      <c r="A60" s="5" t="str">
        <f>HYPERLINK("#'Acknowledgements'!A1", "Acknowledgements")</f>
        <v>Acknowledgements</v>
      </c>
      <c r="D60" s="17" t="str" cm="1">
        <f t="array" ref="D60">Fertiliser_Equations_LeachingAndRunoff.VEERG_5_5_1_1__3_MassOfNitrogenLeachedFromOrganicFertiliser_Source()</f>
        <v>VEERG 2026: 5.5, Equation (3)</v>
      </c>
      <c r="N60" s="17" t="str" cm="1">
        <f t="array" ref="N60">Fertiliser_Equations_LeachingAndRunoff.VEERG_5_5_1_1__3_MassOfNitrogenLeachedFromOrganicFertiliser_Source()</f>
        <v>VEERG 2026: 5.5, Equation (3)</v>
      </c>
    </row>
    <row r="61" spans="1:19" ht="20" customHeight="1" x14ac:dyDescent="0.25">
      <c r="A61"/>
      <c r="D61" s="103" t="s">
        <v>372</v>
      </c>
      <c r="E61" s="103" t="str" cm="1">
        <f t="array" aca="1" ref="E61" ca="1">Common_InputFunctions.Utility_DisplayFunctionName(E74)</f>
        <v>=Fertiliser_Equations_LeachingAndRunoff.VEERG_5_5_1_1__3_MassOfNitrogenLeachedFromOrganicFertiliser</v>
      </c>
      <c r="N61" s="103" t="s">
        <v>372</v>
      </c>
      <c r="O61" s="103" t="str" cm="1">
        <f t="array" aca="1" ref="O61" ca="1">Common_InputFunctions.Utility_DisplayFunctionName(O74)</f>
        <v>=Fertiliser_Equations_LeachingAndRunoff.VEERG_5_5_1_1__3_MassOfNitrogenLeachedFromOrganicFertiliser</v>
      </c>
    </row>
    <row r="62" spans="1:19" ht="20" customHeight="1" x14ac:dyDescent="0.25">
      <c r="A62"/>
    </row>
    <row r="63" spans="1:19" ht="20" customHeight="1" x14ac:dyDescent="0.25">
      <c r="A63"/>
    </row>
    <row r="64" spans="1:19" ht="20" customHeight="1" x14ac:dyDescent="0.25">
      <c r="A64"/>
      <c r="D64" s="77" t="s">
        <v>374</v>
      </c>
      <c r="E64" s="1" t="str" cm="1">
        <f t="array" ref="E64">Fertiliser_Equations_LeachingAndRunoff.VEERG_5_5_1_1__3_MassOfNitrogenLeachedFromOrganicFertiliser_Variable()</f>
        <v>M_leachorganicj</v>
      </c>
      <c r="N64" s="77" t="s">
        <v>374</v>
      </c>
      <c r="O64" s="1" t="str" cm="1">
        <f t="array" ref="O64">Fertiliser_Equations_LeachingAndRunoff.VEERG_5_5_1_1__3_MassOfNitrogenLeachedFromOrganicFertiliser_Variable()</f>
        <v>M_leachorganicj</v>
      </c>
    </row>
    <row r="65" spans="1:19" ht="20" customHeight="1" x14ac:dyDescent="0.25">
      <c r="A65"/>
      <c r="D65" s="77" t="s">
        <v>121</v>
      </c>
      <c r="E65" s="9" t="str" cm="1">
        <f t="array" ref="E65">Fertiliser_Equations_LeachingAndRunoff.VEERG_5_5_1_1__3_MassOfNitrogenLeachedFromOrganicFertiliser_Unit()</f>
        <v>kg N</v>
      </c>
      <c r="N65" s="77" t="s">
        <v>121</v>
      </c>
      <c r="O65" s="9" t="str" cm="1">
        <f t="array" ref="O65">Fertiliser_Equations_LeachingAndRunoff.VEERG_5_5_1_1__3_MassOfNitrogenLeachedFromOrganicFertiliser_Unit()</f>
        <v>kg N</v>
      </c>
    </row>
    <row r="66" spans="1:19" ht="20" customHeight="1" x14ac:dyDescent="0.25">
      <c r="A66"/>
    </row>
    <row r="67" spans="1:19" ht="20" customHeight="1" x14ac:dyDescent="0.25">
      <c r="A67"/>
      <c r="D67" s="105" t="str" cm="1">
        <f t="array" ref="D67:E72">_xlfn.CHOOSECOLS(Fertiliser_Equations_LeachingAndRunoff.VEERG_5_5_1_1__3_MassOfNitrogenLeachedFromOrganicFertiliser_Arguments(), 1, 2)</f>
        <v>MNSoil_jf</v>
      </c>
      <c r="E67" s="106" t="str">
        <v>mass of nitrogen in organic fertiliser</v>
      </c>
      <c r="F67" s="108"/>
      <c r="G67" s="105" t="str" cm="1">
        <f t="array" ref="G67:H72">_xlfn.CHOOSECOLS(Fertiliser_Equations_LeachingAndRunoff.VEERG_5_5_1_1__3_MassOfNitrogenLeachedFromOrganicFertiliser_Arguments(), 3,4)</f>
        <v>kg N</v>
      </c>
      <c r="H67" s="110" t="str">
        <v>Calculated from 5.2.1.1 (2)</v>
      </c>
      <c r="I67" s="105">
        <f>X_Cell_ManureSentOffsite_MassNitrogenManure_Method1</f>
        <v>0</v>
      </c>
      <c r="N67" s="105" t="str" cm="1">
        <f t="array" ref="N67:O72">_xlfn.CHOOSECOLS(Fertiliser_Equations_LeachingAndRunoff.VEERG_5_5_1_1__3_MassOfNitrogenLeachedFromOrganicFertiliser_Arguments(), 1, 2)</f>
        <v>MNSoil_jf</v>
      </c>
      <c r="O67" s="106" t="str">
        <v>mass of nitrogen in organic fertiliser</v>
      </c>
      <c r="P67" s="108"/>
      <c r="Q67" s="105" t="str" cm="1">
        <f t="array" ref="Q67:R72">_xlfn.CHOOSECOLS(Fertiliser_Equations_LeachingAndRunoff.VEERG_5_5_1_1__3_MassOfNitrogenLeachedFromOrganicFertiliser_Arguments(), 3,4)</f>
        <v>kg N</v>
      </c>
      <c r="R67" s="110" t="str">
        <v>Calculated from 5.2.1.1 (2)</v>
      </c>
      <c r="S67" s="105">
        <f>X_Cell_ManureSentOffsite_MassNitrogenManure_Method2</f>
        <v>0</v>
      </c>
    </row>
    <row r="68" spans="1:19" ht="20" customHeight="1" x14ac:dyDescent="0.25">
      <c r="A68"/>
      <c r="D68" s="105" t="str">
        <v>FracWETj</v>
      </c>
      <c r="E68" s="106" t="str">
        <v>fraction of N available for leaching and runoff</v>
      </c>
      <c r="F68" s="108"/>
      <c r="G68" s="105" t="str">
        <v>fraction</v>
      </c>
      <c r="H68" s="110" t="str">
        <v>Constant</v>
      </c>
      <c r="I68" s="105">
        <f>Common_InputFunctions.CommonCropping_GetFracWET(I70,I72,Table_SourceData_FracWET[Is in leaching zone],Table_SourceData_FracWET[FracWET],Table_SourceData_FracWETIrrigation[Irrigation type i],Table_SourceData_FracWETIrrigation[FracWET])</f>
        <v>0</v>
      </c>
      <c r="N68" s="105" t="str">
        <v>FracWETj</v>
      </c>
      <c r="O68" s="106" t="str">
        <v>fraction of N available for leaching and runoff</v>
      </c>
      <c r="P68" s="108"/>
      <c r="Q68" s="105" t="str">
        <v>fraction</v>
      </c>
      <c r="R68" s="110" t="str">
        <v>Constant</v>
      </c>
      <c r="S68" s="105"/>
    </row>
    <row r="69" spans="1:19" ht="20" customHeight="1" x14ac:dyDescent="0.25">
      <c r="A69"/>
      <c r="D69" s="105" t="str">
        <v>FracLEACH</v>
      </c>
      <c r="E69" s="106" t="str">
        <v>fraction of N that is lost through leaching and runoff</v>
      </c>
      <c r="F69" s="108"/>
      <c r="G69" s="105" t="str">
        <v>fraction</v>
      </c>
      <c r="H69" s="110" t="str">
        <v>Constant</v>
      </c>
      <c r="I69" s="105">
        <f>Fertiliser_FracLEACH_Data</f>
        <v>0.24</v>
      </c>
      <c r="N69" s="105" t="str">
        <v>FracLEACH</v>
      </c>
      <c r="O69" s="106" t="str">
        <v>fraction of N that is lost through leaching and runoff</v>
      </c>
      <c r="P69" s="108"/>
      <c r="Q69" s="105" t="str">
        <v>fraction</v>
      </c>
      <c r="R69" s="110" t="str">
        <v>Constant</v>
      </c>
      <c r="S69" s="105"/>
    </row>
    <row r="70" spans="1:19" ht="20" customHeight="1" x14ac:dyDescent="0.25">
      <c r="A70"/>
      <c r="D70" s="105" t="str">
        <v>z</v>
      </c>
      <c r="E70" s="106" t="str">
        <v>location in leaching zone</v>
      </c>
      <c r="F70" s="108"/>
      <c r="G70" s="105" t="str">
        <v/>
      </c>
      <c r="H70" s="255" t="str">
        <v>Input</v>
      </c>
      <c r="I70" s="105">
        <f>X_Cell_Site_LeachingZone</f>
        <v>0</v>
      </c>
      <c r="N70" s="105" t="str">
        <v>z</v>
      </c>
      <c r="O70" s="106" t="str">
        <v>location in leaching zone</v>
      </c>
      <c r="P70" s="108"/>
      <c r="Q70" s="105" t="str">
        <v/>
      </c>
      <c r="R70" s="255" t="str">
        <v>Input</v>
      </c>
      <c r="S70" s="105"/>
    </row>
    <row r="71" spans="1:19" ht="20" customHeight="1" x14ac:dyDescent="0.25">
      <c r="A71"/>
      <c r="D71" s="105" t="str">
        <v>j</v>
      </c>
      <c r="E71" s="106" t="str">
        <v>production system</v>
      </c>
      <c r="F71" s="108"/>
      <c r="G71" s="105" t="str">
        <v/>
      </c>
      <c r="H71" s="255" t="str">
        <v>Input</v>
      </c>
      <c r="I71" s="105">
        <f>X_Cell_ManureSentOffsite_ManureProductionSystem</f>
        <v>0</v>
      </c>
      <c r="N71" s="105" t="str">
        <v>j</v>
      </c>
      <c r="O71" s="106" t="str">
        <v>production system</v>
      </c>
      <c r="P71" s="108"/>
      <c r="Q71" s="105" t="str">
        <v/>
      </c>
      <c r="R71" s="255" t="str">
        <v>Input</v>
      </c>
      <c r="S71" s="105"/>
    </row>
    <row r="72" spans="1:19" ht="20" customHeight="1" x14ac:dyDescent="0.25">
      <c r="A72"/>
      <c r="D72" s="105" t="str">
        <v>ir</v>
      </c>
      <c r="E72" s="106" t="str">
        <v>irrigation method</v>
      </c>
      <c r="F72" s="108"/>
      <c r="G72" s="105" t="str">
        <v/>
      </c>
      <c r="H72" s="255" t="str">
        <v>Input</v>
      </c>
      <c r="I72" s="105">
        <f>X_Cell_ManureSentOffsite_ManureIrrigationMethod</f>
        <v>0</v>
      </c>
      <c r="N72" s="105" t="str">
        <v>ir</v>
      </c>
      <c r="O72" s="106" t="str">
        <v>irrigation method</v>
      </c>
      <c r="P72" s="108"/>
      <c r="Q72" s="105" t="str">
        <v/>
      </c>
      <c r="R72" s="255" t="str">
        <v>Input</v>
      </c>
      <c r="S72" s="105"/>
    </row>
    <row r="73" spans="1:19" ht="20" customHeight="1" x14ac:dyDescent="0.25">
      <c r="A73"/>
    </row>
    <row r="74" spans="1:19" ht="20" customHeight="1" x14ac:dyDescent="0.25">
      <c r="A74"/>
      <c r="D74" s="93" t="s">
        <v>1187</v>
      </c>
      <c r="E74" s="87" cm="1">
        <f t="array" ref="E74">Fertiliser_Equations_LeachingAndRunoff.VEERG_5_5_1_1__3_MassOfNitrogenLeachedFromOrganicFertiliser(I67,I68,I69)</f>
        <v>0</v>
      </c>
      <c r="F74" s="94" t="str">
        <f>$E$65</f>
        <v>kg N</v>
      </c>
      <c r="N74" s="93" t="s">
        <v>1187</v>
      </c>
      <c r="O74" s="87" cm="1">
        <f t="array" ref="O74">Fertiliser_Equations_LeachingAndRunoff.VEERG_5_5_1_1__3_MassOfNitrogenLeachedFromOrganicFertiliser(S67,I68,I69)</f>
        <v>0</v>
      </c>
      <c r="P74" s="94" t="str">
        <f>$E$65</f>
        <v>kg N</v>
      </c>
    </row>
    <row r="75" spans="1:19" ht="20" customHeight="1" x14ac:dyDescent="0.25">
      <c r="A75"/>
    </row>
    <row r="76" spans="1:19" ht="20" customHeight="1" x14ac:dyDescent="0.25">
      <c r="A76"/>
    </row>
    <row r="77" spans="1:19" ht="20" customHeight="1" x14ac:dyDescent="0.25">
      <c r="A77"/>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 customHeight="1" x14ac:dyDescent="0.25">
      <c r="A78"/>
      <c r="D78" s="17" t="str" cm="1">
        <f t="array" ref="D78">Fertiliser_Equations_LeachingAndRunoff.VEERG_5_5_1_1__1_FertiliserLeachingAndRunoffN2OEmissions_Source()</f>
        <v>VEERG 2026: 5.5, Equation (1)</v>
      </c>
      <c r="N78" s="17" t="str" cm="1">
        <f t="array" ref="N78">Fertiliser_Equations_LeachingAndRunoff.VEERG_5_5_1_1__1_FertiliserLeachingAndRunoffN2OEmissions_Source()</f>
        <v>VEERG 2026: 5.5, Equation (1)</v>
      </c>
    </row>
    <row r="79" spans="1:19" ht="20" customHeight="1" x14ac:dyDescent="0.25">
      <c r="A79"/>
      <c r="D79" s="103" t="s">
        <v>372</v>
      </c>
      <c r="E79" s="103" t="str">
        <f ca="1">Common_InputFunctions.Utility_DisplayFunctionName(VEERG_5_5_1_1__1_FertiliserLeachingAndRunoffN2OEmissions_Result_Method1)</f>
        <v>=Fertiliser_Equations_LeachingAndRunoff.VEERG_5_5_1_1__1_FertiliserLeachingAndRunoffN2OEmissions</v>
      </c>
      <c r="N79" s="103" t="s">
        <v>372</v>
      </c>
      <c r="O79" s="103" t="str">
        <f ca="1">Common_InputFunctions.Utility_DisplayFunctionName(VEERG_5_5_1_1__1_FertiliserLeachingAndRunoffN2OEmissions_Result_Method2)</f>
        <v>=Fertiliser_Equations_LeachingAndRunoff.VEERG_5_5_1_1__1_FertiliserLeachingAndRunoffN2OEmissions</v>
      </c>
    </row>
    <row r="80" spans="1:19" ht="20" customHeight="1" x14ac:dyDescent="0.25">
      <c r="A80"/>
    </row>
    <row r="81" spans="1:20" ht="20" customHeight="1" x14ac:dyDescent="0.25">
      <c r="A81"/>
    </row>
    <row r="82" spans="1:20" ht="20" customHeight="1" x14ac:dyDescent="0.25">
      <c r="A82"/>
      <c r="D82" s="77" t="s">
        <v>374</v>
      </c>
      <c r="E82" s="1" t="str" cm="1">
        <f t="array" ref="E82">Fertiliser_Equations_LeachingAndRunoff.VEERG_5_5_1_1__1_FertiliserLeachingAndRunoffN2OEmissions_Variable()</f>
        <v>E_fertleach</v>
      </c>
      <c r="N82" s="77" t="s">
        <v>374</v>
      </c>
      <c r="O82" s="1" t="str" cm="1">
        <f t="array" ref="O82">Fertiliser_Equations_LeachingAndRunoff.VEERG_5_5_1_1__1_FertiliserLeachingAndRunoffN2OEmissions_Variable()</f>
        <v>E_fertleach</v>
      </c>
    </row>
    <row r="83" spans="1:20" x14ac:dyDescent="0.25" ht="20" customHeight="1">
      <c r="A83"/>
      <c r="D83" s="77" t="s">
        <v>121</v>
      </c>
      <c r="E83" s="9" t="str" cm="1">
        <f t="array" ref="E83">Fertiliser_Equations_LeachingAndRunoff.VEERG_5_5_1_1__1_FertiliserLeachingAndRunoffN2OEmissions_Unit()</f>
        <v>t N2O</v>
      </c>
      <c r="N83" s="77" t="s">
        <v>121</v>
      </c>
      <c r="O83" s="9" t="str" cm="1">
        <f t="array" ref="O83">Fertiliser_Equations_LeachingAndRunoff.VEERG_5_5_1_1__1_FertiliserLeachingAndRunoffN2OEmissions_Unit()</f>
        <v>t N2O</v>
      </c>
    </row>
    <row r="84" spans="1:20" x14ac:dyDescent="0.25" ht="20" customHeight="1">
      <c r="A84"/>
    </row>
    <row r="85" spans="1:20" x14ac:dyDescent="0.25" ht="20" customHeight="1">
      <c r="A85"/>
      <c r="D85" s="105" t="str" cm="1">
        <f t="array" ref="D85:E88">_xlfn.CHOOSECOLS(Fertiliser_Equations_LeachingAndRunoff.VEERG_5_5_1_1__1_FertiliserLeachingAndRunoffN2OEmissions_Arguments(), 1, 2)</f>
        <v>M_leachinorganicj</v>
      </c>
      <c r="E85" s="106" t="str">
        <v>mass of nitrogen lost through leaching and runoff from inorganic fertiliser application in production system j</v>
      </c>
      <c r="F85" s="107"/>
      <c r="G85" s="108"/>
      <c r="H85" s="105" t="str" cm="1">
        <f t="array" ref="H85:I88">_xlfn.CHOOSECOLS(Fertiliser_Equations_LeachingAndRunoff.VEERG_5_5_1_1__1_FertiliserLeachingAndRunoffN2OEmissions_Arguments(), 3,4)</f>
        <v>kg N</v>
      </c>
      <c r="I85" s="110" t="str">
        <v>Calculated from 5.5.1.1 (2)</v>
      </c>
      <c r="J85" s="105">
        <v>0</v>
      </c>
      <c r="N85" s="105" t="str" cm="1">
        <f t="array" ref="N85:O88">_xlfn.CHOOSECOLS(Fertiliser_Equations_LeachingAndRunoff.VEERG_5_5_1_1__1_FertiliserLeachingAndRunoffN2OEmissions_Arguments(), 1, 2)</f>
        <v>M_leachinorganicj</v>
      </c>
      <c r="O85" s="106" t="str">
        <v>mass of nitrogen lost through leaching and runoff from inorganic fertiliser application in production system j</v>
      </c>
      <c r="P85" s="107"/>
      <c r="Q85" s="108"/>
      <c r="R85" s="105" t="str" cm="1">
        <f t="array" ref="R85:S88">_xlfn.CHOOSECOLS(Fertiliser_Equations_LeachingAndRunoff.VEERG_5_5_1_1__1_FertiliserLeachingAndRunoffN2OEmissions_Arguments(), 3,4)</f>
        <v>kg N</v>
      </c>
      <c r="S85" s="110" t="str">
        <v>Calculated from 5.5.1.1 (2)</v>
      </c>
      <c r="T85" s="105"/>
    </row>
    <row r="86" spans="1:20" x14ac:dyDescent="0.25" ht="20" customHeight="1">
      <c r="A86"/>
      <c r="D86" s="105" t="str">
        <v>M_leachorganicj</v>
      </c>
      <c r="E86" s="106" t="str">
        <v>mass of nitrogen lost through leaching and runoff from organic fertiliser application</v>
      </c>
      <c r="F86" s="107"/>
      <c r="G86" s="108"/>
      <c r="H86" s="105" t="str">
        <v>kg N</v>
      </c>
      <c r="I86" s="110" t="str">
        <v>Calculated from 5.5.1.1 (3)</v>
      </c>
      <c r="J86" s="105">
        <f>E74</f>
        <v>0</v>
      </c>
      <c r="N86" s="105" t="str">
        <v>M_leachorganicj</v>
      </c>
      <c r="O86" s="106" t="str">
        <v>mass of nitrogen lost through leaching and runoff from organic fertiliser application</v>
      </c>
      <c r="P86" s="107"/>
      <c r="Q86" s="108"/>
      <c r="R86" s="105" t="str">
        <v>kg N</v>
      </c>
      <c r="S86" s="110" t="str">
        <v>Calculated from 5.5.1.1 (3)</v>
      </c>
      <c r="T86" s="105">
        <f>O74</f>
        <v>0</v>
      </c>
    </row>
    <row r="87" spans="1:20" x14ac:dyDescent="0.25" ht="20" customHeight="1">
      <c r="A87"/>
      <c r="D87" s="105" t="str">
        <v>EF_leach</v>
      </c>
      <c r="E87" s="106" t="str">
        <v>emission factor for nitrogen leaching and runoff</v>
      </c>
      <c r="F87" s="107"/>
      <c r="G87" s="108"/>
      <c r="H87" s="105" t="str">
        <v>kg N2O-N/kg N</v>
      </c>
      <c r="I87" s="110" t="str">
        <v>Constant</v>
      </c>
      <c r="J87" s="105">
        <f>Fertiliser_EFLeach_Data</f>
        <v>1.0999999999999999E-2</v>
      </c>
      <c r="N87" s="105" t="str">
        <v>EF_leach</v>
      </c>
      <c r="O87" s="106" t="str">
        <v>emission factor for nitrogen leaching and runoff</v>
      </c>
      <c r="P87" s="107"/>
      <c r="Q87" s="108"/>
      <c r="R87" s="105" t="str">
        <v>kg N2O-N/kg N</v>
      </c>
      <c r="S87" s="110" t="str">
        <v>Constant</v>
      </c>
      <c r="T87" s="105"/>
    </row>
    <row r="88" spans="1:20" x14ac:dyDescent="0.25" ht="20" customHeight="1">
      <c r="A88"/>
      <c r="D88" s="105" t="str">
        <v>C_N2O</v>
      </c>
      <c r="E88" s="106" t="str">
        <v>factor to convert elemental mass of nitrous oxide to molecular mass</v>
      </c>
      <c r="F88" s="107"/>
      <c r="G88" s="108"/>
      <c r="H88" s="105" t="str">
        <v/>
      </c>
      <c r="I88" s="110" t="str">
        <v>Constant</v>
      </c>
      <c r="J88" s="116">
        <f>Common_InputFunctions.Utility_LookupValueInTableNumber("N2O",Table_GasToMolecularConversionFactor[Gas],Table_GasToMolecularConversionFactor[Conversion factor combined])</f>
        <v>1.5714285714285714</v>
      </c>
      <c r="N88" s="105" t="str">
        <v>C_N2O</v>
      </c>
      <c r="O88" s="106" t="str">
        <v>factor to convert elemental mass of nitrous oxide to molecular mass</v>
      </c>
      <c r="P88" s="107"/>
      <c r="Q88" s="108"/>
      <c r="R88" s="105" t="str">
        <v/>
      </c>
      <c r="S88" s="110" t="str">
        <v>Constant</v>
      </c>
      <c r="T88" s="116"/>
    </row>
    <row r="89" spans="1:20" x14ac:dyDescent="0.25" ht="20" customHeight="1">
      <c r="A89"/>
    </row>
    <row r="90" spans="1:20" ht="20" x14ac:dyDescent="0.25" customHeight="1">
      <c r="A90"/>
      <c r="D90" s="90" t="s">
        <v>723</v>
      </c>
      <c r="E90" s="91" cm="1">
        <f t="array" ref="E90">Fertiliser_Equations_LeachingAndRunoff.VEERG_5_5_1_1__1_FertiliserLeachingAndRunoffN2OEmissions(J85,J86,J87,J88)</f>
        <v>0</v>
      </c>
      <c r="F90" s="95" t="str">
        <f>$E$83</f>
        <v>t N2O</v>
      </c>
      <c r="N90" s="90" t="s">
        <v>723</v>
      </c>
      <c r="O90" s="91" cm="1">
        <f t="array" ref="O90">Fertiliser_Equations_LeachingAndRunoff.VEERG_5_5_1_1__1_FertiliserLeachingAndRunoffN2OEmissions(J85,T86,J87,J88)</f>
        <v>0</v>
      </c>
      <c r="P90" s="95" t="str">
        <f>$E$83</f>
        <v>t N2O</v>
      </c>
    </row>
    <row r="91" spans="1:20" x14ac:dyDescent="0.25" ht="20" customHeight="1">
      <c r="A91"/>
    </row>
    <row r="92" spans="1:20" x14ac:dyDescent="0.25" ht="20" customHeight="1">
      <c r="A92"/>
    </row>
    <row r="93" spans="1:20" x14ac:dyDescent="0.25" ht="20" customHeight="1">
      <c r="A93"/>
    </row>
    <row r="94" spans="1:20" x14ac:dyDescent="0.25" ht="20" customHeight="1">
      <c r="A94"/>
    </row>
    <row r="95" spans="1:20" x14ac:dyDescent="0.25" ht="20" customHeight="1">
      <c r="A95"/>
    </row>
    <row r="96" spans="1:20" x14ac:dyDescent="0.25" ht="20" customHeight="1">
      <c r="A96"/>
    </row>
    <row r="97" spans="1:1" x14ac:dyDescent="0.25" ht="20" customHeight="1">
      <c r="A97"/>
    </row>
    <row r="98" spans="1:1" x14ac:dyDescent="0.25" ht="20" customHeight="1">
      <c r="A98"/>
    </row>
    <row r="99" spans="1:1" x14ac:dyDescent="0.25" ht="20" customHeight="1">
      <c r="A99"/>
    </row>
    <row r="100" spans="1:1" x14ac:dyDescent="0.25" ht="20" customHeight="1">
      <c r="A100"/>
    </row>
    <row r="101" spans="1:1" x14ac:dyDescent="0.25" ht="20" customHeight="1">
      <c r="A101"/>
    </row>
    <row r="102" spans="1:1" x14ac:dyDescent="0.25" ht="20" customHeight="1">
      <c r="A102"/>
    </row>
    <row r="103" spans="1:1" x14ac:dyDescent="0.25" ht="20" customHeight="1">
      <c r="A103"/>
    </row>
    <row r="104" spans="1:1" x14ac:dyDescent="0.25" ht="20" customHeight="1">
      <c r="A104"/>
    </row>
    <row r="105" spans="1:1" x14ac:dyDescent="0.25" ht="20" customHeight="1">
      <c r="A105"/>
    </row>
    <row r="106" spans="1:1" x14ac:dyDescent="0.25" ht="20" customHeight="1">
      <c r="A106"/>
    </row>
    <row r="107" spans="1:1" x14ac:dyDescent="0.25" ht="20" customHeight="1">
      <c r="A107"/>
    </row>
    <row r="108" spans="1:1" x14ac:dyDescent="0.25" ht="20" customHeight="1">
      <c r="A108"/>
    </row>
    <row r="109" spans="1:1" x14ac:dyDescent="0.25" ht="20" customHeight="1">
      <c r="A109"/>
    </row>
    <row r="110" spans="1:1" x14ac:dyDescent="0.25" ht="20" customHeight="1">
      <c r="A110"/>
    </row>
    <row r="111" spans="1:1" x14ac:dyDescent="0.25" ht="20" customHeight="1">
      <c r="A111"/>
    </row>
    <row r="112" spans="1:1" x14ac:dyDescent="0.25" ht="20" customHeight="1">
      <c r="A112"/>
    </row>
    <row r="113" spans="1:1" x14ac:dyDescent="0.25" ht="20" customHeight="1">
      <c r="A113"/>
    </row>
    <row r="114" spans="1:1" x14ac:dyDescent="0.25" ht="20" customHeight="1">
      <c r="A114"/>
    </row>
    <row r="115" spans="1:1" x14ac:dyDescent="0.25" ht="20" customHeight="1">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5B6B-586F-458C-BFBD-FB1FC8233F51}">
  <sheetPr>
    <tabColor theme="2" tint="-0.499984740745262"/>
  </sheetPr>
  <dimension ref="A1:V483"/>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1" customFormat="1" ht="30" customHeight="1" x14ac:dyDescent="0.35">
      <c r="A1" s="10" t="e" vm="1">
        <v>#VALUE!</v>
      </c>
      <c r="C1" s="21" t="s">
        <v>483</v>
      </c>
    </row>
    <row r="2" spans="1:21" s="3" customFormat="1" ht="20" customHeight="1" x14ac:dyDescent="0.25">
      <c r="A2"/>
    </row>
    <row r="3" spans="1:21" ht="20" customHeight="1" x14ac:dyDescent="0.25">
      <c r="A3" s="5" t="str">
        <f>HYPERLINK("#'Home'!A1", "Home")</f>
        <v>Home</v>
      </c>
      <c r="C3" s="23"/>
      <c r="D3" s="23"/>
      <c r="E3" s="23"/>
      <c r="F3" s="23"/>
      <c r="G3" s="23"/>
      <c r="H3" s="23"/>
      <c r="I3" s="23"/>
      <c r="J3" s="23"/>
      <c r="K3" s="23"/>
      <c r="L3" s="23"/>
      <c r="M3" s="23"/>
      <c r="N3" s="23"/>
      <c r="O3" s="23"/>
      <c r="P3" s="23"/>
      <c r="Q3" s="23"/>
      <c r="R3" s="23"/>
      <c r="S3" s="23"/>
      <c r="T3" s="23"/>
      <c r="U3" s="23"/>
    </row>
    <row r="4" spans="1:21" ht="20" customHeight="1" x14ac:dyDescent="0.25">
      <c r="A4" s="5" t="str">
        <f>HYPERLINK("#'Results - Activity period'!A1", "Results - Activity period")</f>
        <v>Results - Activity period</v>
      </c>
      <c r="M4" s="8"/>
    </row>
    <row r="5" spans="1:21" ht="20" customHeight="1" x14ac:dyDescent="0.25">
      <c r="A5" s="5" t="str">
        <f>HYPERLINK("#'Results - Product EI'!A1", "Results - Product Emissions Intensity")</f>
        <v>Results - Product Emissions Intensity</v>
      </c>
      <c r="D5" s="2" t="s">
        <v>484</v>
      </c>
      <c r="G5" s="2" t="s">
        <v>485</v>
      </c>
      <c r="M5" s="1" t="s">
        <v>486</v>
      </c>
      <c r="O5" s="1" t="s">
        <v>487</v>
      </c>
      <c r="Q5" s="1" t="s">
        <v>488</v>
      </c>
      <c r="S5" s="1" t="s">
        <v>489</v>
      </c>
    </row>
    <row r="6" spans="1:21" ht="20" customHeight="1" x14ac:dyDescent="0.25">
      <c r="M6" s="1"/>
    </row>
    <row r="7" spans="1:21" ht="20" customHeight="1" x14ac:dyDescent="0.25">
      <c r="D7" s="20" t="s">
        <v>171</v>
      </c>
      <c r="G7" s="20" t="s">
        <v>72</v>
      </c>
      <c r="M7" t="s">
        <v>490</v>
      </c>
      <c r="O7" s="20" t="s">
        <v>490</v>
      </c>
      <c r="Q7" s="20" t="s">
        <v>490</v>
      </c>
      <c r="S7" s="20" t="s">
        <v>490</v>
      </c>
    </row>
    <row r="8" spans="1:21" ht="20" customHeight="1" x14ac:dyDescent="0.25">
      <c r="A8" s="7" t="s">
        <v>0</v>
      </c>
      <c r="D8" s="20" t="str">
        <f>'Constants - Common'!$F$187</f>
        <v>Pasture</v>
      </c>
      <c r="G8" s="20" t="s">
        <v>491</v>
      </c>
      <c r="M8" s="20" t="s">
        <v>322</v>
      </c>
      <c r="O8" s="20" t="s">
        <v>492</v>
      </c>
      <c r="Q8" s="20" t="s">
        <v>493</v>
      </c>
      <c r="S8" s="20" t="s">
        <v>494</v>
      </c>
    </row>
    <row r="9" spans="1:21" ht="20" customHeight="1" x14ac:dyDescent="0.25">
      <c r="A9" s="5" t="str">
        <f>HYPERLINK("#'Input - Enterprise'!A1", "Enterprise")</f>
        <v>Enterprise</v>
      </c>
      <c r="D9" s="1" t="str">
        <f>'Constants - Common'!$F$188</f>
        <v>Crop</v>
      </c>
      <c r="G9" s="20" t="s">
        <v>495</v>
      </c>
      <c r="M9" s="20" t="s">
        <v>496</v>
      </c>
      <c r="O9" s="20" t="s">
        <v>497</v>
      </c>
      <c r="Q9" s="20" t="s">
        <v>498</v>
      </c>
    </row>
    <row r="10" spans="1:21" ht="20" customHeight="1" x14ac:dyDescent="0.25">
      <c r="A10" s="5" t="str">
        <f>HYPERLINK("#'Input - Site'!A1", "Site")</f>
        <v>Site</v>
      </c>
      <c r="G10" s="1" t="s">
        <v>355</v>
      </c>
      <c r="M10" s="20" t="s">
        <v>499</v>
      </c>
      <c r="O10" s="20" t="s">
        <v>500</v>
      </c>
      <c r="Q10" s="20" t="s">
        <v>501</v>
      </c>
      <c r="S10" s="1" t="s">
        <v>502</v>
      </c>
    </row>
    <row r="11" spans="1:21" ht="20" customHeight="1" x14ac:dyDescent="0.25">
      <c r="A11" s="5" t="str">
        <f>HYPERLINK("#'Input - Pasture Beef'!A1", "Pasture Beef")</f>
        <v>Pasture Beef</v>
      </c>
      <c r="G11" s="1" t="s">
        <v>503</v>
      </c>
      <c r="M11" s="1"/>
      <c r="Q11" s="20" t="s">
        <v>504</v>
      </c>
    </row>
    <row r="12" spans="1:21" ht="20" customHeight="1" x14ac:dyDescent="0.25">
      <c r="A12" s="5" t="str">
        <f>HYPERLINK("#'Input - Livestock sales'!A1", "Livestock sales")</f>
        <v>Livestock sales</v>
      </c>
      <c r="G12" s="1" t="s">
        <v>505</v>
      </c>
      <c r="M12" s="1"/>
      <c r="S12" s="20" t="s">
        <v>490</v>
      </c>
    </row>
    <row r="13" spans="1:21" ht="20" customHeight="1" x14ac:dyDescent="0.25">
      <c r="A13" s="5" t="str">
        <f>HYPERLINK("#'Input - Beef cattle purchases'!A1", "Beef cattle purchases")</f>
        <v>Beef cattle purchases</v>
      </c>
      <c r="M13" s="1"/>
      <c r="S13" s="20" t="s">
        <v>494</v>
      </c>
    </row>
    <row r="14" spans="1:21" ht="20" customHeight="1" x14ac:dyDescent="0.25">
      <c r="A14" s="5" t="str">
        <f>HYPERLINK("#'Input - Pasture'!A1", "Pasture")</f>
        <v>Pasture</v>
      </c>
      <c r="D14" s="2" t="str" cm="1">
        <f t="array" ref="D14">SourceData_PastureBeef.SourceData_PastureBeef_Liveweight_Title()</f>
        <v>Beef pasture cattle - Liveweight (kg) (Wjkl)</v>
      </c>
      <c r="M14" s="1"/>
    </row>
    <row r="15" spans="1:21" ht="20" customHeight="1" x14ac:dyDescent="0.25">
      <c r="A15" s="5" t="str">
        <f>HYPERLINK("#'Input - Fert Prod System'!A1", "Fert Prod System")</f>
        <v>Fert Prod System</v>
      </c>
      <c r="D15" s="17" t="str" cm="1">
        <f t="array" ref="D15">SourceData_PastureBeef.SourceData_PastureBeef_Liveweight_Source()</f>
        <v>VEERG 2026: Table A.1.2.1</v>
      </c>
      <c r="M15" s="1"/>
      <c r="S15" s="1" t="s">
        <v>506</v>
      </c>
    </row>
    <row r="16" spans="1:21" ht="20" customHeight="1" x14ac:dyDescent="0.25">
      <c r="A16" s="5" t="str">
        <f>HYPERLINK("#'Input - Fertiliser'!A1", "Fertiliser")</f>
        <v>Fertiliser</v>
      </c>
      <c r="D16" s="1" t="str" cm="1">
        <f t="array" ref="D16">SourceData_PastureBeef.SourceData_PastureBeef_Liveweight_Variable()</f>
        <v>Wjkl</v>
      </c>
      <c r="M16" s="1"/>
    </row>
    <row r="17" spans="1:19" ht="20" customHeight="1" x14ac:dyDescent="0.25">
      <c r="A17" s="5" t="str">
        <f>HYPERLINK("#'Input - Fuel'!A1", "Fuel")</f>
        <v>Fuel</v>
      </c>
      <c r="D17" s="9" t="str" cm="1">
        <f t="array" ref="D17">SourceData_PastureBeef.SourceData_PastureBeef_Liveweight_Unit()</f>
        <v>kg</v>
      </c>
      <c r="M17" s="1"/>
      <c r="O17" s="1" t="s">
        <v>507</v>
      </c>
      <c r="S17" s="20" t="s">
        <v>490</v>
      </c>
    </row>
    <row r="18" spans="1:19" ht="20" customHeight="1" x14ac:dyDescent="0.25">
      <c r="A18" s="5" t="str">
        <f>HYPERLINK("#'Input - Electricity'!A1", "Electricity")</f>
        <v>Electricity</v>
      </c>
      <c r="D18" s="20" t="s">
        <v>105</v>
      </c>
      <c r="E18" s="20" t="s">
        <v>490</v>
      </c>
      <c r="F18" s="20" t="s">
        <v>76</v>
      </c>
      <c r="G18" s="20" t="s">
        <v>508</v>
      </c>
      <c r="H18" s="20" t="s">
        <v>509</v>
      </c>
      <c r="I18" s="20" t="s">
        <v>510</v>
      </c>
      <c r="J18" s="20" t="s">
        <v>511</v>
      </c>
      <c r="K18" s="20" t="s">
        <v>512</v>
      </c>
      <c r="L18" s="20" t="s">
        <v>513</v>
      </c>
      <c r="M18" s="20" t="s">
        <v>514</v>
      </c>
      <c r="O18" s="20" t="s">
        <v>515</v>
      </c>
      <c r="S18" s="20" t="s">
        <v>494</v>
      </c>
    </row>
    <row r="19" spans="1:19" ht="20" customHeight="1" x14ac:dyDescent="0.25">
      <c r="A19" s="5" t="str">
        <f>HYPERLINK("#'Input - Common farm inputs'!A1", "Common farm inputs")</f>
        <v>Common farm inputs</v>
      </c>
      <c r="D19" s="20" t="str" cm="1">
        <f t="array" ref="D19">Common_InputFunctions.Utility_DisplayArrayInTable(SourceData_PastureBeef.SourceData_PastureBeef_Liveweight_Data(), Table_SourceData_PastureBeef_Liveweight[[#Headers],[State]], 0)</f>
        <v>ACT/NSW</v>
      </c>
      <c r="E19" s="20" t="str" cm="1">
        <f t="array" ref="E19">Common_InputFunctions.Utility_DisplayArrayInTable(SourceData_PastureBeef.SourceData_PastureBeef_Liveweight_Data(), Table_SourceData_PastureBeef_Liveweight[[#Headers],[State]], 0)</f>
        <v>n/a</v>
      </c>
      <c r="F19" s="20" t="str" cm="1">
        <f t="array" ref="F19">Common_InputFunctions.Utility_DisplayArrayInTable(SourceData_PastureBeef.SourceData_PastureBeef_Liveweight_Data(), Table_SourceData_PastureBeef_Liveweight[[#Headers],[State]], 0)</f>
        <v>Spring</v>
      </c>
      <c r="G19" s="20" cm="1">
        <f t="array" ref="G19">Common_InputFunctions.Utility_DisplayArrayInTable(SourceData_PastureBeef.SourceData_PastureBeef_Liveweight_Data(), Table_SourceData_PastureBeef_Liveweight[[#Headers],[State]], 0)</f>
        <v>80</v>
      </c>
      <c r="H19" s="20" cm="1">
        <f t="array" ref="H19">Common_InputFunctions.Utility_DisplayArrayInTable(SourceData_PastureBeef.SourceData_PastureBeef_Liveweight_Data(), Table_SourceData_PastureBeef_Liveweight[[#Headers],[State]], 0)</f>
        <v>480</v>
      </c>
      <c r="I19" s="20" cm="1">
        <f t="array" ref="I19">Common_InputFunctions.Utility_DisplayArrayInTable(SourceData_PastureBeef.SourceData_PastureBeef_Liveweight_Data(), Table_SourceData_PastureBeef_Liveweight[[#Headers],[State]], 0)</f>
        <v>75</v>
      </c>
      <c r="J19" s="20" cm="1">
        <f t="array" ref="J19">Common_InputFunctions.Utility_DisplayArrayInTable(SourceData_PastureBeef.SourceData_PastureBeef_Liveweight_Data(), Table_SourceData_PastureBeef_Liveweight[[#Headers],[State]], 0)</f>
        <v>300</v>
      </c>
      <c r="K19" s="20" cm="1">
        <f t="array" ref="K19">Common_InputFunctions.Utility_DisplayArrayInTable(SourceData_PastureBeef.SourceData_PastureBeef_Liveweight_Data(), Table_SourceData_PastureBeef_Liveweight[[#Headers],[State]], 0)</f>
        <v>440</v>
      </c>
      <c r="L19" s="20" cm="1">
        <f t="array" ref="L19">Common_InputFunctions.Utility_DisplayArrayInTable(SourceData_PastureBeef.SourceData_PastureBeef_Liveweight_Data(), Table_SourceData_PastureBeef_Liveweight[[#Headers],[State]], 0)</f>
        <v>75</v>
      </c>
      <c r="M19" s="20" cm="1">
        <f t="array" ref="M19">Common_InputFunctions.Utility_DisplayArrayInTable(SourceData_PastureBeef.SourceData_PastureBeef_Liveweight_Data(), Table_SourceData_PastureBeef_Liveweight[[#Headers],[State]], 0)</f>
        <v>380</v>
      </c>
      <c r="O19" t="s">
        <v>326</v>
      </c>
    </row>
    <row r="20" spans="1:19" ht="20" customHeight="1" x14ac:dyDescent="0.25">
      <c r="A20" s="5" t="str">
        <f>HYPERLINK("#'Input - Crop pasture farm input'!A1", "Crop pasture farm input")</f>
        <v>Crop pasture farm input</v>
      </c>
      <c r="D20" s="1" t="str" cm="1">
        <f t="array" ref="D20">Common_InputFunctions.Utility_DisplayArrayInTable(SourceData_PastureBeef.SourceData_PastureBeef_Liveweight_Data(), Table_SourceData_PastureBeef_Liveweight[[#Headers],[State]], 0)</f>
        <v>ACT/NSW</v>
      </c>
      <c r="E20" s="20" t="str" cm="1">
        <f t="array" ref="E20">Common_InputFunctions.Utility_DisplayArrayInTable(SourceData_PastureBeef.SourceData_PastureBeef_Liveweight_Data(), Table_SourceData_PastureBeef_Liveweight[[#Headers],[State]], 0)</f>
        <v>n/a</v>
      </c>
      <c r="F20" s="20" t="str" cm="1">
        <f t="array" ref="F20">Common_InputFunctions.Utility_DisplayArrayInTable(SourceData_PastureBeef.SourceData_PastureBeef_Liveweight_Data(), Table_SourceData_PastureBeef_Liveweight[[#Headers],[State]], 0)</f>
        <v>Summer</v>
      </c>
      <c r="G20" s="20" cm="1">
        <f t="array" ref="G20">Common_InputFunctions.Utility_DisplayArrayInTable(SourceData_PastureBeef.SourceData_PastureBeef_Liveweight_Data(), Table_SourceData_PastureBeef_Liveweight[[#Headers],[State]], 0)</f>
        <v>170</v>
      </c>
      <c r="H20" s="20" cm="1">
        <f t="array" ref="H20">Common_InputFunctions.Utility_DisplayArrayInTable(SourceData_PastureBeef.SourceData_PastureBeef_Liveweight_Data(), Table_SourceData_PastureBeef_Liveweight[[#Headers],[State]], 0)</f>
        <v>520</v>
      </c>
      <c r="I20" s="20" cm="1">
        <f t="array" ref="I20">Common_InputFunctions.Utility_DisplayArrayInTable(SourceData_PastureBeef.SourceData_PastureBeef_Liveweight_Data(), Table_SourceData_PastureBeef_Liveweight[[#Headers],[State]], 0)</f>
        <v>160</v>
      </c>
      <c r="J20" s="20" cm="1">
        <f t="array" ref="J20">Common_InputFunctions.Utility_DisplayArrayInTable(SourceData_PastureBeef.SourceData_PastureBeef_Liveweight_Data(), Table_SourceData_PastureBeef_Liveweight[[#Headers],[State]], 0)</f>
        <v>360</v>
      </c>
      <c r="K20" s="20" cm="1">
        <f t="array" ref="K20">Common_InputFunctions.Utility_DisplayArrayInTable(SourceData_PastureBeef.SourceData_PastureBeef_Liveweight_Data(), Table_SourceData_PastureBeef_Liveweight[[#Headers],[State]], 0)</f>
        <v>470</v>
      </c>
      <c r="L20" s="20" cm="1">
        <f t="array" ref="L20">Common_InputFunctions.Utility_DisplayArrayInTable(SourceData_PastureBeef.SourceData_PastureBeef_Liveweight_Data(), Table_SourceData_PastureBeef_Liveweight[[#Headers],[State]], 0)</f>
        <v>160</v>
      </c>
      <c r="M20" s="20" cm="1">
        <f t="array" ref="M20">Common_InputFunctions.Utility_DisplayArrayInTable(SourceData_PastureBeef.SourceData_PastureBeef_Liveweight_Data(), Table_SourceData_PastureBeef_Liveweight[[#Headers],[State]], 0)</f>
        <v>420</v>
      </c>
      <c r="O20" t="s">
        <v>184</v>
      </c>
      <c r="S20" s="1" t="s">
        <v>516</v>
      </c>
    </row>
    <row r="21" spans="1:19" ht="20" customHeight="1" x14ac:dyDescent="0.25">
      <c r="A21" s="5" t="str">
        <f>HYPERLINK("#'Input - Livestock farm Inputs'!A1", "Livestock farm Inputs")</f>
        <v>Livestock farm Inputs</v>
      </c>
      <c r="D21" s="1" t="str" cm="1">
        <f t="array" ref="D21">Common_InputFunctions.Utility_DisplayArrayInTable(SourceData_PastureBeef.SourceData_PastureBeef_Liveweight_Data(), Table_SourceData_PastureBeef_Liveweight[[#Headers],[State]], 0)</f>
        <v>ACT/NSW</v>
      </c>
      <c r="E21" s="20" t="str" cm="1">
        <f t="array" ref="E21">Common_InputFunctions.Utility_DisplayArrayInTable(SourceData_PastureBeef.SourceData_PastureBeef_Liveweight_Data(), Table_SourceData_PastureBeef_Liveweight[[#Headers],[State]], 0)</f>
        <v>n/a</v>
      </c>
      <c r="F21" s="20" t="str" cm="1">
        <f t="array" ref="F21">Common_InputFunctions.Utility_DisplayArrayInTable(SourceData_PastureBeef.SourceData_PastureBeef_Liveweight_Data(), Table_SourceData_PastureBeef_Liveweight[[#Headers],[State]], 0)</f>
        <v>Autumn</v>
      </c>
      <c r="G21" s="20" cm="1">
        <f t="array" ref="G21">Common_InputFunctions.Utility_DisplayArrayInTable(SourceData_PastureBeef.SourceData_PastureBeef_Liveweight_Data(), Table_SourceData_PastureBeef_Liveweight[[#Headers],[State]], 0)</f>
        <v>240</v>
      </c>
      <c r="H21" s="20" cm="1">
        <f t="array" ref="H21">Common_InputFunctions.Utility_DisplayArrayInTable(SourceData_PastureBeef.SourceData_PastureBeef_Liveweight_Data(), Table_SourceData_PastureBeef_Liveweight[[#Headers],[State]], 0)</f>
        <v>550</v>
      </c>
      <c r="I21" s="20" cm="1">
        <f t="array" ref="I21">Common_InputFunctions.Utility_DisplayArrayInTable(SourceData_PastureBeef.SourceData_PastureBeef_Liveweight_Data(), Table_SourceData_PastureBeef_Liveweight[[#Headers],[State]], 0)</f>
        <v>220</v>
      </c>
      <c r="J21" s="20" cm="1">
        <f t="array" ref="J21">Common_InputFunctions.Utility_DisplayArrayInTable(SourceData_PastureBeef.SourceData_PastureBeef_Liveweight_Data(), Table_SourceData_PastureBeef_Liveweight[[#Headers],[State]], 0)</f>
        <v>390</v>
      </c>
      <c r="K21" s="20" cm="1">
        <f t="array" ref="K21">Common_InputFunctions.Utility_DisplayArrayInTable(SourceData_PastureBeef.SourceData_PastureBeef_Liveweight_Data(), Table_SourceData_PastureBeef_Liveweight[[#Headers],[State]], 0)</f>
        <v>490</v>
      </c>
      <c r="L21" s="20" cm="1">
        <f t="array" ref="L21">Common_InputFunctions.Utility_DisplayArrayInTable(SourceData_PastureBeef.SourceData_PastureBeef_Liveweight_Data(), Table_SourceData_PastureBeef_Liveweight[[#Headers],[State]], 0)</f>
        <v>220</v>
      </c>
      <c r="M21" s="20" cm="1">
        <f t="array" ref="M21">Common_InputFunctions.Utility_DisplayArrayInTable(SourceData_PastureBeef.SourceData_PastureBeef_Liveweight_Data(), Table_SourceData_PastureBeef_Liveweight[[#Headers],[State]], 0)</f>
        <v>450</v>
      </c>
      <c r="O21" t="s">
        <v>327</v>
      </c>
    </row>
    <row r="22" spans="1:19" ht="20" customHeight="1" x14ac:dyDescent="0.25">
      <c r="A22" s="5" t="str">
        <f>HYPERLINK("#'Input - Freight'!A1", "Freight")</f>
        <v>Freight</v>
      </c>
      <c r="D22" s="1" t="str" cm="1">
        <f t="array" ref="D22">Common_InputFunctions.Utility_DisplayArrayInTable(SourceData_PastureBeef.SourceData_PastureBeef_Liveweight_Data(), Table_SourceData_PastureBeef_Liveweight[[#Headers],[State]], 0)</f>
        <v>ACT/NSW</v>
      </c>
      <c r="E22" s="20" t="str" cm="1">
        <f t="array" ref="E22">Common_InputFunctions.Utility_DisplayArrayInTable(SourceData_PastureBeef.SourceData_PastureBeef_Liveweight_Data(), Table_SourceData_PastureBeef_Liveweight[[#Headers],[State]], 0)</f>
        <v>n/a</v>
      </c>
      <c r="F22" s="20" t="str" cm="1">
        <f t="array" ref="F22">Common_InputFunctions.Utility_DisplayArrayInTable(SourceData_PastureBeef.SourceData_PastureBeef_Liveweight_Data(), Table_SourceData_PastureBeef_Liveweight[[#Headers],[State]], 0)</f>
        <v>Winter</v>
      </c>
      <c r="G22" s="20" cm="1">
        <f t="array" ref="G22">Common_InputFunctions.Utility_DisplayArrayInTable(SourceData_PastureBeef.SourceData_PastureBeef_Liveweight_Data(), Table_SourceData_PastureBeef_Liveweight[[#Headers],[State]], 0)</f>
        <v>280</v>
      </c>
      <c r="H22" s="20" cm="1">
        <f t="array" ref="H22">Common_InputFunctions.Utility_DisplayArrayInTable(SourceData_PastureBeef.SourceData_PastureBeef_Liveweight_Data(), Table_SourceData_PastureBeef_Liveweight[[#Headers],[State]], 0)</f>
        <v>560</v>
      </c>
      <c r="I22" s="20" cm="1">
        <f t="array" ref="I22">Common_InputFunctions.Utility_DisplayArrayInTable(SourceData_PastureBeef.SourceData_PastureBeef_Liveweight_Data(), Table_SourceData_PastureBeef_Liveweight[[#Headers],[State]], 0)</f>
        <v>260</v>
      </c>
      <c r="J22" s="20" cm="1">
        <f t="array" ref="J22">Common_InputFunctions.Utility_DisplayArrayInTable(SourceData_PastureBeef.SourceData_PastureBeef_Liveweight_Data(), Table_SourceData_PastureBeef_Liveweight[[#Headers],[State]], 0)</f>
        <v>410</v>
      </c>
      <c r="K22" s="20" cm="1">
        <f t="array" ref="K22">Common_InputFunctions.Utility_DisplayArrayInTable(SourceData_PastureBeef.SourceData_PastureBeef_Liveweight_Data(), Table_SourceData_PastureBeef_Liveweight[[#Headers],[State]], 0)</f>
        <v>500</v>
      </c>
      <c r="L22" s="20" cm="1">
        <f t="array" ref="L22">Common_InputFunctions.Utility_DisplayArrayInTable(SourceData_PastureBeef.SourceData_PastureBeef_Liveweight_Data(), Table_SourceData_PastureBeef_Liveweight[[#Headers],[State]], 0)</f>
        <v>260</v>
      </c>
      <c r="M22" s="20" cm="1">
        <f t="array" ref="M22">Common_InputFunctions.Utility_DisplayArrayInTable(SourceData_PastureBeef.SourceData_PastureBeef_Liveweight_Data(), Table_SourceData_PastureBeef_Liveweight[[#Headers],[State]], 0)</f>
        <v>460</v>
      </c>
      <c r="O22" t="s">
        <v>328</v>
      </c>
      <c r="S22" s="20" t="s">
        <v>490</v>
      </c>
    </row>
    <row r="23" spans="1:19" ht="20" customHeight="1" x14ac:dyDescent="0.25">
      <c r="A23" s="5" t="str">
        <f>HYPERLINK("#'Input - Solid waste'!A1", "Solid waste")</f>
        <v>Solid waste</v>
      </c>
      <c r="D23" s="1" t="str" cm="1">
        <f t="array" ref="D23">Common_InputFunctions.Utility_DisplayArrayInTable(SourceData_PastureBeef.SourceData_PastureBeef_Liveweight_Data(), Table_SourceData_PastureBeef_Liveweight[[#Headers],[State]], 0)</f>
        <v>South Australia</v>
      </c>
      <c r="E23" s="20" t="str" cm="1">
        <f t="array" ref="E23">Common_InputFunctions.Utility_DisplayArrayInTable(SourceData_PastureBeef.SourceData_PastureBeef_Liveweight_Data(), Table_SourceData_PastureBeef_Liveweight[[#Headers],[State]], 0)</f>
        <v>n/a</v>
      </c>
      <c r="F23" s="20" t="str" cm="1">
        <f t="array" ref="F23">Common_InputFunctions.Utility_DisplayArrayInTable(SourceData_PastureBeef.SourceData_PastureBeef_Liveweight_Data(), Table_SourceData_PastureBeef_Liveweight[[#Headers],[State]], 0)</f>
        <v>Spring</v>
      </c>
      <c r="G23" s="20" cm="1">
        <f t="array" ref="G23">Common_InputFunctions.Utility_DisplayArrayInTable(SourceData_PastureBeef.SourceData_PastureBeef_Liveweight_Data(), Table_SourceData_PastureBeef_Liveweight[[#Headers],[State]], 0)</f>
        <v>250</v>
      </c>
      <c r="H23" s="20" cm="1">
        <f t="array" ref="H23">Common_InputFunctions.Utility_DisplayArrayInTable(SourceData_PastureBeef.SourceData_PastureBeef_Liveweight_Data(), Table_SourceData_PastureBeef_Liveweight[[#Headers],[State]], 0)</f>
        <v>800</v>
      </c>
      <c r="I23" s="20" cm="1">
        <f t="array" ref="I23">Common_InputFunctions.Utility_DisplayArrayInTable(SourceData_PastureBeef.SourceData_PastureBeef_Liveweight_Data(), Table_SourceData_PastureBeef_Liveweight[[#Headers],[State]], 0)</f>
        <v>220</v>
      </c>
      <c r="J23" s="20" cm="1">
        <f t="array" ref="J23">Common_InputFunctions.Utility_DisplayArrayInTable(SourceData_PastureBeef.SourceData_PastureBeef_Liveweight_Data(), Table_SourceData_PastureBeef_Liveweight[[#Headers],[State]], 0)</f>
        <v>400</v>
      </c>
      <c r="K23" s="20" cm="1">
        <f t="array" ref="K23">Common_InputFunctions.Utility_DisplayArrayInTable(SourceData_PastureBeef.SourceData_PastureBeef_Liveweight_Data(), Table_SourceData_PastureBeef_Liveweight[[#Headers],[State]], 0)</f>
        <v>500</v>
      </c>
      <c r="L23" s="20" cm="1">
        <f t="array" ref="L23">Common_InputFunctions.Utility_DisplayArrayInTable(SourceData_PastureBeef.SourceData_PastureBeef_Liveweight_Data(), Table_SourceData_PastureBeef_Liveweight[[#Headers],[State]], 0)</f>
        <v>230</v>
      </c>
      <c r="M23" s="20" cm="1">
        <f t="array" ref="M23">Common_InputFunctions.Utility_DisplayArrayInTable(SourceData_PastureBeef.SourceData_PastureBeef_Liveweight_Data(), Table_SourceData_PastureBeef_Liveweight[[#Headers],[State]], 0)</f>
        <v>420</v>
      </c>
      <c r="O23" t="s">
        <v>329</v>
      </c>
      <c r="S23" s="20" t="s">
        <v>494</v>
      </c>
    </row>
    <row r="24" spans="1:19" ht="20" customHeight="1" x14ac:dyDescent="0.25">
      <c r="A24" s="5" t="str">
        <f>HYPERLINK("#'Input - Manure sent off-site'!A1", "Manure sent off-site")</f>
        <v>Manure sent off-site</v>
      </c>
      <c r="D24" s="1" t="str" cm="1">
        <f t="array" ref="D24">Common_InputFunctions.Utility_DisplayArrayInTable(SourceData_PastureBeef.SourceData_PastureBeef_Liveweight_Data(), Table_SourceData_PastureBeef_Liveweight[[#Headers],[State]], 0)</f>
        <v>South Australia</v>
      </c>
      <c r="E24" s="20" t="str" cm="1">
        <f t="array" ref="E24">Common_InputFunctions.Utility_DisplayArrayInTable(SourceData_PastureBeef.SourceData_PastureBeef_Liveweight_Data(), Table_SourceData_PastureBeef_Liveweight[[#Headers],[State]], 0)</f>
        <v>n/a</v>
      </c>
      <c r="F24" s="20" t="str" cm="1">
        <f t="array" ref="F24">Common_InputFunctions.Utility_DisplayArrayInTable(SourceData_PastureBeef.SourceData_PastureBeef_Liveweight_Data(), Table_SourceData_PastureBeef_Liveweight[[#Headers],[State]], 0)</f>
        <v>Summer</v>
      </c>
      <c r="G24" s="20" cm="1">
        <f t="array" ref="G24">Common_InputFunctions.Utility_DisplayArrayInTable(SourceData_PastureBeef.SourceData_PastureBeef_Liveweight_Data(), Table_SourceData_PastureBeef_Liveweight[[#Headers],[State]], 0)</f>
        <v>320</v>
      </c>
      <c r="H24" s="20" cm="1">
        <f t="array" ref="H24">Common_InputFunctions.Utility_DisplayArrayInTable(SourceData_PastureBeef.SourceData_PastureBeef_Liveweight_Data(), Table_SourceData_PastureBeef_Liveweight[[#Headers],[State]], 0)</f>
        <v>800</v>
      </c>
      <c r="I24" s="20" cm="1">
        <f t="array" ref="I24">Common_InputFunctions.Utility_DisplayArrayInTable(SourceData_PastureBeef.SourceData_PastureBeef_Liveweight_Data(), Table_SourceData_PastureBeef_Liveweight[[#Headers],[State]], 0)</f>
        <v>280</v>
      </c>
      <c r="J24" s="20" cm="1">
        <f t="array" ref="J24">Common_InputFunctions.Utility_DisplayArrayInTable(SourceData_PastureBeef.SourceData_PastureBeef_Liveweight_Data(), Table_SourceData_PastureBeef_Liveweight[[#Headers],[State]], 0)</f>
        <v>420</v>
      </c>
      <c r="K24" s="20" cm="1">
        <f t="array" ref="K24">Common_InputFunctions.Utility_DisplayArrayInTable(SourceData_PastureBeef.SourceData_PastureBeef_Liveweight_Data(), Table_SourceData_PastureBeef_Liveweight[[#Headers],[State]], 0)</f>
        <v>500</v>
      </c>
      <c r="L24" s="20" cm="1">
        <f t="array" ref="L24">Common_InputFunctions.Utility_DisplayArrayInTable(SourceData_PastureBeef.SourceData_PastureBeef_Liveweight_Data(), Table_SourceData_PastureBeef_Liveweight[[#Headers],[State]], 0)</f>
        <v>290</v>
      </c>
      <c r="M24" s="20" cm="1">
        <f t="array" ref="M24">Common_InputFunctions.Utility_DisplayArrayInTable(SourceData_PastureBeef.SourceData_PastureBeef_Liveweight_Data(), Table_SourceData_PastureBeef_Liveweight[[#Headers],[State]], 0)</f>
        <v>420</v>
      </c>
      <c r="O24" t="s">
        <v>330</v>
      </c>
    </row>
    <row r="25" spans="1:19" ht="20" customHeight="1" x14ac:dyDescent="0.25">
      <c r="A25" s="5" t="str">
        <f>HYPERLINK("#'Input - Data quality'!A1", "Data quality")</f>
        <v>Data quality</v>
      </c>
      <c r="D25" s="1" t="str" cm="1">
        <f t="array" ref="D25">Common_InputFunctions.Utility_DisplayArrayInTable(SourceData_PastureBeef.SourceData_PastureBeef_Liveweight_Data(), Table_SourceData_PastureBeef_Liveweight[[#Headers],[State]], 0)</f>
        <v>South Australia</v>
      </c>
      <c r="E25" s="20" t="str" cm="1">
        <f t="array" ref="E25">Common_InputFunctions.Utility_DisplayArrayInTable(SourceData_PastureBeef.SourceData_PastureBeef_Liveweight_Data(), Table_SourceData_PastureBeef_Liveweight[[#Headers],[State]], 0)</f>
        <v>n/a</v>
      </c>
      <c r="F25" s="20" t="str" cm="1">
        <f t="array" ref="F25">Common_InputFunctions.Utility_DisplayArrayInTable(SourceData_PastureBeef.SourceData_PastureBeef_Liveweight_Data(), Table_SourceData_PastureBeef_Liveweight[[#Headers],[State]], 0)</f>
        <v>Autumn</v>
      </c>
      <c r="G25" s="20" cm="1">
        <f t="array" ref="G25">Common_InputFunctions.Utility_DisplayArrayInTable(SourceData_PastureBeef.SourceData_PastureBeef_Liveweight_Data(), Table_SourceData_PastureBeef_Liveweight[[#Headers],[State]], 0)</f>
        <v>80</v>
      </c>
      <c r="H25" s="20" cm="1">
        <f t="array" ref="H25">Common_InputFunctions.Utility_DisplayArrayInTable(SourceData_PastureBeef.SourceData_PastureBeef_Liveweight_Data(), Table_SourceData_PastureBeef_Liveweight[[#Headers],[State]], 0)</f>
        <v>700</v>
      </c>
      <c r="I25" s="20" cm="1">
        <f t="array" ref="I25">Common_InputFunctions.Utility_DisplayArrayInTable(SourceData_PastureBeef.SourceData_PastureBeef_Liveweight_Data(), Table_SourceData_PastureBeef_Liveweight[[#Headers],[State]], 0)</f>
        <v>70</v>
      </c>
      <c r="J25" s="20" cm="1">
        <f t="array" ref="J25">Common_InputFunctions.Utility_DisplayArrayInTable(SourceData_PastureBeef.SourceData_PastureBeef_Liveweight_Data(), Table_SourceData_PastureBeef_Liveweight[[#Headers],[State]], 0)</f>
        <v>300</v>
      </c>
      <c r="K25" s="20" cm="1">
        <f t="array" ref="K25">Common_InputFunctions.Utility_DisplayArrayInTable(SourceData_PastureBeef.SourceData_PastureBeef_Liveweight_Data(), Table_SourceData_PastureBeef_Liveweight[[#Headers],[State]], 0)</f>
        <v>450</v>
      </c>
      <c r="L25" s="20" cm="1">
        <f t="array" ref="L25">Common_InputFunctions.Utility_DisplayArrayInTable(SourceData_PastureBeef.SourceData_PastureBeef_Liveweight_Data(), Table_SourceData_PastureBeef_Liveweight[[#Headers],[State]], 0)</f>
        <v>75</v>
      </c>
      <c r="M25" s="20" cm="1">
        <f t="array" ref="M25">Common_InputFunctions.Utility_DisplayArrayInTable(SourceData_PastureBeef.SourceData_PastureBeef_Liveweight_Data(), Table_SourceData_PastureBeef_Liveweight[[#Headers],[State]], 0)</f>
        <v>400</v>
      </c>
      <c r="O25" t="s">
        <v>331</v>
      </c>
      <c r="S25" s="1" t="s">
        <v>517</v>
      </c>
    </row>
    <row r="26" spans="1:19" ht="20" customHeight="1" x14ac:dyDescent="0.25">
      <c r="D26" s="1" t="str" cm="1">
        <f t="array" ref="D26">Common_InputFunctions.Utility_DisplayArrayInTable(SourceData_PastureBeef.SourceData_PastureBeef_Liveweight_Data(), Table_SourceData_PastureBeef_Liveweight[[#Headers],[State]], 0)</f>
        <v>South Australia</v>
      </c>
      <c r="E26" s="20" t="str" cm="1">
        <f t="array" ref="E26">Common_InputFunctions.Utility_DisplayArrayInTable(SourceData_PastureBeef.SourceData_PastureBeef_Liveweight_Data(), Table_SourceData_PastureBeef_Liveweight[[#Headers],[State]], 0)</f>
        <v>n/a</v>
      </c>
      <c r="F26" s="20" t="str" cm="1">
        <f t="array" ref="F26">Common_InputFunctions.Utility_DisplayArrayInTable(SourceData_PastureBeef.SourceData_PastureBeef_Liveweight_Data(), Table_SourceData_PastureBeef_Liveweight[[#Headers],[State]], 0)</f>
        <v>Winter</v>
      </c>
      <c r="G26" s="20" cm="1">
        <f t="array" ref="G26">Common_InputFunctions.Utility_DisplayArrayInTable(SourceData_PastureBeef.SourceData_PastureBeef_Liveweight_Data(), Table_SourceData_PastureBeef_Liveweight[[#Headers],[State]], 0)</f>
        <v>160</v>
      </c>
      <c r="H26" s="20" cm="1">
        <f t="array" ref="H26">Common_InputFunctions.Utility_DisplayArrayInTable(SourceData_PastureBeef.SourceData_PastureBeef_Liveweight_Data(), Table_SourceData_PastureBeef_Liveweight[[#Headers],[State]], 0)</f>
        <v>700</v>
      </c>
      <c r="I26" s="20" cm="1">
        <f t="array" ref="I26">Common_InputFunctions.Utility_DisplayArrayInTable(SourceData_PastureBeef.SourceData_PastureBeef_Liveweight_Data(), Table_SourceData_PastureBeef_Liveweight[[#Headers],[State]], 0)</f>
        <v>140</v>
      </c>
      <c r="J26" s="20" cm="1">
        <f t="array" ref="J26">Common_InputFunctions.Utility_DisplayArrayInTable(SourceData_PastureBeef.SourceData_PastureBeef_Liveweight_Data(), Table_SourceData_PastureBeef_Liveweight[[#Headers],[State]], 0)</f>
        <v>350</v>
      </c>
      <c r="K26" s="20" cm="1">
        <f t="array" ref="K26">Common_InputFunctions.Utility_DisplayArrayInTable(SourceData_PastureBeef.SourceData_PastureBeef_Liveweight_Data(), Table_SourceData_PastureBeef_Liveweight[[#Headers],[State]], 0)</f>
        <v>450</v>
      </c>
      <c r="L26" s="20" cm="1">
        <f t="array" ref="L26">Common_InputFunctions.Utility_DisplayArrayInTable(SourceData_PastureBeef.SourceData_PastureBeef_Liveweight_Data(), Table_SourceData_PastureBeef_Liveweight[[#Headers],[State]], 0)</f>
        <v>150</v>
      </c>
      <c r="M26" s="20" cm="1">
        <f t="array" ref="M26">Common_InputFunctions.Utility_DisplayArrayInTable(SourceData_PastureBeef.SourceData_PastureBeef_Liveweight_Data(), Table_SourceData_PastureBeef_Liveweight[[#Headers],[State]], 0)</f>
        <v>400</v>
      </c>
      <c r="O26" t="s">
        <v>332</v>
      </c>
    </row>
    <row r="27" spans="1:19" ht="20" customHeight="1" x14ac:dyDescent="0.25">
      <c r="D27" s="1" t="str" cm="1">
        <f t="array" ref="D27">Common_InputFunctions.Utility_DisplayArrayInTable(SourceData_PastureBeef.SourceData_PastureBeef_Liveweight_Data(), Table_SourceData_PastureBeef_Liveweight[[#Headers],[State]], 0)</f>
        <v>Tasmania</v>
      </c>
      <c r="E27" s="20" t="str" cm="1">
        <f t="array" ref="E27">Common_InputFunctions.Utility_DisplayArrayInTable(SourceData_PastureBeef.SourceData_PastureBeef_Liveweight_Data(), Table_SourceData_PastureBeef_Liveweight[[#Headers],[State]], 0)</f>
        <v>n/a</v>
      </c>
      <c r="F27" s="20" t="str" cm="1">
        <f t="array" ref="F27">Common_InputFunctions.Utility_DisplayArrayInTable(SourceData_PastureBeef.SourceData_PastureBeef_Liveweight_Data(), Table_SourceData_PastureBeef_Liveweight[[#Headers],[State]], 0)</f>
        <v>Spring</v>
      </c>
      <c r="G27" s="20" cm="1">
        <f t="array" ref="G27">Common_InputFunctions.Utility_DisplayArrayInTable(SourceData_PastureBeef.SourceData_PastureBeef_Liveweight_Data(), Table_SourceData_PastureBeef_Liveweight[[#Headers],[State]], 0)</f>
        <v>105</v>
      </c>
      <c r="H27" s="20" cm="1">
        <f t="array" ref="H27">Common_InputFunctions.Utility_DisplayArrayInTable(SourceData_PastureBeef.SourceData_PastureBeef_Liveweight_Data(), Table_SourceData_PastureBeef_Liveweight[[#Headers],[State]], 0)</f>
        <v>700</v>
      </c>
      <c r="I27" s="20" cm="1">
        <f t="array" ref="I27">Common_InputFunctions.Utility_DisplayArrayInTable(SourceData_PastureBeef.SourceData_PastureBeef_Liveweight_Data(), Table_SourceData_PastureBeef_Liveweight[[#Headers],[State]], 0)</f>
        <v>85</v>
      </c>
      <c r="J27" s="20" cm="1">
        <f t="array" ref="J27">Common_InputFunctions.Utility_DisplayArrayInTable(SourceData_PastureBeef.SourceData_PastureBeef_Liveweight_Data(), Table_SourceData_PastureBeef_Liveweight[[#Headers],[State]], 0)</f>
        <v>300</v>
      </c>
      <c r="K27" s="20" cm="1">
        <f t="array" ref="K27">Common_InputFunctions.Utility_DisplayArrayInTable(SourceData_PastureBeef.SourceData_PastureBeef_Liveweight_Data(), Table_SourceData_PastureBeef_Liveweight[[#Headers],[State]], 0)</f>
        <v>490</v>
      </c>
      <c r="L27" s="20" cm="1">
        <f t="array" ref="L27">Common_InputFunctions.Utility_DisplayArrayInTable(SourceData_PastureBeef.SourceData_PastureBeef_Liveweight_Data(), Table_SourceData_PastureBeef_Liveweight[[#Headers],[State]], 0)</f>
        <v>90</v>
      </c>
      <c r="M27" s="20" cm="1">
        <f t="array" ref="M27">Common_InputFunctions.Utility_DisplayArrayInTable(SourceData_PastureBeef.SourceData_PastureBeef_Liveweight_Data(), Table_SourceData_PastureBeef_Liveweight[[#Headers],[State]], 0)</f>
        <v>480</v>
      </c>
      <c r="O27" t="s">
        <v>333</v>
      </c>
      <c r="S27" s="20" t="s">
        <v>490</v>
      </c>
    </row>
    <row r="28" spans="1:19" ht="20" customHeight="1" x14ac:dyDescent="0.25">
      <c r="A28" s="6" t="s">
        <v>2</v>
      </c>
      <c r="D28" s="1" t="str" cm="1">
        <f t="array" ref="D28">Common_InputFunctions.Utility_DisplayArrayInTable(SourceData_PastureBeef.SourceData_PastureBeef_Liveweight_Data(), Table_SourceData_PastureBeef_Liveweight[[#Headers],[State]], 0)</f>
        <v>Tasmania</v>
      </c>
      <c r="E28" s="20" t="str" cm="1">
        <f t="array" ref="E28">Common_InputFunctions.Utility_DisplayArrayInTable(SourceData_PastureBeef.SourceData_PastureBeef_Liveweight_Data(), Table_SourceData_PastureBeef_Liveweight[[#Headers],[State]], 0)</f>
        <v>n/a</v>
      </c>
      <c r="F28" s="20" t="str" cm="1">
        <f t="array" ref="F28">Common_InputFunctions.Utility_DisplayArrayInTable(SourceData_PastureBeef.SourceData_PastureBeef_Liveweight_Data(), Table_SourceData_PastureBeef_Liveweight[[#Headers],[State]], 0)</f>
        <v>Summer</v>
      </c>
      <c r="G28" s="20" cm="1">
        <f t="array" ref="G28">Common_InputFunctions.Utility_DisplayArrayInTable(SourceData_PastureBeef.SourceData_PastureBeef_Liveweight_Data(), Table_SourceData_PastureBeef_Liveweight[[#Headers],[State]], 0)</f>
        <v>480</v>
      </c>
      <c r="H28" s="20" cm="1">
        <f t="array" ref="H28">Common_InputFunctions.Utility_DisplayArrayInTable(SourceData_PastureBeef.SourceData_PastureBeef_Liveweight_Data(), Table_SourceData_PastureBeef_Liveweight[[#Headers],[State]], 0)</f>
        <v>750</v>
      </c>
      <c r="I28" s="20" cm="1">
        <f t="array" ref="I28">Common_InputFunctions.Utility_DisplayArrayInTable(SourceData_PastureBeef.SourceData_PastureBeef_Liveweight_Data(), Table_SourceData_PastureBeef_Liveweight[[#Headers],[State]], 0)</f>
        <v>150</v>
      </c>
      <c r="J28" s="20" cm="1">
        <f t="array" ref="J28">Common_InputFunctions.Utility_DisplayArrayInTable(SourceData_PastureBeef.SourceData_PastureBeef_Liveweight_Data(), Table_SourceData_PastureBeef_Liveweight[[#Headers],[State]], 0)</f>
        <v>350</v>
      </c>
      <c r="K28" s="20" cm="1">
        <f t="array" ref="K28">Common_InputFunctions.Utility_DisplayArrayInTable(SourceData_PastureBeef.SourceData_PastureBeef_Liveweight_Data(), Table_SourceData_PastureBeef_Liveweight[[#Headers],[State]], 0)</f>
        <v>530</v>
      </c>
      <c r="L28" s="20" cm="1">
        <f t="array" ref="L28">Common_InputFunctions.Utility_DisplayArrayInTable(SourceData_PastureBeef.SourceData_PastureBeef_Liveweight_Data(), Table_SourceData_PastureBeef_Liveweight[[#Headers],[State]], 0)</f>
        <v>160</v>
      </c>
      <c r="M28" s="20" cm="1">
        <f t="array" ref="M28">Common_InputFunctions.Utility_DisplayArrayInTable(SourceData_PastureBeef.SourceData_PastureBeef_Liveweight_Data(), Table_SourceData_PastureBeef_Liveweight[[#Headers],[State]], 0)</f>
        <v>460</v>
      </c>
      <c r="O28" t="s">
        <v>334</v>
      </c>
      <c r="S28" s="20" t="s">
        <v>494</v>
      </c>
    </row>
    <row r="29" spans="1:19" ht="20" customHeight="1" x14ac:dyDescent="0.25">
      <c r="A29" s="5" t="str">
        <f>HYPERLINK("#'3.2.1.1-2 Enteric Methane'!A1", "3.2.1.1-2 Enteric Methane")</f>
        <v>3.2.1.1-2 Enteric Methane</v>
      </c>
      <c r="D29" s="1" t="str" cm="1">
        <f t="array" ref="D29">Common_InputFunctions.Utility_DisplayArrayInTable(SourceData_PastureBeef.SourceData_PastureBeef_Liveweight_Data(), Table_SourceData_PastureBeef_Liveweight[[#Headers],[State]], 0)</f>
        <v>Tasmania</v>
      </c>
      <c r="E29" s="20" t="str" cm="1">
        <f t="array" ref="E29">Common_InputFunctions.Utility_DisplayArrayInTable(SourceData_PastureBeef.SourceData_PastureBeef_Liveweight_Data(), Table_SourceData_PastureBeef_Liveweight[[#Headers],[State]], 0)</f>
        <v>n/a</v>
      </c>
      <c r="F29" s="20" t="str" cm="1">
        <f t="array" ref="F29">Common_InputFunctions.Utility_DisplayArrayInTable(SourceData_PastureBeef.SourceData_PastureBeef_Liveweight_Data(), Table_SourceData_PastureBeef_Liveweight[[#Headers],[State]], 0)</f>
        <v>Autumn</v>
      </c>
      <c r="G29" s="20" cm="1">
        <f t="array" ref="G29">Common_InputFunctions.Utility_DisplayArrayInTable(SourceData_PastureBeef.SourceData_PastureBeef_Liveweight_Data(), Table_SourceData_PastureBeef_Liveweight[[#Headers],[State]], 0)</f>
        <v>250</v>
      </c>
      <c r="H29" s="20" cm="1">
        <f t="array" ref="H29">Common_InputFunctions.Utility_DisplayArrayInTable(SourceData_PastureBeef.SourceData_PastureBeef_Liveweight_Data(), Table_SourceData_PastureBeef_Liveweight[[#Headers],[State]], 0)</f>
        <v>725</v>
      </c>
      <c r="I29" s="20" cm="1">
        <f t="array" ref="I29">Common_InputFunctions.Utility_DisplayArrayInTable(SourceData_PastureBeef.SourceData_PastureBeef_Liveweight_Data(), Table_SourceData_PastureBeef_Liveweight[[#Headers],[State]], 0)</f>
        <v>200</v>
      </c>
      <c r="J29" s="20" cm="1">
        <f t="array" ref="J29">Common_InputFunctions.Utility_DisplayArrayInTable(SourceData_PastureBeef.SourceData_PastureBeef_Liveweight_Data(), Table_SourceData_PastureBeef_Liveweight[[#Headers],[State]], 0)</f>
        <v>360</v>
      </c>
      <c r="K29" s="20" cm="1">
        <f t="array" ref="K29">Common_InputFunctions.Utility_DisplayArrayInTable(SourceData_PastureBeef.SourceData_PastureBeef_Liveweight_Data(), Table_SourceData_PastureBeef_Liveweight[[#Headers],[State]], 0)</f>
        <v>500</v>
      </c>
      <c r="L29" s="20" cm="1">
        <f t="array" ref="L29">Common_InputFunctions.Utility_DisplayArrayInTable(SourceData_PastureBeef.SourceData_PastureBeef_Liveweight_Data(), Table_SourceData_PastureBeef_Liveweight[[#Headers],[State]], 0)</f>
        <v>215</v>
      </c>
      <c r="M29" s="20" cm="1">
        <f t="array" ref="M29">Common_InputFunctions.Utility_DisplayArrayInTable(SourceData_PastureBeef.SourceData_PastureBeef_Liveweight_Data(), Table_SourceData_PastureBeef_Liveweight[[#Headers],[State]], 0)</f>
        <v>490</v>
      </c>
    </row>
    <row r="30" spans="1:19" ht="20" customHeight="1" x14ac:dyDescent="0.25">
      <c r="A30" s="5" t="str">
        <f>HYPERLINK("#'4.2.1.1-2 Methane'!A1", "4.2.1.1-2 Manure methane")</f>
        <v>4.2.1.1-2 Manure methane</v>
      </c>
      <c r="D30" s="1" t="str" cm="1">
        <f t="array" ref="D30">Common_InputFunctions.Utility_DisplayArrayInTable(SourceData_PastureBeef.SourceData_PastureBeef_Liveweight_Data(), Table_SourceData_PastureBeef_Liveweight[[#Headers],[State]], 0)</f>
        <v>Tasmania</v>
      </c>
      <c r="E30" s="20" t="str" cm="1">
        <f t="array" ref="E30">Common_InputFunctions.Utility_DisplayArrayInTable(SourceData_PastureBeef.SourceData_PastureBeef_Liveweight_Data(), Table_SourceData_PastureBeef_Liveweight[[#Headers],[State]], 0)</f>
        <v>n/a</v>
      </c>
      <c r="F30" s="20" t="str" cm="1">
        <f t="array" ref="F30">Common_InputFunctions.Utility_DisplayArrayInTable(SourceData_PastureBeef.SourceData_PastureBeef_Liveweight_Data(), Table_SourceData_PastureBeef_Liveweight[[#Headers],[State]], 0)</f>
        <v>Winter</v>
      </c>
      <c r="G30" s="20" cm="1">
        <f t="array" ref="G30">Common_InputFunctions.Utility_DisplayArrayInTable(SourceData_PastureBeef.SourceData_PastureBeef_Liveweight_Data(), Table_SourceData_PastureBeef_Liveweight[[#Headers],[State]], 0)</f>
        <v>260</v>
      </c>
      <c r="H30" s="20" cm="1">
        <f t="array" ref="H30">Common_InputFunctions.Utility_DisplayArrayInTable(SourceData_PastureBeef.SourceData_PastureBeef_Liveweight_Data(), Table_SourceData_PastureBeef_Liveweight[[#Headers],[State]], 0)</f>
        <v>700</v>
      </c>
      <c r="I30" s="20" cm="1">
        <f t="array" ref="I30">Common_InputFunctions.Utility_DisplayArrayInTable(SourceData_PastureBeef.SourceData_PastureBeef_Liveweight_Data(), Table_SourceData_PastureBeef_Liveweight[[#Headers],[State]], 0)</f>
        <v>210</v>
      </c>
      <c r="J30" s="20" cm="1">
        <f t="array" ref="J30">Common_InputFunctions.Utility_DisplayArrayInTable(SourceData_PastureBeef.SourceData_PastureBeef_Liveweight_Data(), Table_SourceData_PastureBeef_Liveweight[[#Headers],[State]], 0)</f>
        <v>380</v>
      </c>
      <c r="K30" s="20" cm="1">
        <f t="array" ref="K30">Common_InputFunctions.Utility_DisplayArrayInTable(SourceData_PastureBeef.SourceData_PastureBeef_Liveweight_Data(), Table_SourceData_PastureBeef_Liveweight[[#Headers],[State]], 0)</f>
        <v>460</v>
      </c>
      <c r="L30" s="20" cm="1">
        <f t="array" ref="L30">Common_InputFunctions.Utility_DisplayArrayInTable(SourceData_PastureBeef.SourceData_PastureBeef_Liveweight_Data(), Table_SourceData_PastureBeef_Liveweight[[#Headers],[State]], 0)</f>
        <v>230</v>
      </c>
      <c r="M30" s="20" cm="1">
        <f t="array" ref="M30">Common_InputFunctions.Utility_DisplayArrayInTable(SourceData_PastureBeef.SourceData_PastureBeef_Liveweight_Data(), Table_SourceData_PastureBeef_Liveweight[[#Headers],[State]], 0)</f>
        <v>470</v>
      </c>
    </row>
    <row r="31" spans="1:19" ht="20" customHeight="1" x14ac:dyDescent="0.25">
      <c r="A31" s="5" t="str">
        <f>HYPERLINK("#'4.2.1.3-4 Soil direct N20'!A1", "4.2.1.3-4 Soil direct N2O")</f>
        <v>4.2.1.3-4 Soil direct N2O</v>
      </c>
      <c r="D31" s="1" t="str" cm="1">
        <f t="array" ref="D31">Common_InputFunctions.Utility_DisplayArrayInTable(SourceData_PastureBeef.SourceData_PastureBeef_Liveweight_Data(), Table_SourceData_PastureBeef_Liveweight[[#Headers],[State]], 0)</f>
        <v>Victoria</v>
      </c>
      <c r="E31" s="20" t="str" cm="1">
        <f t="array" ref="E31">Common_InputFunctions.Utility_DisplayArrayInTable(SourceData_PastureBeef.SourceData_PastureBeef_Liveweight_Data(), Table_SourceData_PastureBeef_Liveweight[[#Headers],[State]], 0)</f>
        <v>n/a</v>
      </c>
      <c r="F31" s="20" t="str" cm="1">
        <f t="array" ref="F31">Common_InputFunctions.Utility_DisplayArrayInTable(SourceData_PastureBeef.SourceData_PastureBeef_Liveweight_Data(), Table_SourceData_PastureBeef_Liveweight[[#Headers],[State]], 0)</f>
        <v>Spring</v>
      </c>
      <c r="G31" s="20" cm="1">
        <f t="array" ref="G31">Common_InputFunctions.Utility_DisplayArrayInTable(SourceData_PastureBeef.SourceData_PastureBeef_Liveweight_Data(), Table_SourceData_PastureBeef_Liveweight[[#Headers],[State]], 0)</f>
        <v>250</v>
      </c>
      <c r="H31" s="20" cm="1">
        <f t="array" ref="H31">Common_InputFunctions.Utility_DisplayArrayInTable(SourceData_PastureBeef.SourceData_PastureBeef_Liveweight_Data(), Table_SourceData_PastureBeef_Liveweight[[#Headers],[State]], 0)</f>
        <v>820</v>
      </c>
      <c r="I31" s="20" cm="1">
        <f t="array" ref="I31">Common_InputFunctions.Utility_DisplayArrayInTable(SourceData_PastureBeef.SourceData_PastureBeef_Liveweight_Data(), Table_SourceData_PastureBeef_Liveweight[[#Headers],[State]], 0)</f>
        <v>240</v>
      </c>
      <c r="J31" s="20" cm="1">
        <f t="array" ref="J31">Common_InputFunctions.Utility_DisplayArrayInTable(SourceData_PastureBeef.SourceData_PastureBeef_Liveweight_Data(), Table_SourceData_PastureBeef_Liveweight[[#Headers],[State]], 0)</f>
        <v>410</v>
      </c>
      <c r="K31" s="20" cm="1">
        <f t="array" ref="K31">Common_InputFunctions.Utility_DisplayArrayInTable(SourceData_PastureBeef.SourceData_PastureBeef_Liveweight_Data(), Table_SourceData_PastureBeef_Liveweight[[#Headers],[State]], 0)</f>
        <v>560</v>
      </c>
      <c r="L31" s="20" cm="1">
        <f t="array" ref="L31">Common_InputFunctions.Utility_DisplayArrayInTable(SourceData_PastureBeef.SourceData_PastureBeef_Liveweight_Data(), Table_SourceData_PastureBeef_Liveweight[[#Headers],[State]], 0)</f>
        <v>240</v>
      </c>
      <c r="M31" s="20" cm="1">
        <f t="array" ref="M31">Common_InputFunctions.Utility_DisplayArrayInTable(SourceData_PastureBeef.SourceData_PastureBeef_Liveweight_Data(), Table_SourceData_PastureBeef_Liveweight[[#Headers],[State]], 0)</f>
        <v>510</v>
      </c>
      <c r="O31" s="1" t="s">
        <v>518</v>
      </c>
    </row>
    <row r="32" spans="1:19" ht="20" customHeight="1" x14ac:dyDescent="0.25">
      <c r="A32" s="5" t="str">
        <f>HYPERLINK("#'4.2.1.5-6 Soil Atmos Dep'!A1", "4.2.1.5-6 Soil atm. deposition")</f>
        <v>4.2.1.5-6 Soil atm. deposition</v>
      </c>
      <c r="D32" s="1" t="str" cm="1">
        <f t="array" ref="D32">Common_InputFunctions.Utility_DisplayArrayInTable(SourceData_PastureBeef.SourceData_PastureBeef_Liveweight_Data(), Table_SourceData_PastureBeef_Liveweight[[#Headers],[State]], 0)</f>
        <v>Victoria</v>
      </c>
      <c r="E32" s="20" t="str" cm="1">
        <f t="array" ref="E32">Common_InputFunctions.Utility_DisplayArrayInTable(SourceData_PastureBeef.SourceData_PastureBeef_Liveweight_Data(), Table_SourceData_PastureBeef_Liveweight[[#Headers],[State]], 0)</f>
        <v>n/a</v>
      </c>
      <c r="F32" s="20" t="str" cm="1">
        <f t="array" ref="F32">Common_InputFunctions.Utility_DisplayArrayInTable(SourceData_PastureBeef.SourceData_PastureBeef_Liveweight_Data(), Table_SourceData_PastureBeef_Liveweight[[#Headers],[State]], 0)</f>
        <v>Summer</v>
      </c>
      <c r="G32" s="20" cm="1">
        <f t="array" ref="G32">Common_InputFunctions.Utility_DisplayArrayInTable(SourceData_PastureBeef.SourceData_PastureBeef_Liveweight_Data(), Table_SourceData_PastureBeef_Liveweight[[#Headers],[State]], 0)</f>
        <v>280</v>
      </c>
      <c r="H32" s="20" cm="1">
        <f t="array" ref="H32">Common_InputFunctions.Utility_DisplayArrayInTable(SourceData_PastureBeef.SourceData_PastureBeef_Liveweight_Data(), Table_SourceData_PastureBeef_Liveweight[[#Headers],[State]], 0)</f>
        <v>850</v>
      </c>
      <c r="I32" s="20" cm="1">
        <f t="array" ref="I32">Common_InputFunctions.Utility_DisplayArrayInTable(SourceData_PastureBeef.SourceData_PastureBeef_Liveweight_Data(), Table_SourceData_PastureBeef_Liveweight[[#Headers],[State]], 0)</f>
        <v>260</v>
      </c>
      <c r="J32" s="20" cm="1">
        <f t="array" ref="J32">Common_InputFunctions.Utility_DisplayArrayInTable(SourceData_PastureBeef.SourceData_PastureBeef_Liveweight_Data(), Table_SourceData_PastureBeef_Liveweight[[#Headers],[State]], 0)</f>
        <v>440</v>
      </c>
      <c r="K32" s="20" cm="1">
        <f t="array" ref="K32">Common_InputFunctions.Utility_DisplayArrayInTable(SourceData_PastureBeef.SourceData_PastureBeef_Liveweight_Data(), Table_SourceData_PastureBeef_Liveweight[[#Headers],[State]], 0)</f>
        <v>550</v>
      </c>
      <c r="L32" s="20" cm="1">
        <f t="array" ref="L32">Common_InputFunctions.Utility_DisplayArrayInTable(SourceData_PastureBeef.SourceData_PastureBeef_Liveweight_Data(), Table_SourceData_PastureBeef_Liveweight[[#Headers],[State]], 0)</f>
        <v>270</v>
      </c>
      <c r="M32" s="20" cm="1">
        <f t="array" ref="M32">Common_InputFunctions.Utility_DisplayArrayInTable(SourceData_PastureBeef.SourceData_PastureBeef_Liveweight_Data(), Table_SourceData_PastureBeef_Liveweight[[#Headers],[State]], 0)</f>
        <v>520</v>
      </c>
      <c r="O32" s="20" t="s">
        <v>490</v>
      </c>
      <c r="P32" s="20" t="s">
        <v>519</v>
      </c>
    </row>
    <row r="33" spans="1:16" ht="20" customHeight="1" x14ac:dyDescent="0.25">
      <c r="A33" s="5" t="str">
        <f>HYPERLINK("#'4.2.1.7-8 Soil leach runoff'!A1", "4.2.1.7-8 Soil leach &amp; runoff")</f>
        <v>4.2.1.7-8 Soil leach &amp; runoff</v>
      </c>
      <c r="D33" s="1" t="str" cm="1">
        <f t="array" ref="D33">Common_InputFunctions.Utility_DisplayArrayInTable(SourceData_PastureBeef.SourceData_PastureBeef_Liveweight_Data(), Table_SourceData_PastureBeef_Liveweight[[#Headers],[State]], 0)</f>
        <v>Victoria</v>
      </c>
      <c r="E33" s="20" t="str" cm="1">
        <f t="array" ref="E33">Common_InputFunctions.Utility_DisplayArrayInTable(SourceData_PastureBeef.SourceData_PastureBeef_Liveweight_Data(), Table_SourceData_PastureBeef_Liveweight[[#Headers],[State]], 0)</f>
        <v>n/a</v>
      </c>
      <c r="F33" s="20" t="str" cm="1">
        <f t="array" ref="F33">Common_InputFunctions.Utility_DisplayArrayInTable(SourceData_PastureBeef.SourceData_PastureBeef_Liveweight_Data(), Table_SourceData_PastureBeef_Liveweight[[#Headers],[State]], 0)</f>
        <v>Autumn</v>
      </c>
      <c r="G33" s="20" cm="1">
        <f t="array" ref="G33">Common_InputFunctions.Utility_DisplayArrayInTable(SourceData_PastureBeef.SourceData_PastureBeef_Liveweight_Data(), Table_SourceData_PastureBeef_Liveweight[[#Headers],[State]], 0)</f>
        <v>100</v>
      </c>
      <c r="H33" s="20" cm="1">
        <f t="array" ref="H33">Common_InputFunctions.Utility_DisplayArrayInTable(SourceData_PastureBeef.SourceData_PastureBeef_Liveweight_Data(), Table_SourceData_PastureBeef_Liveweight[[#Headers],[State]], 0)</f>
        <v>700</v>
      </c>
      <c r="I33" s="20" cm="1">
        <f t="array" ref="I33">Common_InputFunctions.Utility_DisplayArrayInTable(SourceData_PastureBeef.SourceData_PastureBeef_Liveweight_Data(), Table_SourceData_PastureBeef_Liveweight[[#Headers],[State]], 0)</f>
        <v>95</v>
      </c>
      <c r="J33" s="20" cm="1">
        <f t="array" ref="J33">Common_InputFunctions.Utility_DisplayArrayInTable(SourceData_PastureBeef.SourceData_PastureBeef_Liveweight_Data(), Table_SourceData_PastureBeef_Liveweight[[#Headers],[State]], 0)</f>
        <v>300</v>
      </c>
      <c r="K33" s="20" cm="1">
        <f t="array" ref="K33">Common_InputFunctions.Utility_DisplayArrayInTable(SourceData_PastureBeef.SourceData_PastureBeef_Liveweight_Data(), Table_SourceData_PastureBeef_Liveweight[[#Headers],[State]], 0)</f>
        <v>450</v>
      </c>
      <c r="L33" s="20" cm="1">
        <f t="array" ref="L33">Common_InputFunctions.Utility_DisplayArrayInTable(SourceData_PastureBeef.SourceData_PastureBeef_Liveweight_Data(), Table_SourceData_PastureBeef_Liveweight[[#Headers],[State]], 0)</f>
        <v>95</v>
      </c>
      <c r="M33" s="20" cm="1">
        <f t="array" ref="M33">Common_InputFunctions.Utility_DisplayArrayInTable(SourceData_PastureBeef.SourceData_PastureBeef_Liveweight_Data(), Table_SourceData_PastureBeef_Liveweight[[#Headers],[State]], 0)</f>
        <v>410</v>
      </c>
      <c r="O33" s="20" t="s">
        <v>520</v>
      </c>
      <c r="P33" s="20" t="s">
        <v>521</v>
      </c>
    </row>
    <row r="34" spans="1:16" ht="20" customHeight="1" x14ac:dyDescent="0.25">
      <c r="A34" s="5" t="str">
        <f>HYPERLINK("#'5.1.1.1-2 Inorganic fert N2O'!A1", "5.1.1.1-2 Inorganic fert N2O")</f>
        <v>5.1.1.1-2 Inorganic fert N2O</v>
      </c>
      <c r="D34" s="1" t="str" cm="1">
        <f t="array" ref="D34">Common_InputFunctions.Utility_DisplayArrayInTable(SourceData_PastureBeef.SourceData_PastureBeef_Liveweight_Data(), Table_SourceData_PastureBeef_Liveweight[[#Headers],[State]], 0)</f>
        <v>Victoria</v>
      </c>
      <c r="E34" s="20" t="str" cm="1">
        <f t="array" ref="E34">Common_InputFunctions.Utility_DisplayArrayInTable(SourceData_PastureBeef.SourceData_PastureBeef_Liveweight_Data(), Table_SourceData_PastureBeef_Liveweight[[#Headers],[State]], 0)</f>
        <v>n/a</v>
      </c>
      <c r="F34" s="20" t="str" cm="1">
        <f t="array" ref="F34">Common_InputFunctions.Utility_DisplayArrayInTable(SourceData_PastureBeef.SourceData_PastureBeef_Liveweight_Data(), Table_SourceData_PastureBeef_Liveweight[[#Headers],[State]], 0)</f>
        <v>Winter</v>
      </c>
      <c r="G34" s="20" cm="1">
        <f t="array" ref="G34">Common_InputFunctions.Utility_DisplayArrayInTable(SourceData_PastureBeef.SourceData_PastureBeef_Liveweight_Data(), Table_SourceData_PastureBeef_Liveweight[[#Headers],[State]], 0)</f>
        <v>150</v>
      </c>
      <c r="H34" s="20" cm="1">
        <f t="array" ref="H34">Common_InputFunctions.Utility_DisplayArrayInTable(SourceData_PastureBeef.SourceData_PastureBeef_Liveweight_Data(), Table_SourceData_PastureBeef_Liveweight[[#Headers],[State]], 0)</f>
        <v>720</v>
      </c>
      <c r="I34" s="20" cm="1">
        <f t="array" ref="I34">Common_InputFunctions.Utility_DisplayArrayInTable(SourceData_PastureBeef.SourceData_PastureBeef_Liveweight_Data(), Table_SourceData_PastureBeef_Liveweight[[#Headers],[State]], 0)</f>
        <v>140</v>
      </c>
      <c r="J34" s="20" cm="1">
        <f t="array" ref="J34">Common_InputFunctions.Utility_DisplayArrayInTable(SourceData_PastureBeef.SourceData_PastureBeef_Liveweight_Data(), Table_SourceData_PastureBeef_Liveweight[[#Headers],[State]], 0)</f>
        <v>320</v>
      </c>
      <c r="K34" s="20" cm="1">
        <f t="array" ref="K34">Common_InputFunctions.Utility_DisplayArrayInTable(SourceData_PastureBeef.SourceData_PastureBeef_Liveweight_Data(), Table_SourceData_PastureBeef_Liveweight[[#Headers],[State]], 0)</f>
        <v>470</v>
      </c>
      <c r="L34" s="20" cm="1">
        <f t="array" ref="L34">Common_InputFunctions.Utility_DisplayArrayInTable(SourceData_PastureBeef.SourceData_PastureBeef_Liveweight_Data(), Table_SourceData_PastureBeef_Liveweight[[#Headers],[State]], 0)</f>
        <v>140</v>
      </c>
      <c r="M34" s="20" cm="1">
        <f t="array" ref="M34">Common_InputFunctions.Utility_DisplayArrayInTable(SourceData_PastureBeef.SourceData_PastureBeef_Liveweight_Data(), Table_SourceData_PastureBeef_Liveweight[[#Headers],[State]], 0)</f>
        <v>440</v>
      </c>
      <c r="O34" s="20" t="s">
        <v>521</v>
      </c>
      <c r="P34" s="20" t="s">
        <v>521</v>
      </c>
    </row>
    <row r="35" spans="1:16" ht="20" customHeight="1" x14ac:dyDescent="0.25">
      <c r="A35" s="5" t="str">
        <f>HYPERLINK("#'5.1.1.3-4 Inorganic fert CO2'!A1", "5.1.1.3-4 Inorganic fert CO2")</f>
        <v>5.1.1.3-4 Inorganic fert CO2</v>
      </c>
      <c r="D35" s="1" t="str" cm="1">
        <f t="array" ref="D35">Common_InputFunctions.Utility_DisplayArrayInTable(SourceData_PastureBeef.SourceData_PastureBeef_Liveweight_Data(), Table_SourceData_PastureBeef_Liveweight[[#Headers],[State]], 0)</f>
        <v>Western Australia</v>
      </c>
      <c r="E35" s="20" t="str" cm="1">
        <f t="array" ref="E35">Common_InputFunctions.Utility_DisplayArrayInTable(SourceData_PastureBeef.SourceData_PastureBeef_Liveweight_Data(), Table_SourceData_PastureBeef_Liveweight[[#Headers],[State]], 0)</f>
        <v>South West</v>
      </c>
      <c r="F35" s="20" t="str" cm="1">
        <f t="array" ref="F35">Common_InputFunctions.Utility_DisplayArrayInTable(SourceData_PastureBeef.SourceData_PastureBeef_Liveweight_Data(), Table_SourceData_PastureBeef_Liveweight[[#Headers],[State]], 0)</f>
        <v>Spring</v>
      </c>
      <c r="G35" s="20" cm="1">
        <f t="array" ref="G35">Common_InputFunctions.Utility_DisplayArrayInTable(SourceData_PastureBeef.SourceData_PastureBeef_Liveweight_Data(), Table_SourceData_PastureBeef_Liveweight[[#Headers],[State]], 0)</f>
        <v>340</v>
      </c>
      <c r="H35" s="20" cm="1">
        <f t="array" ref="H35">Common_InputFunctions.Utility_DisplayArrayInTable(SourceData_PastureBeef.SourceData_PastureBeef_Liveweight_Data(), Table_SourceData_PastureBeef_Liveweight[[#Headers],[State]], 0)</f>
        <v>800</v>
      </c>
      <c r="I35" s="20" cm="1">
        <f t="array" ref="I35">Common_InputFunctions.Utility_DisplayArrayInTable(SourceData_PastureBeef.SourceData_PastureBeef_Liveweight_Data(), Table_SourceData_PastureBeef_Liveweight[[#Headers],[State]], 0)</f>
        <v>260</v>
      </c>
      <c r="J35" s="20" cm="1">
        <f t="array" ref="J35">Common_InputFunctions.Utility_DisplayArrayInTable(SourceData_PastureBeef.SourceData_PastureBeef_Liveweight_Data(), Table_SourceData_PastureBeef_Liveweight[[#Headers],[State]], 0)</f>
        <v>420</v>
      </c>
      <c r="K35" s="20" cm="1">
        <f t="array" ref="K35">Common_InputFunctions.Utility_DisplayArrayInTable(SourceData_PastureBeef.SourceData_PastureBeef_Liveweight_Data(), Table_SourceData_PastureBeef_Liveweight[[#Headers],[State]], 0)</f>
        <v>550</v>
      </c>
      <c r="L35" s="20" cm="1">
        <f t="array" ref="L35">Common_InputFunctions.Utility_DisplayArrayInTable(SourceData_PastureBeef.SourceData_PastureBeef_Liveweight_Data(), Table_SourceData_PastureBeef_Liveweight[[#Headers],[State]], 0)</f>
        <v>300</v>
      </c>
      <c r="M35" s="20" cm="1">
        <f t="array" ref="M35">Common_InputFunctions.Utility_DisplayArrayInTable(SourceData_PastureBeef.SourceData_PastureBeef_Liveweight_Data(), Table_SourceData_PastureBeef_Liveweight[[#Headers],[State]], 0)</f>
        <v>480</v>
      </c>
      <c r="O35" s="20" t="s">
        <v>522</v>
      </c>
      <c r="P35" s="20" t="s">
        <v>522</v>
      </c>
    </row>
    <row r="36" spans="1:16" ht="20" customHeight="1" x14ac:dyDescent="0.25">
      <c r="A36" s="5" t="str">
        <f>HYPERLINK("#'5.2.1.1-2 Organic Fert N2O'!A1", "5.2.1.1-2 Organic fert N2O")</f>
        <v>5.2.1.1-2 Organic fert N2O</v>
      </c>
      <c r="D36" s="1" t="str" cm="1">
        <f t="array" ref="D36">Common_InputFunctions.Utility_DisplayArrayInTable(SourceData_PastureBeef.SourceData_PastureBeef_Liveweight_Data(), Table_SourceData_PastureBeef_Liveweight[[#Headers],[State]], 0)</f>
        <v>Western Australia</v>
      </c>
      <c r="E36" s="20" t="str" cm="1">
        <f t="array" ref="E36">Common_InputFunctions.Utility_DisplayArrayInTable(SourceData_PastureBeef.SourceData_PastureBeef_Liveweight_Data(), Table_SourceData_PastureBeef_Liveweight[[#Headers],[State]], 0)</f>
        <v>South West</v>
      </c>
      <c r="F36" s="20" t="str" cm="1">
        <f t="array" ref="F36">Common_InputFunctions.Utility_DisplayArrayInTable(SourceData_PastureBeef.SourceData_PastureBeef_Liveweight_Data(), Table_SourceData_PastureBeef_Liveweight[[#Headers],[State]], 0)</f>
        <v>Summer</v>
      </c>
      <c r="G36" s="20" cm="1">
        <f t="array" ref="G36">Common_InputFunctions.Utility_DisplayArrayInTable(SourceData_PastureBeef.SourceData_PastureBeef_Liveweight_Data(), Table_SourceData_PastureBeef_Liveweight[[#Headers],[State]], 0)</f>
        <v>380</v>
      </c>
      <c r="H36" s="20" cm="1">
        <f t="array" ref="H36">Common_InputFunctions.Utility_DisplayArrayInTable(SourceData_PastureBeef.SourceData_PastureBeef_Liveweight_Data(), Table_SourceData_PastureBeef_Liveweight[[#Headers],[State]], 0)</f>
        <v>780</v>
      </c>
      <c r="I36" s="20" cm="1">
        <f t="array" ref="I36">Common_InputFunctions.Utility_DisplayArrayInTable(SourceData_PastureBeef.SourceData_PastureBeef_Liveweight_Data(), Table_SourceData_PastureBeef_Liveweight[[#Headers],[State]], 0)</f>
        <v>300</v>
      </c>
      <c r="J36" s="20" cm="1">
        <f t="array" ref="J36">Common_InputFunctions.Utility_DisplayArrayInTable(SourceData_PastureBeef.SourceData_PastureBeef_Liveweight_Data(), Table_SourceData_PastureBeef_Liveweight[[#Headers],[State]], 0)</f>
        <v>450</v>
      </c>
      <c r="K36" s="20" cm="1">
        <f t="array" ref="K36">Common_InputFunctions.Utility_DisplayArrayInTable(SourceData_PastureBeef.SourceData_PastureBeef_Liveweight_Data(), Table_SourceData_PastureBeef_Liveweight[[#Headers],[State]], 0)</f>
        <v>530</v>
      </c>
      <c r="L36" s="20" cm="1">
        <f t="array" ref="L36">Common_InputFunctions.Utility_DisplayArrayInTable(SourceData_PastureBeef.SourceData_PastureBeef_Liveweight_Data(), Table_SourceData_PastureBeef_Liveweight[[#Headers],[State]], 0)</f>
        <v>340</v>
      </c>
      <c r="M36" s="20" cm="1">
        <f t="array" ref="M36">Common_InputFunctions.Utility_DisplayArrayInTable(SourceData_PastureBeef.SourceData_PastureBeef_Liveweight_Data(), Table_SourceData_PastureBeef_Liveweight[[#Headers],[State]], 0)</f>
        <v>470</v>
      </c>
      <c r="O36" s="20" t="s">
        <v>523</v>
      </c>
      <c r="P36" s="20" t="s">
        <v>523</v>
      </c>
    </row>
    <row r="37" spans="1:16" ht="20" customHeight="1" x14ac:dyDescent="0.25">
      <c r="A37" s="5" t="str">
        <f>HYPERLINK("#'5.3.1.1-2 Lime CO2'!A1", "5.3.1.1-2 Lime CO2")</f>
        <v>5.3.1.1-2 Lime CO2</v>
      </c>
      <c r="D37" s="1" t="str" cm="1">
        <f t="array" ref="D37">Common_InputFunctions.Utility_DisplayArrayInTable(SourceData_PastureBeef.SourceData_PastureBeef_Liveweight_Data(), Table_SourceData_PastureBeef_Liveweight[[#Headers],[State]], 0)</f>
        <v>Western Australia</v>
      </c>
      <c r="E37" s="20" t="str" cm="1">
        <f t="array" ref="E37">Common_InputFunctions.Utility_DisplayArrayInTable(SourceData_PastureBeef.SourceData_PastureBeef_Liveweight_Data(), Table_SourceData_PastureBeef_Liveweight[[#Headers],[State]], 0)</f>
        <v>South West</v>
      </c>
      <c r="F37" s="20" t="str" cm="1">
        <f t="array" ref="F37">Common_InputFunctions.Utility_DisplayArrayInTable(SourceData_PastureBeef.SourceData_PastureBeef_Liveweight_Data(), Table_SourceData_PastureBeef_Liveweight[[#Headers],[State]], 0)</f>
        <v>Autumn</v>
      </c>
      <c r="G37" s="20" cm="1">
        <f t="array" ref="G37">Common_InputFunctions.Utility_DisplayArrayInTable(SourceData_PastureBeef.SourceData_PastureBeef_Liveweight_Data(), Table_SourceData_PastureBeef_Liveweight[[#Headers],[State]], 0)</f>
        <v>100</v>
      </c>
      <c r="H37" s="20" cm="1">
        <f t="array" ref="H37">Common_InputFunctions.Utility_DisplayArrayInTable(SourceData_PastureBeef.SourceData_PastureBeef_Liveweight_Data(), Table_SourceData_PastureBeef_Liveweight[[#Headers],[State]], 0)</f>
        <v>680</v>
      </c>
      <c r="I37" s="20" cm="1">
        <f t="array" ref="I37">Common_InputFunctions.Utility_DisplayArrayInTable(SourceData_PastureBeef.SourceData_PastureBeef_Liveweight_Data(), Table_SourceData_PastureBeef_Liveweight[[#Headers],[State]], 0)</f>
        <v>80</v>
      </c>
      <c r="J37" s="20" cm="1">
        <f t="array" ref="J37">Common_InputFunctions.Utility_DisplayArrayInTable(SourceData_PastureBeef.SourceData_PastureBeef_Liveweight_Data(), Table_SourceData_PastureBeef_Liveweight[[#Headers],[State]], 0)</f>
        <v>320</v>
      </c>
      <c r="K37" s="20" cm="1">
        <f t="array" ref="K37">Common_InputFunctions.Utility_DisplayArrayInTable(SourceData_PastureBeef.SourceData_PastureBeef_Liveweight_Data(), Table_SourceData_PastureBeef_Liveweight[[#Headers],[State]], 0)</f>
        <v>480</v>
      </c>
      <c r="L37" s="20" cm="1">
        <f t="array" ref="L37">Common_InputFunctions.Utility_DisplayArrayInTable(SourceData_PastureBeef.SourceData_PastureBeef_Liveweight_Data(), Table_SourceData_PastureBeef_Liveweight[[#Headers],[State]], 0)</f>
        <v>100</v>
      </c>
      <c r="M37" s="20" cm="1">
        <f t="array" ref="M37">Common_InputFunctions.Utility_DisplayArrayInTable(SourceData_PastureBeef.SourceData_PastureBeef_Liveweight_Data(), Table_SourceData_PastureBeef_Liveweight[[#Headers],[State]], 0)</f>
        <v>340</v>
      </c>
      <c r="O37" s="20" t="s">
        <v>524</v>
      </c>
      <c r="P37" s="20" t="s">
        <v>524</v>
      </c>
    </row>
    <row r="38" spans="1:16" ht="20" customHeight="1" x14ac:dyDescent="0.25">
      <c r="A38" s="5" t="str">
        <f>HYPERLINK("#'5.4.1.1-4 Atmos deposition'!A1", "5.4.1.1-4 Atmos. deposition")</f>
        <v>5.4.1.1-4 Atmos. deposition</v>
      </c>
      <c r="D38" s="1" t="str" cm="1">
        <f t="array" ref="D38">Common_InputFunctions.Utility_DisplayArrayInTable(SourceData_PastureBeef.SourceData_PastureBeef_Liveweight_Data(), Table_SourceData_PastureBeef_Liveweight[[#Headers],[State]], 0)</f>
        <v>Western Australia</v>
      </c>
      <c r="E38" s="20" t="str" cm="1">
        <f t="array" ref="E38">Common_InputFunctions.Utility_DisplayArrayInTable(SourceData_PastureBeef.SourceData_PastureBeef_Liveweight_Data(), Table_SourceData_PastureBeef_Liveweight[[#Headers],[State]], 0)</f>
        <v>South West</v>
      </c>
      <c r="F38" s="20" t="str" cm="1">
        <f t="array" ref="F38">Common_InputFunctions.Utility_DisplayArrayInTable(SourceData_PastureBeef.SourceData_PastureBeef_Liveweight_Data(), Table_SourceData_PastureBeef_Liveweight[[#Headers],[State]], 0)</f>
        <v>Winter</v>
      </c>
      <c r="G38" s="20" cm="1">
        <f t="array" ref="G38">Common_InputFunctions.Utility_DisplayArrayInTable(SourceData_PastureBeef.SourceData_PastureBeef_Liveweight_Data(), Table_SourceData_PastureBeef_Liveweight[[#Headers],[State]], 0)</f>
        <v>190</v>
      </c>
      <c r="H38" s="20" cm="1">
        <f t="array" ref="H38">Common_InputFunctions.Utility_DisplayArrayInTable(SourceData_PastureBeef.SourceData_PastureBeef_Liveweight_Data(), Table_SourceData_PastureBeef_Liveweight[[#Headers],[State]], 0)</f>
        <v>700</v>
      </c>
      <c r="I38" s="20" cm="1">
        <f t="array" ref="I38">Common_InputFunctions.Utility_DisplayArrayInTable(SourceData_PastureBeef.SourceData_PastureBeef_Liveweight_Data(), Table_SourceData_PastureBeef_Liveweight[[#Headers],[State]], 0)</f>
        <v>150</v>
      </c>
      <c r="J38" s="20" cm="1">
        <f t="array" ref="J38">Common_InputFunctions.Utility_DisplayArrayInTable(SourceData_PastureBeef.SourceData_PastureBeef_Liveweight_Data(), Table_SourceData_PastureBeef_Liveweight[[#Headers],[State]], 0)</f>
        <v>330</v>
      </c>
      <c r="K38" s="20" cm="1">
        <f t="array" ref="K38">Common_InputFunctions.Utility_DisplayArrayInTable(SourceData_PastureBeef.SourceData_PastureBeef_Liveweight_Data(), Table_SourceData_PastureBeef_Liveweight[[#Headers],[State]], 0)</f>
        <v>490</v>
      </c>
      <c r="L38" s="20" cm="1">
        <f t="array" ref="L38">Common_InputFunctions.Utility_DisplayArrayInTable(SourceData_PastureBeef.SourceData_PastureBeef_Liveweight_Data(), Table_SourceData_PastureBeef_Liveweight[[#Headers],[State]], 0)</f>
        <v>170</v>
      </c>
      <c r="M38" s="20" cm="1">
        <f t="array" ref="M38">Common_InputFunctions.Utility_DisplayArrayInTable(SourceData_PastureBeef.SourceData_PastureBeef_Liveweight_Data(), Table_SourceData_PastureBeef_Liveweight[[#Headers],[State]], 0)</f>
        <v>360</v>
      </c>
      <c r="O38" s="20" t="s">
        <v>525</v>
      </c>
      <c r="P38" s="20" t="s">
        <v>526</v>
      </c>
    </row>
    <row r="39" spans="1:16" ht="20" customHeight="1" x14ac:dyDescent="0.25">
      <c r="A39" s="5" t="str">
        <f>HYPERLINK("#'5.5.1.1-2 Leaching and runoff'!A1", "5.5.1.1-2 Leaching &amp; runoff")</f>
        <v>5.5.1.1-2 Leaching &amp; runoff</v>
      </c>
      <c r="D39" s="1" t="str" cm="1">
        <f t="array" ref="D39">Common_InputFunctions.Utility_DisplayArrayInTable(SourceData_PastureBeef.SourceData_PastureBeef_Liveweight_Data(), Table_SourceData_PastureBeef_Liveweight[[#Headers],[State]], 0)</f>
        <v>Western Australia</v>
      </c>
      <c r="E39" s="20" t="str" cm="1">
        <f t="array" ref="E39">Common_InputFunctions.Utility_DisplayArrayInTable(SourceData_PastureBeef.SourceData_PastureBeef_Liveweight_Data(), Table_SourceData_PastureBeef_Liveweight[[#Headers],[State]], 0)</f>
        <v>Pilbara</v>
      </c>
      <c r="F39" s="20" t="str" cm="1">
        <f t="array" ref="F39">Common_InputFunctions.Utility_DisplayArrayInTable(SourceData_PastureBeef.SourceData_PastureBeef_Liveweight_Data(), Table_SourceData_PastureBeef_Liveweight[[#Headers],[State]], 0)</f>
        <v>Spring</v>
      </c>
      <c r="G39" s="20" cm="1">
        <f t="array" ref="G39">Common_InputFunctions.Utility_DisplayArrayInTable(SourceData_PastureBeef.SourceData_PastureBeef_Liveweight_Data(), Table_SourceData_PastureBeef_Liveweight[[#Headers],[State]], 0)</f>
        <v>80</v>
      </c>
      <c r="H39" s="20" cm="1">
        <f t="array" ref="H39">Common_InputFunctions.Utility_DisplayArrayInTable(SourceData_PastureBeef.SourceData_PastureBeef_Liveweight_Data(), Table_SourceData_PastureBeef_Liveweight[[#Headers],[State]], 0)</f>
        <v>450</v>
      </c>
      <c r="I39" s="20" cm="1">
        <f t="array" ref="I39">Common_InputFunctions.Utility_DisplayArrayInTable(SourceData_PastureBeef.SourceData_PastureBeef_Liveweight_Data(), Table_SourceData_PastureBeef_Liveweight[[#Headers],[State]], 0)</f>
        <v>70</v>
      </c>
      <c r="J39" s="20" cm="1">
        <f t="array" ref="J39">Common_InputFunctions.Utility_DisplayArrayInTable(SourceData_PastureBeef.SourceData_PastureBeef_Liveweight_Data(), Table_SourceData_PastureBeef_Liveweight[[#Headers],[State]], 0)</f>
        <v>260</v>
      </c>
      <c r="K39" s="20" cm="1">
        <f t="array" ref="K39">Common_InputFunctions.Utility_DisplayArrayInTable(SourceData_PastureBeef.SourceData_PastureBeef_Liveweight_Data(), Table_SourceData_PastureBeef_Liveweight[[#Headers],[State]], 0)</f>
        <v>340</v>
      </c>
      <c r="L39" s="20" cm="1">
        <f t="array" ref="L39">Common_InputFunctions.Utility_DisplayArrayInTable(SourceData_PastureBeef.SourceData_PastureBeef_Liveweight_Data(), Table_SourceData_PastureBeef_Liveweight[[#Headers],[State]], 0)</f>
        <v>80</v>
      </c>
      <c r="M39" s="20" cm="1">
        <f t="array" ref="M39">Common_InputFunctions.Utility_DisplayArrayInTable(SourceData_PastureBeef.SourceData_PastureBeef_Liveweight_Data(), Table_SourceData_PastureBeef_Liveweight[[#Headers],[State]], 0)</f>
        <v>370</v>
      </c>
      <c r="O39" s="20" t="s">
        <v>527</v>
      </c>
      <c r="P39" s="20" t="s">
        <v>526</v>
      </c>
    </row>
    <row r="40" spans="1:16" ht="20" customHeight="1" x14ac:dyDescent="0.25">
      <c r="A40" s="5" t="str">
        <f>HYPERLINK("#'6.2.1.1-2 Pasture residue N2O'!A1", "6.2.1.1-2 Pasture residue N2O")</f>
        <v>6.2.1.1-2 Pasture residue N2O</v>
      </c>
      <c r="D40" s="1" t="str" cm="1">
        <f t="array" ref="D40">Common_InputFunctions.Utility_DisplayArrayInTable(SourceData_PastureBeef.SourceData_PastureBeef_Liveweight_Data(), Table_SourceData_PastureBeef_Liveweight[[#Headers],[State]], 0)</f>
        <v>Western Australia</v>
      </c>
      <c r="E40" s="20" t="str" cm="1">
        <f t="array" ref="E40">Common_InputFunctions.Utility_DisplayArrayInTable(SourceData_PastureBeef.SourceData_PastureBeef_Liveweight_Data(), Table_SourceData_PastureBeef_Liveweight[[#Headers],[State]], 0)</f>
        <v>Pilbara</v>
      </c>
      <c r="F40" s="20" t="str" cm="1">
        <f t="array" ref="F40">Common_InputFunctions.Utility_DisplayArrayInTable(SourceData_PastureBeef.SourceData_PastureBeef_Liveweight_Data(), Table_SourceData_PastureBeef_Liveweight[[#Headers],[State]], 0)</f>
        <v>Summer</v>
      </c>
      <c r="G40" s="20" cm="1">
        <f t="array" ref="G40">Common_InputFunctions.Utility_DisplayArrayInTable(SourceData_PastureBeef.SourceData_PastureBeef_Liveweight_Data(), Table_SourceData_PastureBeef_Liveweight[[#Headers],[State]], 0)</f>
        <v>150</v>
      </c>
      <c r="H40" s="20" cm="1">
        <f t="array" ref="H40">Common_InputFunctions.Utility_DisplayArrayInTable(SourceData_PastureBeef.SourceData_PastureBeef_Liveweight_Data(), Table_SourceData_PastureBeef_Liveweight[[#Headers],[State]], 0)</f>
        <v>500</v>
      </c>
      <c r="I40" s="20" cm="1">
        <f t="array" ref="I40">Common_InputFunctions.Utility_DisplayArrayInTable(SourceData_PastureBeef.SourceData_PastureBeef_Liveweight_Data(), Table_SourceData_PastureBeef_Liveweight[[#Headers],[State]], 0)</f>
        <v>140</v>
      </c>
      <c r="J40" s="20" cm="1">
        <f t="array" ref="J40">Common_InputFunctions.Utility_DisplayArrayInTable(SourceData_PastureBeef.SourceData_PastureBeef_Liveweight_Data(), Table_SourceData_PastureBeef_Liveweight[[#Headers],[State]], 0)</f>
        <v>310</v>
      </c>
      <c r="K40" s="20" cm="1">
        <f t="array" ref="K40">Common_InputFunctions.Utility_DisplayArrayInTable(SourceData_PastureBeef.SourceData_PastureBeef_Liveweight_Data(), Table_SourceData_PastureBeef_Liveweight[[#Headers],[State]], 0)</f>
        <v>360</v>
      </c>
      <c r="L40" s="20" cm="1">
        <f t="array" ref="L40">Common_InputFunctions.Utility_DisplayArrayInTable(SourceData_PastureBeef.SourceData_PastureBeef_Liveweight_Data(), Table_SourceData_PastureBeef_Liveweight[[#Headers],[State]], 0)</f>
        <v>150</v>
      </c>
      <c r="M40" s="20" cm="1">
        <f t="array" ref="M40">Common_InputFunctions.Utility_DisplayArrayInTable(SourceData_PastureBeef.SourceData_PastureBeef_Liveweight_Data(), Table_SourceData_PastureBeef_Liveweight[[#Headers],[State]], 0)</f>
        <v>400</v>
      </c>
      <c r="O40" s="20" t="s">
        <v>528</v>
      </c>
      <c r="P40" s="20" t="s">
        <v>526</v>
      </c>
    </row>
    <row r="41" spans="1:16" ht="20" customHeight="1" x14ac:dyDescent="0.25">
      <c r="A41" s="5" t="str">
        <f>HYPERLINK("#'6.3.1.1-2 Leach runoff pasture'!A1", "6.3.1.1-2 Leach &amp; runoff (pasture)")</f>
        <v>6.3.1.1-2 Leach &amp; runoff (pasture)</v>
      </c>
      <c r="D41" s="1" t="str" cm="1">
        <f t="array" ref="D41">Common_InputFunctions.Utility_DisplayArrayInTable(SourceData_PastureBeef.SourceData_PastureBeef_Liveweight_Data(), Table_SourceData_PastureBeef_Liveweight[[#Headers],[State]], 0)</f>
        <v>Western Australia</v>
      </c>
      <c r="E41" s="20" t="str" cm="1">
        <f t="array" ref="E41">Common_InputFunctions.Utility_DisplayArrayInTable(SourceData_PastureBeef.SourceData_PastureBeef_Liveweight_Data(), Table_SourceData_PastureBeef_Liveweight[[#Headers],[State]], 0)</f>
        <v>Pilbara</v>
      </c>
      <c r="F41" s="20" t="str" cm="1">
        <f t="array" ref="F41">Common_InputFunctions.Utility_DisplayArrayInTable(SourceData_PastureBeef.SourceData_PastureBeef_Liveweight_Data(), Table_SourceData_PastureBeef_Liveweight[[#Headers],[State]], 0)</f>
        <v>Autumn</v>
      </c>
      <c r="G41" s="20" cm="1">
        <f t="array" ref="G41">Common_InputFunctions.Utility_DisplayArrayInTable(SourceData_PastureBeef.SourceData_PastureBeef_Liveweight_Data(), Table_SourceData_PastureBeef_Liveweight[[#Headers],[State]], 0)</f>
        <v>230</v>
      </c>
      <c r="H41" s="20" cm="1">
        <f t="array" ref="H41">Common_InputFunctions.Utility_DisplayArrayInTable(SourceData_PastureBeef.SourceData_PastureBeef_Liveweight_Data(), Table_SourceData_PastureBeef_Liveweight[[#Headers],[State]], 0)</f>
        <v>550</v>
      </c>
      <c r="I41" s="20" cm="1">
        <f t="array" ref="I41">Common_InputFunctions.Utility_DisplayArrayInTable(SourceData_PastureBeef.SourceData_PastureBeef_Liveweight_Data(), Table_SourceData_PastureBeef_Liveweight[[#Headers],[State]], 0)</f>
        <v>220</v>
      </c>
      <c r="J41" s="20" cm="1">
        <f t="array" ref="J41">Common_InputFunctions.Utility_DisplayArrayInTable(SourceData_PastureBeef.SourceData_PastureBeef_Liveweight_Data(), Table_SourceData_PastureBeef_Liveweight[[#Headers],[State]], 0)</f>
        <v>330</v>
      </c>
      <c r="K41" s="20" cm="1">
        <f t="array" ref="K41">Common_InputFunctions.Utility_DisplayArrayInTable(SourceData_PastureBeef.SourceData_PastureBeef_Liveweight_Data(), Table_SourceData_PastureBeef_Liveweight[[#Headers],[State]], 0)</f>
        <v>380</v>
      </c>
      <c r="L41" s="20" cm="1">
        <f t="array" ref="L41">Common_InputFunctions.Utility_DisplayArrayInTable(SourceData_PastureBeef.SourceData_PastureBeef_Liveweight_Data(), Table_SourceData_PastureBeef_Liveweight[[#Headers],[State]], 0)</f>
        <v>230</v>
      </c>
      <c r="M41" s="20" cm="1">
        <f t="array" ref="M41">Common_InputFunctions.Utility_DisplayArrayInTable(SourceData_PastureBeef.SourceData_PastureBeef_Liveweight_Data(), Table_SourceData_PastureBeef_Liveweight[[#Headers],[State]], 0)</f>
        <v>420</v>
      </c>
      <c r="O41" s="20" t="s">
        <v>529</v>
      </c>
      <c r="P41" s="20" t="s">
        <v>530</v>
      </c>
    </row>
    <row r="42" spans="1:16" ht="20" customHeight="1" x14ac:dyDescent="0.25">
      <c r="A42" s="5" t="str">
        <f>HYPERLINK("#'8.1.1.1-2 Transport fuel'!A1", "8.1.1.1-2 Transport fuel")</f>
        <v>8.1.1.1-2 Transport fuel</v>
      </c>
      <c r="D42" s="1" t="str" cm="1">
        <f t="array" ref="D42">Common_InputFunctions.Utility_DisplayArrayInTable(SourceData_PastureBeef.SourceData_PastureBeef_Liveweight_Data(), Table_SourceData_PastureBeef_Liveweight[[#Headers],[State]], 0)</f>
        <v>Western Australia</v>
      </c>
      <c r="E42" s="20" t="str" cm="1">
        <f t="array" ref="E42">Common_InputFunctions.Utility_DisplayArrayInTable(SourceData_PastureBeef.SourceData_PastureBeef_Liveweight_Data(), Table_SourceData_PastureBeef_Liveweight[[#Headers],[State]], 0)</f>
        <v>Pilbara</v>
      </c>
      <c r="F42" s="20" t="str" cm="1">
        <f t="array" ref="F42">Common_InputFunctions.Utility_DisplayArrayInTable(SourceData_PastureBeef.SourceData_PastureBeef_Liveweight_Data(), Table_SourceData_PastureBeef_Liveweight[[#Headers],[State]], 0)</f>
        <v>Winter</v>
      </c>
      <c r="G42" s="20" cm="1">
        <f t="array" ref="G42">Common_InputFunctions.Utility_DisplayArrayInTable(SourceData_PastureBeef.SourceData_PastureBeef_Liveweight_Data(), Table_SourceData_PastureBeef_Liveweight[[#Headers],[State]], 0)</f>
        <v>250</v>
      </c>
      <c r="H42" s="20" cm="1">
        <f t="array" ref="H42">Common_InputFunctions.Utility_DisplayArrayInTable(SourceData_PastureBeef.SourceData_PastureBeef_Liveweight_Data(), Table_SourceData_PastureBeef_Liveweight[[#Headers],[State]], 0)</f>
        <v>500</v>
      </c>
      <c r="I42" s="20" cm="1">
        <f t="array" ref="I42">Common_InputFunctions.Utility_DisplayArrayInTable(SourceData_PastureBeef.SourceData_PastureBeef_Liveweight_Data(), Table_SourceData_PastureBeef_Liveweight[[#Headers],[State]], 0)</f>
        <v>240</v>
      </c>
      <c r="J42" s="20" cm="1">
        <f t="array" ref="J42">Common_InputFunctions.Utility_DisplayArrayInTable(SourceData_PastureBeef.SourceData_PastureBeef_Liveweight_Data(), Table_SourceData_PastureBeef_Liveweight[[#Headers],[State]], 0)</f>
        <v>340</v>
      </c>
      <c r="K42" s="20" cm="1">
        <f t="array" ref="K42">Common_InputFunctions.Utility_DisplayArrayInTable(SourceData_PastureBeef.SourceData_PastureBeef_Liveweight_Data(), Table_SourceData_PastureBeef_Liveweight[[#Headers],[State]], 0)</f>
        <v>360</v>
      </c>
      <c r="L42" s="20" cm="1">
        <f t="array" ref="L42">Common_InputFunctions.Utility_DisplayArrayInTable(SourceData_PastureBeef.SourceData_PastureBeef_Liveweight_Data(), Table_SourceData_PastureBeef_Liveweight[[#Headers],[State]], 0)</f>
        <v>250</v>
      </c>
      <c r="M42" s="20" cm="1">
        <f t="array" ref="M42">Common_InputFunctions.Utility_DisplayArrayInTable(SourceData_PastureBeef.SourceData_PastureBeef_Liveweight_Data(), Table_SourceData_PastureBeef_Liveweight[[#Headers],[State]], 0)</f>
        <v>390</v>
      </c>
      <c r="O42" s="20" t="s">
        <v>531</v>
      </c>
      <c r="P42" s="20" t="s">
        <v>530</v>
      </c>
    </row>
    <row r="43" spans="1:16" ht="20" customHeight="1" x14ac:dyDescent="0.25">
      <c r="A43" s="5" t="str">
        <f>HYPERLINK("#'8.2.1.1-2 Stationary fuel'!A1", "8.2.1.1-2 Stationary fuel")</f>
        <v>8.2.1.1-2 Stationary fuel</v>
      </c>
      <c r="D43" s="1" t="str" cm="1">
        <f t="array" ref="D43">Common_InputFunctions.Utility_DisplayArrayInTable(SourceData_PastureBeef.SourceData_PastureBeef_Liveweight_Data(), Table_SourceData_PastureBeef_Liveweight[[#Headers],[State]], 0)</f>
        <v>Western Australia</v>
      </c>
      <c r="E43" s="20" t="str" cm="1">
        <f t="array" ref="E43">Common_InputFunctions.Utility_DisplayArrayInTable(SourceData_PastureBeef.SourceData_PastureBeef_Liveweight_Data(), Table_SourceData_PastureBeef_Liveweight[[#Headers],[State]], 0)</f>
        <v>Kimberley</v>
      </c>
      <c r="F43" s="20" t="str" cm="1">
        <f t="array" ref="F43">Common_InputFunctions.Utility_DisplayArrayInTable(SourceData_PastureBeef.SourceData_PastureBeef_Liveweight_Data(), Table_SourceData_PastureBeef_Liveweight[[#Headers],[State]], 0)</f>
        <v>Spring</v>
      </c>
      <c r="G43" s="20" cm="1">
        <f t="array" ref="G43">Common_InputFunctions.Utility_DisplayArrayInTable(SourceData_PastureBeef.SourceData_PastureBeef_Liveweight_Data(), Table_SourceData_PastureBeef_Liveweight[[#Headers],[State]], 0)</f>
        <v>220</v>
      </c>
      <c r="H43" s="20" cm="1">
        <f t="array" ref="H43">Common_InputFunctions.Utility_DisplayArrayInTable(SourceData_PastureBeef.SourceData_PastureBeef_Liveweight_Data(), Table_SourceData_PastureBeef_Liveweight[[#Headers],[State]], 0)</f>
        <v>500</v>
      </c>
      <c r="I43" s="20" cm="1">
        <f t="array" ref="I43">Common_InputFunctions.Utility_DisplayArrayInTable(SourceData_PastureBeef.SourceData_PastureBeef_Liveweight_Data(), Table_SourceData_PastureBeef_Liveweight[[#Headers],[State]], 0)</f>
        <v>180</v>
      </c>
      <c r="J43" s="20" cm="1">
        <f t="array" ref="J43">Common_InputFunctions.Utility_DisplayArrayInTable(SourceData_PastureBeef.SourceData_PastureBeef_Liveweight_Data(), Table_SourceData_PastureBeef_Liveweight[[#Headers],[State]], 0)</f>
        <v>300</v>
      </c>
      <c r="K43" s="20" cm="1">
        <f t="array" ref="K43">Common_InputFunctions.Utility_DisplayArrayInTable(SourceData_PastureBeef.SourceData_PastureBeef_Liveweight_Data(), Table_SourceData_PastureBeef_Liveweight[[#Headers],[State]], 0)</f>
        <v>320</v>
      </c>
      <c r="L43" s="20" cm="1">
        <f t="array" ref="L43">Common_InputFunctions.Utility_DisplayArrayInTable(SourceData_PastureBeef.SourceData_PastureBeef_Liveweight_Data(), Table_SourceData_PastureBeef_Liveweight[[#Headers],[State]], 0)</f>
        <v>210</v>
      </c>
      <c r="M43" s="20" cm="1">
        <f t="array" ref="M43">Common_InputFunctions.Utility_DisplayArrayInTable(SourceData_PastureBeef.SourceData_PastureBeef_Liveweight_Data(), Table_SourceData_PastureBeef_Liveweight[[#Headers],[State]], 0)</f>
        <v>340</v>
      </c>
      <c r="O43" s="20" t="s">
        <v>532</v>
      </c>
      <c r="P43" s="20" t="s">
        <v>530</v>
      </c>
    </row>
    <row r="44" spans="1:16" ht="20" customHeight="1" x14ac:dyDescent="0.25">
      <c r="A44" s="5" t="str">
        <f>HYPERLINK("#'10.1.1-2 Solid waste treatment'!A1", "10.1.1.1-2 Solid waste")</f>
        <v>10.1.1.1-2 Solid waste</v>
      </c>
      <c r="D44" s="1" t="str" cm="1">
        <f t="array" ref="D44">Common_InputFunctions.Utility_DisplayArrayInTable(SourceData_PastureBeef.SourceData_PastureBeef_Liveweight_Data(), Table_SourceData_PastureBeef_Liveweight[[#Headers],[State]], 0)</f>
        <v>Western Australia</v>
      </c>
      <c r="E44" s="20" t="str" cm="1">
        <f t="array" ref="E44">Common_InputFunctions.Utility_DisplayArrayInTable(SourceData_PastureBeef.SourceData_PastureBeef_Liveweight_Data(), Table_SourceData_PastureBeef_Liveweight[[#Headers],[State]], 0)</f>
        <v>Kimberley</v>
      </c>
      <c r="F44" s="20" t="str" cm="1">
        <f t="array" ref="F44">Common_InputFunctions.Utility_DisplayArrayInTable(SourceData_PastureBeef.SourceData_PastureBeef_Liveweight_Data(), Table_SourceData_PastureBeef_Liveweight[[#Headers],[State]], 0)</f>
        <v>Summer</v>
      </c>
      <c r="G44" s="20" cm="1">
        <f t="array" ref="G44">Common_InputFunctions.Utility_DisplayArrayInTable(SourceData_PastureBeef.SourceData_PastureBeef_Liveweight_Data(), Table_SourceData_PastureBeef_Liveweight[[#Headers],[State]], 0)</f>
        <v>110</v>
      </c>
      <c r="H44" s="20" cm="1">
        <f t="array" ref="H44">Common_InputFunctions.Utility_DisplayArrayInTable(SourceData_PastureBeef.SourceData_PastureBeef_Liveweight_Data(), Table_SourceData_PastureBeef_Liveweight[[#Headers],[State]], 0)</f>
        <v>550</v>
      </c>
      <c r="I44" s="20" cm="1">
        <f t="array" ref="I44">Common_InputFunctions.Utility_DisplayArrayInTable(SourceData_PastureBeef.SourceData_PastureBeef_Liveweight_Data(), Table_SourceData_PastureBeef_Liveweight[[#Headers],[State]], 0)</f>
        <v>90</v>
      </c>
      <c r="J44" s="20" cm="1">
        <f t="array" ref="J44">Common_InputFunctions.Utility_DisplayArrayInTable(SourceData_PastureBeef.SourceData_PastureBeef_Liveweight_Data(), Table_SourceData_PastureBeef_Liveweight[[#Headers],[State]], 0)</f>
        <v>220</v>
      </c>
      <c r="K44" s="20" cm="1">
        <f t="array" ref="K44">Common_InputFunctions.Utility_DisplayArrayInTable(SourceData_PastureBeef.SourceData_PastureBeef_Liveweight_Data(), Table_SourceData_PastureBeef_Liveweight[[#Headers],[State]], 0)</f>
        <v>380</v>
      </c>
      <c r="L44" s="20" cm="1">
        <f t="array" ref="L44">Common_InputFunctions.Utility_DisplayArrayInTable(SourceData_PastureBeef.SourceData_PastureBeef_Liveweight_Data(), Table_SourceData_PastureBeef_Liveweight[[#Headers],[State]], 0)</f>
        <v>100</v>
      </c>
      <c r="M44" s="20" cm="1">
        <f t="array" ref="M44">Common_InputFunctions.Utility_DisplayArrayInTable(SourceData_PastureBeef.SourceData_PastureBeef_Liveweight_Data(), Table_SourceData_PastureBeef_Liveweight[[#Headers],[State]], 0)</f>
        <v>390</v>
      </c>
      <c r="O44" s="20" t="s">
        <v>533</v>
      </c>
      <c r="P44" s="20" t="s">
        <v>534</v>
      </c>
    </row>
    <row r="45" spans="1:16" ht="20" customHeight="1" x14ac:dyDescent="0.25">
      <c r="A45" s="5" t="str">
        <f>HYPERLINK("#'14.1.1-2 Purchased electricity'!A1", "14.1.1-2 Purchased electricity")</f>
        <v>14.1.1-2 Purchased electricity</v>
      </c>
      <c r="D45" s="1" t="str" cm="1">
        <f t="array" ref="D45">Common_InputFunctions.Utility_DisplayArrayInTable(SourceData_PastureBeef.SourceData_PastureBeef_Liveweight_Data(), Table_SourceData_PastureBeef_Liveweight[[#Headers],[State]], 0)</f>
        <v>Western Australia</v>
      </c>
      <c r="E45" s="20" t="str" cm="1">
        <f t="array" ref="E45">Common_InputFunctions.Utility_DisplayArrayInTable(SourceData_PastureBeef.SourceData_PastureBeef_Liveweight_Data(), Table_SourceData_PastureBeef_Liveweight[[#Headers],[State]], 0)</f>
        <v>Kimberley</v>
      </c>
      <c r="F45" s="20" t="str" cm="1">
        <f t="array" ref="F45">Common_InputFunctions.Utility_DisplayArrayInTable(SourceData_PastureBeef.SourceData_PastureBeef_Liveweight_Data(), Table_SourceData_PastureBeef_Liveweight[[#Headers],[State]], 0)</f>
        <v>Autumn</v>
      </c>
      <c r="G45" s="20" cm="1">
        <f t="array" ref="G45">Common_InputFunctions.Utility_DisplayArrayInTable(SourceData_PastureBeef.SourceData_PastureBeef_Liveweight_Data(), Table_SourceData_PastureBeef_Liveweight[[#Headers],[State]], 0)</f>
        <v>170</v>
      </c>
      <c r="H45" s="20" cm="1">
        <f t="array" ref="H45">Common_InputFunctions.Utility_DisplayArrayInTable(SourceData_PastureBeef.SourceData_PastureBeef_Liveweight_Data(), Table_SourceData_PastureBeef_Liveweight[[#Headers],[State]], 0)</f>
        <v>600</v>
      </c>
      <c r="I45" s="20" cm="1">
        <f t="array" ref="I45">Common_InputFunctions.Utility_DisplayArrayInTable(SourceData_PastureBeef.SourceData_PastureBeef_Liveweight_Data(), Table_SourceData_PastureBeef_Liveweight[[#Headers],[State]], 0)</f>
        <v>140</v>
      </c>
      <c r="J45" s="20" cm="1">
        <f t="array" ref="J45">Common_InputFunctions.Utility_DisplayArrayInTable(SourceData_PastureBeef.SourceData_PastureBeef_Liveweight_Data(), Table_SourceData_PastureBeef_Liveweight[[#Headers],[State]], 0)</f>
        <v>270</v>
      </c>
      <c r="K45" s="20" cm="1">
        <f t="array" ref="K45">Common_InputFunctions.Utility_DisplayArrayInTable(SourceData_PastureBeef.SourceData_PastureBeef_Liveweight_Data(), Table_SourceData_PastureBeef_Liveweight[[#Headers],[State]], 0)</f>
        <v>390</v>
      </c>
      <c r="L45" s="20" cm="1">
        <f t="array" ref="L45">Common_InputFunctions.Utility_DisplayArrayInTable(SourceData_PastureBeef.SourceData_PastureBeef_Liveweight_Data(), Table_SourceData_PastureBeef_Liveweight[[#Headers],[State]], 0)</f>
        <v>160</v>
      </c>
      <c r="M45" s="20" cm="1">
        <f t="array" ref="M45">Common_InputFunctions.Utility_DisplayArrayInTable(SourceData_PastureBeef.SourceData_PastureBeef_Liveweight_Data(), Table_SourceData_PastureBeef_Liveweight[[#Headers],[State]], 0)</f>
        <v>430</v>
      </c>
      <c r="O45" s="20" t="s">
        <v>535</v>
      </c>
      <c r="P45" s="20" t="s">
        <v>534</v>
      </c>
    </row>
    <row r="46" spans="1:16" ht="20" customHeight="1" x14ac:dyDescent="0.25">
      <c r="A46" s="5" t="str">
        <f>HYPERLINK("#'15 Scope 3'!A1", "15 Scope 3")</f>
        <v>15 Scope 3</v>
      </c>
      <c r="D46" s="1" t="str" cm="1">
        <f t="array" ref="D46">Common_InputFunctions.Utility_DisplayArrayInTable(SourceData_PastureBeef.SourceData_PastureBeef_Liveweight_Data(), Table_SourceData_PastureBeef_Liveweight[[#Headers],[State]], 0)</f>
        <v>Western Australia</v>
      </c>
      <c r="E46" s="20" t="str" cm="1">
        <f t="array" ref="E46">Common_InputFunctions.Utility_DisplayArrayInTable(SourceData_PastureBeef.SourceData_PastureBeef_Liveweight_Data(), Table_SourceData_PastureBeef_Liveweight[[#Headers],[State]], 0)</f>
        <v>Kimberley</v>
      </c>
      <c r="F46" s="20" t="str" cm="1">
        <f t="array" ref="F46">Common_InputFunctions.Utility_DisplayArrayInTable(SourceData_PastureBeef.SourceData_PastureBeef_Liveweight_Data(), Table_SourceData_PastureBeef_Liveweight[[#Headers],[State]], 0)</f>
        <v>Winter</v>
      </c>
      <c r="G46" s="20" cm="1">
        <f t="array" ref="G46">Common_InputFunctions.Utility_DisplayArrayInTable(SourceData_PastureBeef.SourceData_PastureBeef_Liveweight_Data(), Table_SourceData_PastureBeef_Liveweight[[#Headers],[State]], 0)</f>
        <v>200</v>
      </c>
      <c r="H46" s="20" cm="1">
        <f t="array" ref="H46">Common_InputFunctions.Utility_DisplayArrayInTable(SourceData_PastureBeef.SourceData_PastureBeef_Liveweight_Data(), Table_SourceData_PastureBeef_Liveweight[[#Headers],[State]], 0)</f>
        <v>550</v>
      </c>
      <c r="I46" s="20" cm="1">
        <f t="array" ref="I46">Common_InputFunctions.Utility_DisplayArrayInTable(SourceData_PastureBeef.SourceData_PastureBeef_Liveweight_Data(), Table_SourceData_PastureBeef_Liveweight[[#Headers],[State]], 0)</f>
        <v>150</v>
      </c>
      <c r="J46" s="20" cm="1">
        <f t="array" ref="J46">Common_InputFunctions.Utility_DisplayArrayInTable(SourceData_PastureBeef.SourceData_PastureBeef_Liveweight_Data(), Table_SourceData_PastureBeef_Liveweight[[#Headers],[State]], 0)</f>
        <v>280</v>
      </c>
      <c r="K46" s="20" cm="1">
        <f t="array" ref="K46">Common_InputFunctions.Utility_DisplayArrayInTable(SourceData_PastureBeef.SourceData_PastureBeef_Liveweight_Data(), Table_SourceData_PastureBeef_Liveweight[[#Headers],[State]], 0)</f>
        <v>350</v>
      </c>
      <c r="L46" s="20" cm="1">
        <f t="array" ref="L46">Common_InputFunctions.Utility_DisplayArrayInTable(SourceData_PastureBeef.SourceData_PastureBeef_Liveweight_Data(), Table_SourceData_PastureBeef_Liveweight[[#Headers],[State]], 0)</f>
        <v>190</v>
      </c>
      <c r="M46" s="20" cm="1">
        <f t="array" ref="M46">Common_InputFunctions.Utility_DisplayArrayInTable(SourceData_PastureBeef.SourceData_PastureBeef_Liveweight_Data(), Table_SourceData_PastureBeef_Liveweight[[#Headers],[State]], 0)</f>
        <v>400</v>
      </c>
      <c r="O46" s="20" t="s">
        <v>536</v>
      </c>
      <c r="P46" s="20" t="s">
        <v>534</v>
      </c>
    </row>
    <row r="47" spans="1:16" ht="20" customHeight="1" x14ac:dyDescent="0.25">
      <c r="A47" s="5" t="str">
        <f>HYPERLINK("#'Calcs - Manure sent off-site'!A1", "Calcs - Manure sent off-site")</f>
        <v>Calcs - Manure sent off-site</v>
      </c>
      <c r="M47" s="1"/>
      <c r="O47" s="20" t="s">
        <v>537</v>
      </c>
      <c r="P47" s="20" t="s">
        <v>534</v>
      </c>
    </row>
    <row r="48" spans="1:16" ht="20" customHeight="1" x14ac:dyDescent="0.25">
      <c r="M48" s="1"/>
      <c r="O48" s="1" t="s">
        <v>538</v>
      </c>
      <c r="P48" s="1" t="s">
        <v>538</v>
      </c>
    </row>
    <row r="49" spans="1:16" ht="20" customHeight="1" x14ac:dyDescent="0.25">
      <c r="D49" s="2" t="str" cm="1">
        <f t="array" ref="D49">SourceData_PastureBeef.SourceData_PastureBeef_LiveweightNTQLD_Title()</f>
        <v>Beef pasture cattle - Liveweight (kg) (Wjkl) for NT and QLD</v>
      </c>
      <c r="M49" s="1"/>
    </row>
    <row r="50" spans="1:16" ht="20" customHeight="1" x14ac:dyDescent="0.25">
      <c r="A50" s="85" t="s">
        <v>1</v>
      </c>
      <c r="D50" s="17" t="str" cm="1">
        <f t="array" ref="D50">SourceData_PastureBeef.SourceData_PastureBeef_LiveweightNTQLD_Source()</f>
        <v>VEERG 2026: Table A.1.2.2</v>
      </c>
      <c r="M50" s="1"/>
    </row>
    <row r="51" spans="1:16" ht="20" customHeight="1" x14ac:dyDescent="0.25">
      <c r="A51" s="86" t="str">
        <f>HYPERLINK("#'Constants - Pasture Beef'!A1", "Constants - Pasture Beef")</f>
        <v>Constants - Pasture Beef</v>
      </c>
      <c r="D51" s="1" t="str" cm="1">
        <f t="array" ref="D51">SourceData_PastureBeef.SourceData_PastureBeef_LiveweightNTQLD_Variable()</f>
        <v>Wjkl</v>
      </c>
      <c r="M51" s="1"/>
    </row>
    <row r="52" spans="1:16" ht="20" customHeight="1" x14ac:dyDescent="0.25">
      <c r="A52" s="5" t="str">
        <f>HYPERLINK("#'Constants - Ag Residue'!A1", "Constants - Ag residue")</f>
        <v>Constants - Ag residue</v>
      </c>
      <c r="D52" s="9" t="str" cm="1">
        <f t="array" ref="D52">SourceData_PastureBeef.SourceData_PastureBeef_LiveweightNTQLD_Unit()</f>
        <v>kg</v>
      </c>
      <c r="M52" s="1"/>
    </row>
    <row r="53" spans="1:16" ht="20" customHeight="1" x14ac:dyDescent="0.25">
      <c r="A53" s="5" t="str">
        <f>HYPERLINK("#'Constants - Common Livestock'!A1", "Constants - Common Livestock")</f>
        <v>Constants - Common Livestock</v>
      </c>
      <c r="D53" s="20" t="s">
        <v>105</v>
      </c>
      <c r="E53" s="20" t="s">
        <v>490</v>
      </c>
      <c r="F53" s="20" t="s">
        <v>76</v>
      </c>
      <c r="G53" s="20" t="s">
        <v>539</v>
      </c>
      <c r="H53" s="20" t="s">
        <v>540</v>
      </c>
      <c r="I53" s="20" t="s">
        <v>541</v>
      </c>
      <c r="J53" s="20" t="s">
        <v>542</v>
      </c>
      <c r="K53" s="20" t="s">
        <v>543</v>
      </c>
      <c r="L53" s="20" t="s">
        <v>544</v>
      </c>
      <c r="M53" s="20" t="s">
        <v>545</v>
      </c>
      <c r="N53" s="20" t="s">
        <v>546</v>
      </c>
      <c r="O53" s="20" t="s">
        <v>547</v>
      </c>
      <c r="P53" s="20" t="s">
        <v>548</v>
      </c>
    </row>
    <row r="54" spans="1:16" ht="20" customHeight="1" x14ac:dyDescent="0.25">
      <c r="A54" s="5" t="str">
        <f>HYPERLINK("#'Constants - Electricity'!A1", "Constants - Electricity")</f>
        <v>Constants - Electricity</v>
      </c>
      <c r="D54" s="20" t="str" cm="1">
        <f t="array" ref="D54">Common_InputFunctions.Utility_DisplayArrayInTable(SourceData_PastureBeef.SourceData_PastureBeef_LiveweightNTQLD_Data(),Table_SourceData_PastureBeef_LiveweightNTQD[[#Headers],[State]], 0)</f>
        <v>Northern Territory</v>
      </c>
      <c r="E54" s="20" t="str" cm="1">
        <f t="array" ref="E54">Common_InputFunctions.Utility_DisplayArrayInTable(SourceData_PastureBeef.SourceData_PastureBeef_LiveweightNTQLD_Data(),Table_SourceData_PastureBeef_LiveweightNTQD[[#Headers],[State]], 0)</f>
        <v>Alice Springs</v>
      </c>
      <c r="F54" s="20" t="str" cm="1">
        <f t="array" ref="F54">Common_InputFunctions.Utility_DisplayArrayInTable(SourceData_PastureBeef.SourceData_PastureBeef_LiveweightNTQLD_Data(),Table_SourceData_PastureBeef_LiveweightNTQD[[#Headers],[State]], 0)</f>
        <v>Spring</v>
      </c>
      <c r="G54" s="20" cm="1">
        <f t="array" ref="G54">Common_InputFunctions.Utility_DisplayArrayInTable(SourceData_PastureBeef.SourceData_PastureBeef_LiveweightNTQLD_Data(),Table_SourceData_PastureBeef_LiveweightNTQD[[#Headers],[State]], 0)</f>
        <v>220</v>
      </c>
      <c r="H54" s="20" cm="1">
        <f t="array" ref="H54">Common_InputFunctions.Utility_DisplayArrayInTable(SourceData_PastureBeef.SourceData_PastureBeef_LiveweightNTQLD_Data(),Table_SourceData_PastureBeef_LiveweightNTQD[[#Headers],[State]], 0)</f>
        <v>706</v>
      </c>
      <c r="I54" s="20" cm="1">
        <f t="array" ref="I54">Common_InputFunctions.Utility_DisplayArrayInTable(SourceData_PastureBeef.SourceData_PastureBeef_LiveweightNTQLD_Data(),Table_SourceData_PastureBeef_LiveweightNTQD[[#Headers],[State]], 0)</f>
        <v>208</v>
      </c>
      <c r="J54" s="20" cm="1">
        <f t="array" ref="J54">Common_InputFunctions.Utility_DisplayArrayInTable(SourceData_PastureBeef.SourceData_PastureBeef_LiveweightNTQLD_Data(),Table_SourceData_PastureBeef_LiveweightNTQD[[#Headers],[State]], 0)</f>
        <v>323</v>
      </c>
      <c r="K54" s="20" cm="1">
        <f t="array" ref="K54">Common_InputFunctions.Utility_DisplayArrayInTable(SourceData_PastureBeef.SourceData_PastureBeef_LiveweightNTQLD_Data(),Table_SourceData_PastureBeef_LiveweightNTQD[[#Headers],[State]], 0)</f>
        <v>415</v>
      </c>
      <c r="L54" s="20" cm="1">
        <f t="array" ref="L54">Common_InputFunctions.Utility_DisplayArrayInTable(SourceData_PastureBeef.SourceData_PastureBeef_LiveweightNTQLD_Data(),Table_SourceData_PastureBeef_LiveweightNTQD[[#Headers],[State]], 0)</f>
        <v>467</v>
      </c>
      <c r="M54" s="20" cm="1">
        <f t="array" ref="M54">Common_InputFunctions.Utility_DisplayArrayInTable(SourceData_PastureBeef.SourceData_PastureBeef_LiveweightNTQLD_Data(),Table_SourceData_PastureBeef_LiveweightNTQD[[#Headers],[State]], 0)</f>
        <v>223</v>
      </c>
      <c r="N54" s="20" cm="1">
        <f t="array" ref="N54">Common_InputFunctions.Utility_DisplayArrayInTable(SourceData_PastureBeef.SourceData_PastureBeef_LiveweightNTQLD_Data(),Table_SourceData_PastureBeef_LiveweightNTQD[[#Headers],[State]], 0)</f>
        <v>371</v>
      </c>
      <c r="O54" s="20" cm="1">
        <f t="array" ref="O54">Common_InputFunctions.Utility_DisplayArrayInTable(SourceData_PastureBeef.SourceData_PastureBeef_LiveweightNTQLD_Data(),Table_SourceData_PastureBeef_LiveweightNTQD[[#Headers],[State]], 0)</f>
        <v>493</v>
      </c>
      <c r="P54" s="20" cm="1">
        <f t="array" ref="P54">Common_InputFunctions.Utility_DisplayArrayInTable(SourceData_PastureBeef.SourceData_PastureBeef_LiveweightNTQLD_Data(),Table_SourceData_PastureBeef_LiveweightNTQD[[#Headers],[State]], 0)</f>
        <v>585</v>
      </c>
    </row>
    <row r="55" spans="1:16" ht="20" customHeight="1" x14ac:dyDescent="0.25">
      <c r="A55" s="5" t="str">
        <f>HYPERLINK("#'Constants - Fertiliser'!A1", "Constants - Fertiliser")</f>
        <v>Constants - Fertiliser</v>
      </c>
      <c r="D55" s="1" t="str" cm="1">
        <f t="array" ref="D55">Common_InputFunctions.Utility_DisplayArrayInTable(SourceData_PastureBeef.SourceData_PastureBeef_LiveweightNTQLD_Data(),Table_SourceData_PastureBeef_LiveweightNTQD[[#Headers],[State]], 0)</f>
        <v>Northern Territory</v>
      </c>
      <c r="E55" s="20" t="str" cm="1">
        <f t="array" ref="E55">Common_InputFunctions.Utility_DisplayArrayInTable(SourceData_PastureBeef.SourceData_PastureBeef_LiveweightNTQLD_Data(),Table_SourceData_PastureBeef_LiveweightNTQD[[#Headers],[State]], 0)</f>
        <v>Alice Springs</v>
      </c>
      <c r="F55" s="20" t="str" cm="1">
        <f t="array" ref="F55">Common_InputFunctions.Utility_DisplayArrayInTable(SourceData_PastureBeef.SourceData_PastureBeef_LiveweightNTQLD_Data(),Table_SourceData_PastureBeef_LiveweightNTQD[[#Headers],[State]], 0)</f>
        <v>Summer</v>
      </c>
      <c r="G55" s="20" cm="1">
        <f t="array" ref="G55">Common_InputFunctions.Utility_DisplayArrayInTable(SourceData_PastureBeef.SourceData_PastureBeef_LiveweightNTQLD_Data(),Table_SourceData_PastureBeef_LiveweightNTQD[[#Headers],[State]], 0)</f>
        <v>110</v>
      </c>
      <c r="H55" s="20" cm="1">
        <f t="array" ref="H55">Common_InputFunctions.Utility_DisplayArrayInTable(SourceData_PastureBeef.SourceData_PastureBeef_LiveweightNTQLD_Data(),Table_SourceData_PastureBeef_LiveweightNTQD[[#Headers],[State]], 0)</f>
        <v>703</v>
      </c>
      <c r="I55" s="20" cm="1">
        <f t="array" ref="I55">Common_InputFunctions.Utility_DisplayArrayInTable(SourceData_PastureBeef.SourceData_PastureBeef_LiveweightNTQLD_Data(),Table_SourceData_PastureBeef_LiveweightNTQD[[#Headers],[State]], 0)</f>
        <v>112</v>
      </c>
      <c r="J55" s="20" cm="1">
        <f t="array" ref="J55">Common_InputFunctions.Utility_DisplayArrayInTable(SourceData_PastureBeef.SourceData_PastureBeef_LiveweightNTQLD_Data(),Table_SourceData_PastureBeef_LiveweightNTQD[[#Headers],[State]], 0)</f>
        <v>256</v>
      </c>
      <c r="K55" s="20" cm="1">
        <f t="array" ref="K55">Common_InputFunctions.Utility_DisplayArrayInTable(SourceData_PastureBeef.SourceData_PastureBeef_LiveweightNTQLD_Data(),Table_SourceData_PastureBeef_LiveweightNTQD[[#Headers],[State]], 0)</f>
        <v>368</v>
      </c>
      <c r="L55" s="20" cm="1">
        <f t="array" ref="L55">Common_InputFunctions.Utility_DisplayArrayInTable(SourceData_PastureBeef.SourceData_PastureBeef_LiveweightNTQLD_Data(),Table_SourceData_PastureBeef_LiveweightNTQD[[#Headers],[State]], 0)</f>
        <v>465</v>
      </c>
      <c r="M55" s="20" cm="1">
        <f t="array" ref="M55">Common_InputFunctions.Utility_DisplayArrayInTable(SourceData_PastureBeef.SourceData_PastureBeef_LiveweightNTQLD_Data(),Table_SourceData_PastureBeef_LiveweightNTQD[[#Headers],[State]], 0)</f>
        <v>108</v>
      </c>
      <c r="N55" s="20" cm="1">
        <f t="array" ref="N55">Common_InputFunctions.Utility_DisplayArrayInTable(SourceData_PastureBeef.SourceData_PastureBeef_LiveweightNTQLD_Data(),Table_SourceData_PastureBeef_LiveweightNTQD[[#Headers],[State]], 0)</f>
        <v>280</v>
      </c>
      <c r="O55" s="20" cm="1">
        <f t="array" ref="O55">Common_InputFunctions.Utility_DisplayArrayInTable(SourceData_PastureBeef.SourceData_PastureBeef_LiveweightNTQLD_Data(),Table_SourceData_PastureBeef_LiveweightNTQD[[#Headers],[State]], 0)</f>
        <v>421</v>
      </c>
      <c r="P55" s="20" cm="1">
        <f t="array" ref="P55">Common_InputFunctions.Utility_DisplayArrayInTable(SourceData_PastureBeef.SourceData_PastureBeef_LiveweightNTQLD_Data(),Table_SourceData_PastureBeef_LiveweightNTQD[[#Headers],[State]], 0)</f>
        <v>543</v>
      </c>
    </row>
    <row r="56" spans="1:16" ht="20" customHeight="1" x14ac:dyDescent="0.25">
      <c r="A56" s="5" t="str">
        <f>HYPERLINK("#'Constants - Fuel'!A1", "Constants - Fuel")</f>
        <v>Constants - Fuel</v>
      </c>
      <c r="D56" s="1" t="str" cm="1">
        <f t="array" ref="D56">Common_InputFunctions.Utility_DisplayArrayInTable(SourceData_PastureBeef.SourceData_PastureBeef_LiveweightNTQLD_Data(),Table_SourceData_PastureBeef_LiveweightNTQD[[#Headers],[State]], 0)</f>
        <v>Northern Territory</v>
      </c>
      <c r="E56" s="20" t="str" cm="1">
        <f t="array" ref="E56">Common_InputFunctions.Utility_DisplayArrayInTable(SourceData_PastureBeef.SourceData_PastureBeef_LiveweightNTQLD_Data(),Table_SourceData_PastureBeef_LiveweightNTQD[[#Headers],[State]], 0)</f>
        <v>Alice Springs</v>
      </c>
      <c r="F56" s="20" t="str" cm="1">
        <f t="array" ref="F56">Common_InputFunctions.Utility_DisplayArrayInTable(SourceData_PastureBeef.SourceData_PastureBeef_LiveweightNTQLD_Data(),Table_SourceData_PastureBeef_LiveweightNTQD[[#Headers],[State]], 0)</f>
        <v>Autumn</v>
      </c>
      <c r="G56" s="20" cm="1">
        <f t="array" ref="G56">Common_InputFunctions.Utility_DisplayArrayInTable(SourceData_PastureBeef.SourceData_PastureBeef_LiveweightNTQLD_Data(),Table_SourceData_PastureBeef_LiveweightNTQD[[#Headers],[State]], 0)</f>
        <v>170</v>
      </c>
      <c r="H56" s="20" cm="1">
        <f t="array" ref="H56">Common_InputFunctions.Utility_DisplayArrayInTable(SourceData_PastureBeef.SourceData_PastureBeef_LiveweightNTQLD_Data(),Table_SourceData_PastureBeef_LiveweightNTQD[[#Headers],[State]], 0)</f>
        <v>721</v>
      </c>
      <c r="I56" s="20" cm="1">
        <f t="array" ref="I56">Common_InputFunctions.Utility_DisplayArrayInTable(SourceData_PastureBeef.SourceData_PastureBeef_LiveweightNTQLD_Data(),Table_SourceData_PastureBeef_LiveweightNTQD[[#Headers],[State]], 0)</f>
        <v>169</v>
      </c>
      <c r="J56" s="20" cm="1">
        <f t="array" ref="J56">Common_InputFunctions.Utility_DisplayArrayInTable(SourceData_PastureBeef.SourceData_PastureBeef_LiveweightNTQLD_Data(),Table_SourceData_PastureBeef_LiveweightNTQD[[#Headers],[State]], 0)</f>
        <v>306</v>
      </c>
      <c r="K56" s="20" cm="1">
        <f t="array" ref="K56">Common_InputFunctions.Utility_DisplayArrayInTable(SourceData_PastureBeef.SourceData_PastureBeef_LiveweightNTQLD_Data(),Table_SourceData_PastureBeef_LiveweightNTQD[[#Headers],[State]], 0)</f>
        <v>392</v>
      </c>
      <c r="L56" s="20" cm="1">
        <f t="array" ref="L56">Common_InputFunctions.Utility_DisplayArrayInTable(SourceData_PastureBeef.SourceData_PastureBeef_LiveweightNTQLD_Data(),Table_SourceData_PastureBeef_LiveweightNTQD[[#Headers],[State]], 0)</f>
        <v>464</v>
      </c>
      <c r="M56" s="20" cm="1">
        <f t="array" ref="M56">Common_InputFunctions.Utility_DisplayArrayInTable(SourceData_PastureBeef.SourceData_PastureBeef_LiveweightNTQLD_Data(),Table_SourceData_PastureBeef_LiveweightNTQD[[#Headers],[State]], 0)</f>
        <v>176</v>
      </c>
      <c r="N56" s="20" cm="1">
        <f t="array" ref="N56">Common_InputFunctions.Utility_DisplayArrayInTable(SourceData_PastureBeef.SourceData_PastureBeef_LiveweightNTQLD_Data(),Table_SourceData_PastureBeef_LiveweightNTQD[[#Headers],[State]], 0)</f>
        <v>339</v>
      </c>
      <c r="O56" s="20" cm="1">
        <f t="array" ref="O56">Common_InputFunctions.Utility_DisplayArrayInTable(SourceData_PastureBeef.SourceData_PastureBeef_LiveweightNTQLD_Data(),Table_SourceData_PastureBeef_LiveweightNTQD[[#Headers],[State]], 0)</f>
        <v>470</v>
      </c>
      <c r="P56" s="20" cm="1">
        <f t="array" ref="P56">Common_InputFunctions.Utility_DisplayArrayInTable(SourceData_PastureBeef.SourceData_PastureBeef_LiveweightNTQLD_Data(),Table_SourceData_PastureBeef_LiveweightNTQD[[#Headers],[State]], 0)</f>
        <v>580</v>
      </c>
    </row>
    <row r="57" spans="1:16" ht="20" customHeight="1" x14ac:dyDescent="0.25">
      <c r="A57" s="5" t="str">
        <f>HYPERLINK("#'Constants - Scope 3'!A1", "Constants - Scope 3")</f>
        <v>Constants - Scope 3</v>
      </c>
      <c r="D57" s="1" t="str" cm="1">
        <f t="array" ref="D57">Common_InputFunctions.Utility_DisplayArrayInTable(SourceData_PastureBeef.SourceData_PastureBeef_LiveweightNTQLD_Data(),Table_SourceData_PastureBeef_LiveweightNTQD[[#Headers],[State]], 0)</f>
        <v>Northern Territory</v>
      </c>
      <c r="E57" s="20" t="str" cm="1">
        <f t="array" ref="E57">Common_InputFunctions.Utility_DisplayArrayInTable(SourceData_PastureBeef.SourceData_PastureBeef_LiveweightNTQLD_Data(),Table_SourceData_PastureBeef_LiveweightNTQD[[#Headers],[State]], 0)</f>
        <v>Alice Springs</v>
      </c>
      <c r="F57" s="20" t="str" cm="1">
        <f t="array" ref="F57">Common_InputFunctions.Utility_DisplayArrayInTable(SourceData_PastureBeef.SourceData_PastureBeef_LiveweightNTQLD_Data(),Table_SourceData_PastureBeef_LiveweightNTQD[[#Headers],[State]], 0)</f>
        <v>Winter</v>
      </c>
      <c r="G57" s="20" cm="1">
        <f t="array" ref="G57">Common_InputFunctions.Utility_DisplayArrayInTable(SourceData_PastureBeef.SourceData_PastureBeef_LiveweightNTQLD_Data(),Table_SourceData_PastureBeef_LiveweightNTQD[[#Headers],[State]], 0)</f>
        <v>200</v>
      </c>
      <c r="H57" s="20" cm="1">
        <f t="array" ref="H57">Common_InputFunctions.Utility_DisplayArrayInTable(SourceData_PastureBeef.SourceData_PastureBeef_LiveweightNTQLD_Data(),Table_SourceData_PastureBeef_LiveweightNTQD[[#Headers],[State]], 0)</f>
        <v>727</v>
      </c>
      <c r="I57" s="20" cm="1">
        <f t="array" ref="I57">Common_InputFunctions.Utility_DisplayArrayInTable(SourceData_PastureBeef.SourceData_PastureBeef_LiveweightNTQLD_Data(),Table_SourceData_PastureBeef_LiveweightNTQD[[#Headers],[State]], 0)</f>
        <v>211</v>
      </c>
      <c r="J57" s="20" cm="1">
        <f t="array" ref="J57">Common_InputFunctions.Utility_DisplayArrayInTable(SourceData_PastureBeef.SourceData_PastureBeef_LiveweightNTQLD_Data(),Table_SourceData_PastureBeef_LiveweightNTQD[[#Headers],[State]], 0)</f>
        <v>338</v>
      </c>
      <c r="K57" s="20" cm="1">
        <f t="array" ref="K57">Common_InputFunctions.Utility_DisplayArrayInTable(SourceData_PastureBeef.SourceData_PastureBeef_LiveweightNTQLD_Data(),Table_SourceData_PastureBeef_LiveweightNTQD[[#Headers],[State]], 0)</f>
        <v>432</v>
      </c>
      <c r="L57" s="20" cm="1">
        <f t="array" ref="L57">Common_InputFunctions.Utility_DisplayArrayInTable(SourceData_PastureBeef.SourceData_PastureBeef_LiveweightNTQLD_Data(),Table_SourceData_PastureBeef_LiveweightNTQD[[#Headers],[State]], 0)</f>
        <v>492</v>
      </c>
      <c r="M57" s="20" cm="1">
        <f t="array" ref="M57">Common_InputFunctions.Utility_DisplayArrayInTable(SourceData_PastureBeef.SourceData_PastureBeef_LiveweightNTQLD_Data(),Table_SourceData_PastureBeef_LiveweightNTQD[[#Headers],[State]], 0)</f>
        <v>222</v>
      </c>
      <c r="N57" s="20" cm="1">
        <f t="array" ref="N57">Common_InputFunctions.Utility_DisplayArrayInTable(SourceData_PastureBeef.SourceData_PastureBeef_LiveweightNTQLD_Data(),Table_SourceData_PastureBeef_LiveweightNTQD[[#Headers],[State]], 0)</f>
        <v>377</v>
      </c>
      <c r="O57" s="20" cm="1">
        <f t="array" ref="O57">Common_InputFunctions.Utility_DisplayArrayInTable(SourceData_PastureBeef.SourceData_PastureBeef_LiveweightNTQLD_Data(),Table_SourceData_PastureBeef_LiveweightNTQD[[#Headers],[State]], 0)</f>
        <v>498</v>
      </c>
      <c r="P57" s="20" cm="1">
        <f t="array" ref="P57">Common_InputFunctions.Utility_DisplayArrayInTable(SourceData_PastureBeef.SourceData_PastureBeef_LiveweightNTQLD_Data(),Table_SourceData_PastureBeef_LiveweightNTQD[[#Headers],[State]], 0)</f>
        <v>590</v>
      </c>
    </row>
    <row r="58" spans="1:16" ht="20" customHeight="1" x14ac:dyDescent="0.25">
      <c r="A58" s="5" t="str">
        <f>HYPERLINK("#'Constants - Solid Waste'!A1", "Constants - Solid Waste")</f>
        <v>Constants - Solid Waste</v>
      </c>
      <c r="D58" s="1" t="str" cm="1">
        <f t="array" ref="D58">Common_InputFunctions.Utility_DisplayArrayInTable(SourceData_PastureBeef.SourceData_PastureBeef_LiveweightNTQLD_Data(),Table_SourceData_PastureBeef_LiveweightNTQD[[#Headers],[State]], 0)</f>
        <v>Northern Territory</v>
      </c>
      <c r="E58" s="20" t="str" cm="1">
        <f t="array" ref="E58">Common_InputFunctions.Utility_DisplayArrayInTable(SourceData_PastureBeef.SourceData_PastureBeef_LiveweightNTQLD_Data(),Table_SourceData_PastureBeef_LiveweightNTQD[[#Headers],[State]], 0)</f>
        <v>Barkly</v>
      </c>
      <c r="F58" s="20" t="str" cm="1">
        <f t="array" ref="F58">Common_InputFunctions.Utility_DisplayArrayInTable(SourceData_PastureBeef.SourceData_PastureBeef_LiveweightNTQLD_Data(),Table_SourceData_PastureBeef_LiveweightNTQD[[#Headers],[State]], 0)</f>
        <v>Spring</v>
      </c>
      <c r="G58" s="20" cm="1">
        <f t="array" ref="G58">Common_InputFunctions.Utility_DisplayArrayInTable(SourceData_PastureBeef.SourceData_PastureBeef_LiveweightNTQLD_Data(),Table_SourceData_PastureBeef_LiveweightNTQD[[#Headers],[State]], 0)</f>
        <v>220</v>
      </c>
      <c r="H58" s="20" cm="1">
        <f t="array" ref="H58">Common_InputFunctions.Utility_DisplayArrayInTable(SourceData_PastureBeef.SourceData_PastureBeef_LiveweightNTQLD_Data(),Table_SourceData_PastureBeef_LiveweightNTQD[[#Headers],[State]], 0)</f>
        <v>620</v>
      </c>
      <c r="I58" s="20" cm="1">
        <f t="array" ref="I58">Common_InputFunctions.Utility_DisplayArrayInTable(SourceData_PastureBeef.SourceData_PastureBeef_LiveweightNTQLD_Data(),Table_SourceData_PastureBeef_LiveweightNTQD[[#Headers],[State]], 0)</f>
        <v>227</v>
      </c>
      <c r="J58" s="20" cm="1">
        <f t="array" ref="J58">Common_InputFunctions.Utility_DisplayArrayInTable(SourceData_PastureBeef.SourceData_PastureBeef_LiveweightNTQLD_Data(),Table_SourceData_PastureBeef_LiveweightNTQD[[#Headers],[State]], 0)</f>
        <v>319</v>
      </c>
      <c r="K58" s="20" cm="1">
        <f t="array" ref="K58">Common_InputFunctions.Utility_DisplayArrayInTable(SourceData_PastureBeef.SourceData_PastureBeef_LiveweightNTQLD_Data(),Table_SourceData_PastureBeef_LiveweightNTQD[[#Headers],[State]], 0)</f>
        <v>398</v>
      </c>
      <c r="L58" s="20" cm="1">
        <f t="array" ref="L58">Common_InputFunctions.Utility_DisplayArrayInTable(SourceData_PastureBeef.SourceData_PastureBeef_LiveweightNTQLD_Data(),Table_SourceData_PastureBeef_LiveweightNTQD[[#Headers],[State]], 0)</f>
        <v>452</v>
      </c>
      <c r="M58" s="20" cm="1">
        <f t="array" ref="M58">Common_InputFunctions.Utility_DisplayArrayInTable(SourceData_PastureBeef.SourceData_PastureBeef_LiveweightNTQLD_Data(),Table_SourceData_PastureBeef_LiveweightNTQD[[#Headers],[State]], 0)</f>
        <v>216</v>
      </c>
      <c r="N58" s="20" cm="1">
        <f t="array" ref="N58">Common_InputFunctions.Utility_DisplayArrayInTable(SourceData_PastureBeef.SourceData_PastureBeef_LiveweightNTQLD_Data(),Table_SourceData_PastureBeef_LiveweightNTQD[[#Headers],[State]], 0)</f>
        <v>334</v>
      </c>
      <c r="O58" s="20" t="str" cm="1">
        <f t="array" ref="O58">Common_InputFunctions.Utility_DisplayArrayInTable(SourceData_PastureBeef.SourceData_PastureBeef_LiveweightNTQLD_Data(),Table_SourceData_PastureBeef_LiveweightNTQD[[#Headers],[State]], 0)</f>
        <v>NO</v>
      </c>
      <c r="P58" s="20" t="str" cm="1">
        <f t="array" ref="P58">Common_InputFunctions.Utility_DisplayArrayInTable(SourceData_PastureBeef.SourceData_PastureBeef_LiveweightNTQLD_Data(),Table_SourceData_PastureBeef_LiveweightNTQD[[#Headers],[State]], 0)</f>
        <v>NO</v>
      </c>
    </row>
    <row r="59" spans="1:16" ht="20" customHeight="1" x14ac:dyDescent="0.25">
      <c r="A59" s="5" t="str">
        <f>HYPERLINK("#'Constants - Common'!A1", "Constants - Common")</f>
        <v>Constants - Common</v>
      </c>
      <c r="D59" s="1" t="str" cm="1">
        <f t="array" ref="D59">Common_InputFunctions.Utility_DisplayArrayInTable(SourceData_PastureBeef.SourceData_PastureBeef_LiveweightNTQLD_Data(),Table_SourceData_PastureBeef_LiveweightNTQD[[#Headers],[State]], 0)</f>
        <v>Northern Territory</v>
      </c>
      <c r="E59" s="20" t="str" cm="1">
        <f t="array" ref="E59">Common_InputFunctions.Utility_DisplayArrayInTable(SourceData_PastureBeef.SourceData_PastureBeef_LiveweightNTQLD_Data(),Table_SourceData_PastureBeef_LiveweightNTQD[[#Headers],[State]], 0)</f>
        <v>Barkly</v>
      </c>
      <c r="F59" s="20" t="str" cm="1">
        <f t="array" ref="F59">Common_InputFunctions.Utility_DisplayArrayInTable(SourceData_PastureBeef.SourceData_PastureBeef_LiveweightNTQLD_Data(),Table_SourceData_PastureBeef_LiveweightNTQD[[#Headers],[State]], 0)</f>
        <v>Summer</v>
      </c>
      <c r="G59" s="20" cm="1">
        <f t="array" ref="G59">Common_InputFunctions.Utility_DisplayArrayInTable(SourceData_PastureBeef.SourceData_PastureBeef_LiveweightNTQLD_Data(),Table_SourceData_PastureBeef_LiveweightNTQD[[#Headers],[State]], 0)</f>
        <v>110</v>
      </c>
      <c r="H59" s="20" cm="1">
        <f t="array" ref="H59">Common_InputFunctions.Utility_DisplayArrayInTable(SourceData_PastureBeef.SourceData_PastureBeef_LiveweightNTQLD_Data(),Table_SourceData_PastureBeef_LiveweightNTQD[[#Headers],[State]], 0)</f>
        <v>650</v>
      </c>
      <c r="I59" s="20" cm="1">
        <f t="array" ref="I59">Common_InputFunctions.Utility_DisplayArrayInTable(SourceData_PastureBeef.SourceData_PastureBeef_LiveweightNTQLD_Data(),Table_SourceData_PastureBeef_LiveweightNTQD[[#Headers],[State]], 0)</f>
        <v>108</v>
      </c>
      <c r="J59" s="20" cm="1">
        <f t="array" ref="J59">Common_InputFunctions.Utility_DisplayArrayInTable(SourceData_PastureBeef.SourceData_PastureBeef_LiveweightNTQLD_Data(),Table_SourceData_PastureBeef_LiveweightNTQD[[#Headers],[State]], 0)</f>
        <v>262</v>
      </c>
      <c r="K59" s="20" cm="1">
        <f t="array" ref="K59">Common_InputFunctions.Utility_DisplayArrayInTable(SourceData_PastureBeef.SourceData_PastureBeef_LiveweightNTQLD_Data(),Table_SourceData_PastureBeef_LiveweightNTQD[[#Headers],[State]], 0)</f>
        <v>346</v>
      </c>
      <c r="L59" s="20" cm="1">
        <f t="array" ref="L59">Common_InputFunctions.Utility_DisplayArrayInTable(SourceData_PastureBeef.SourceData_PastureBeef_LiveweightNTQLD_Data(),Table_SourceData_PastureBeef_LiveweightNTQD[[#Headers],[State]], 0)</f>
        <v>430</v>
      </c>
      <c r="M59" s="20" cm="1">
        <f t="array" ref="M59">Common_InputFunctions.Utility_DisplayArrayInTable(SourceData_PastureBeef.SourceData_PastureBeef_LiveweightNTQLD_Data(),Table_SourceData_PastureBeef_LiveweightNTQD[[#Headers],[State]], 0)</f>
        <v>111</v>
      </c>
      <c r="N59" s="20" cm="1">
        <f t="array" ref="N59">Common_InputFunctions.Utility_DisplayArrayInTable(SourceData_PastureBeef.SourceData_PastureBeef_LiveweightNTQLD_Data(),Table_SourceData_PastureBeef_LiveweightNTQD[[#Headers],[State]], 0)</f>
        <v>236</v>
      </c>
      <c r="O59" s="20" t="str" cm="1">
        <f t="array" ref="O59">Common_InputFunctions.Utility_DisplayArrayInTable(SourceData_PastureBeef.SourceData_PastureBeef_LiveweightNTQLD_Data(),Table_SourceData_PastureBeef_LiveweightNTQD[[#Headers],[State]], 0)</f>
        <v>NO</v>
      </c>
      <c r="P59" s="20" t="str" cm="1">
        <f t="array" ref="P59">Common_InputFunctions.Utility_DisplayArrayInTable(SourceData_PastureBeef.SourceData_PastureBeef_LiveweightNTQLD_Data(),Table_SourceData_PastureBeef_LiveweightNTQD[[#Headers],[State]], 0)</f>
        <v>NO</v>
      </c>
    </row>
    <row r="60" spans="1:16" ht="20" customHeight="1" x14ac:dyDescent="0.25">
      <c r="A60" s="5" t="str">
        <f>HYPERLINK("#'Acknowledgements'!A1", "Acknowledgements")</f>
        <v>Acknowledgements</v>
      </c>
      <c r="D60" s="1" t="str" cm="1">
        <f t="array" ref="D60">Common_InputFunctions.Utility_DisplayArrayInTable(SourceData_PastureBeef.SourceData_PastureBeef_LiveweightNTQLD_Data(),Table_SourceData_PastureBeef_LiveweightNTQD[[#Headers],[State]], 0)</f>
        <v>Northern Territory</v>
      </c>
      <c r="E60" s="20" t="str" cm="1">
        <f t="array" ref="E60">Common_InputFunctions.Utility_DisplayArrayInTable(SourceData_PastureBeef.SourceData_PastureBeef_LiveweightNTQLD_Data(),Table_SourceData_PastureBeef_LiveweightNTQD[[#Headers],[State]], 0)</f>
        <v>Barkly</v>
      </c>
      <c r="F60" s="20" t="str" cm="1">
        <f t="array" ref="F60">Common_InputFunctions.Utility_DisplayArrayInTable(SourceData_PastureBeef.SourceData_PastureBeef_LiveweightNTQLD_Data(),Table_SourceData_PastureBeef_LiveweightNTQD[[#Headers],[State]], 0)</f>
        <v>Autumn</v>
      </c>
      <c r="G60" s="20" cm="1">
        <f t="array" ref="G60">Common_InputFunctions.Utility_DisplayArrayInTable(SourceData_PastureBeef.SourceData_PastureBeef_LiveweightNTQLD_Data(),Table_SourceData_PastureBeef_LiveweightNTQD[[#Headers],[State]], 0)</f>
        <v>170</v>
      </c>
      <c r="H60" s="20" cm="1">
        <f t="array" ref="H60">Common_InputFunctions.Utility_DisplayArrayInTable(SourceData_PastureBeef.SourceData_PastureBeef_LiveweightNTQLD_Data(),Table_SourceData_PastureBeef_LiveweightNTQD[[#Headers],[State]], 0)</f>
        <v>670</v>
      </c>
      <c r="I60" s="20" cm="1">
        <f t="array" ref="I60">Common_InputFunctions.Utility_DisplayArrayInTable(SourceData_PastureBeef.SourceData_PastureBeef_LiveweightNTQLD_Data(),Table_SourceData_PastureBeef_LiveweightNTQD[[#Headers],[State]], 0)</f>
        <v>170</v>
      </c>
      <c r="J60" s="20" cm="1">
        <f t="array" ref="J60">Common_InputFunctions.Utility_DisplayArrayInTable(SourceData_PastureBeef.SourceData_PastureBeef_LiveweightNTQLD_Data(),Table_SourceData_PastureBeef_LiveweightNTQD[[#Headers],[State]], 0)</f>
        <v>266</v>
      </c>
      <c r="K60" s="20" cm="1">
        <f t="array" ref="K60">Common_InputFunctions.Utility_DisplayArrayInTable(SourceData_PastureBeef.SourceData_PastureBeef_LiveweightNTQLD_Data(),Table_SourceData_PastureBeef_LiveweightNTQD[[#Headers],[State]], 0)</f>
        <v>363</v>
      </c>
      <c r="L60" s="20" cm="1">
        <f t="array" ref="L60">Common_InputFunctions.Utility_DisplayArrayInTable(SourceData_PastureBeef.SourceData_PastureBeef_LiveweightNTQLD_Data(),Table_SourceData_PastureBeef_LiveweightNTQD[[#Headers],[State]], 0)</f>
        <v>444</v>
      </c>
      <c r="M60" s="20" cm="1">
        <f t="array" ref="M60">Common_InputFunctions.Utility_DisplayArrayInTable(SourceData_PastureBeef.SourceData_PastureBeef_LiveweightNTQLD_Data(),Table_SourceData_PastureBeef_LiveweightNTQD[[#Headers],[State]], 0)</f>
        <v>169</v>
      </c>
      <c r="N60" s="20" cm="1">
        <f t="array" ref="N60">Common_InputFunctions.Utility_DisplayArrayInTable(SourceData_PastureBeef.SourceData_PastureBeef_LiveweightNTQLD_Data(),Table_SourceData_PastureBeef_LiveweightNTQD[[#Headers],[State]], 0)</f>
        <v>282</v>
      </c>
      <c r="O60" s="20" t="str" cm="1">
        <f t="array" ref="O60">Common_InputFunctions.Utility_DisplayArrayInTable(SourceData_PastureBeef.SourceData_PastureBeef_LiveweightNTQLD_Data(),Table_SourceData_PastureBeef_LiveweightNTQD[[#Headers],[State]], 0)</f>
        <v>NO</v>
      </c>
      <c r="P60" s="20" t="str" cm="1">
        <f t="array" ref="P60">Common_InputFunctions.Utility_DisplayArrayInTable(SourceData_PastureBeef.SourceData_PastureBeef_LiveweightNTQLD_Data(),Table_SourceData_PastureBeef_LiveweightNTQD[[#Headers],[State]], 0)</f>
        <v>NO</v>
      </c>
    </row>
    <row r="61" spans="1:16" ht="20" customHeight="1" x14ac:dyDescent="0.25">
      <c r="D61" s="1" t="str" cm="1">
        <f t="array" ref="D61">Common_InputFunctions.Utility_DisplayArrayInTable(SourceData_PastureBeef.SourceData_PastureBeef_LiveweightNTQLD_Data(),Table_SourceData_PastureBeef_LiveweightNTQD[[#Headers],[State]], 0)</f>
        <v>Northern Territory</v>
      </c>
      <c r="E61" s="20" t="str" cm="1">
        <f t="array" ref="E61">Common_InputFunctions.Utility_DisplayArrayInTable(SourceData_PastureBeef.SourceData_PastureBeef_LiveweightNTQLD_Data(),Table_SourceData_PastureBeef_LiveweightNTQD[[#Headers],[State]], 0)</f>
        <v>Barkly</v>
      </c>
      <c r="F61" s="20" t="str" cm="1">
        <f t="array" ref="F61">Common_InputFunctions.Utility_DisplayArrayInTable(SourceData_PastureBeef.SourceData_PastureBeef_LiveweightNTQLD_Data(),Table_SourceData_PastureBeef_LiveweightNTQD[[#Headers],[State]], 0)</f>
        <v>Winter</v>
      </c>
      <c r="G61" s="20" cm="1">
        <f t="array" ref="G61">Common_InputFunctions.Utility_DisplayArrayInTable(SourceData_PastureBeef.SourceData_PastureBeef_LiveweightNTQLD_Data(),Table_SourceData_PastureBeef_LiveweightNTQD[[#Headers],[State]], 0)</f>
        <v>200</v>
      </c>
      <c r="H61" s="20" cm="1">
        <f t="array" ref="H61">Common_InputFunctions.Utility_DisplayArrayInTable(SourceData_PastureBeef.SourceData_PastureBeef_LiveweightNTQLD_Data(),Table_SourceData_PastureBeef_LiveweightNTQD[[#Headers],[State]], 0)</f>
        <v>660</v>
      </c>
      <c r="I61" s="20" cm="1">
        <f t="array" ref="I61">Common_InputFunctions.Utility_DisplayArrayInTable(SourceData_PastureBeef.SourceData_PastureBeef_LiveweightNTQLD_Data(),Table_SourceData_PastureBeef_LiveweightNTQD[[#Headers],[State]], 0)</f>
        <v>225</v>
      </c>
      <c r="J61" s="20" cm="1">
        <f t="array" ref="J61">Common_InputFunctions.Utility_DisplayArrayInTable(SourceData_PastureBeef.SourceData_PastureBeef_LiveweightNTQLD_Data(),Table_SourceData_PastureBeef_LiveweightNTQD[[#Headers],[State]], 0)</f>
        <v>307</v>
      </c>
      <c r="K61" s="20" cm="1">
        <f t="array" ref="K61">Common_InputFunctions.Utility_DisplayArrayInTable(SourceData_PastureBeef.SourceData_PastureBeef_LiveweightNTQLD_Data(),Table_SourceData_PastureBeef_LiveweightNTQD[[#Headers],[State]], 0)</f>
        <v>398</v>
      </c>
      <c r="L61" s="20" cm="1">
        <f t="array" ref="L61">Common_InputFunctions.Utility_DisplayArrayInTable(SourceData_PastureBeef.SourceData_PastureBeef_LiveweightNTQLD_Data(),Table_SourceData_PastureBeef_LiveweightNTQD[[#Headers],[State]], 0)</f>
        <v>452</v>
      </c>
      <c r="M61" s="20" cm="1">
        <f t="array" ref="M61">Common_InputFunctions.Utility_DisplayArrayInTable(SourceData_PastureBeef.SourceData_PastureBeef_LiveweightNTQLD_Data(),Table_SourceData_PastureBeef_LiveweightNTQD[[#Headers],[State]], 0)</f>
        <v>214</v>
      </c>
      <c r="N61" s="20" cm="1">
        <f t="array" ref="N61">Common_InputFunctions.Utility_DisplayArrayInTable(SourceData_PastureBeef.SourceData_PastureBeef_LiveweightNTQLD_Data(),Table_SourceData_PastureBeef_LiveweightNTQD[[#Headers],[State]], 0)</f>
        <v>326</v>
      </c>
      <c r="O61" s="20" t="str" cm="1">
        <f t="array" ref="O61">Common_InputFunctions.Utility_DisplayArrayInTable(SourceData_PastureBeef.SourceData_PastureBeef_LiveweightNTQLD_Data(),Table_SourceData_PastureBeef_LiveweightNTQD[[#Headers],[State]], 0)</f>
        <v>NO</v>
      </c>
      <c r="P61" s="20" t="str" cm="1">
        <f t="array" ref="P61">Common_InputFunctions.Utility_DisplayArrayInTable(SourceData_PastureBeef.SourceData_PastureBeef_LiveweightNTQLD_Data(),Table_SourceData_PastureBeef_LiveweightNTQD[[#Headers],[State]], 0)</f>
        <v>NO</v>
      </c>
    </row>
    <row r="62" spans="1:16" ht="20" customHeight="1" x14ac:dyDescent="0.25">
      <c r="D62" s="1" t="str" cm="1">
        <f t="array" ref="D62">Common_InputFunctions.Utility_DisplayArrayInTable(SourceData_PastureBeef.SourceData_PastureBeef_LiveweightNTQLD_Data(),Table_SourceData_PastureBeef_LiveweightNTQD[[#Headers],[State]], 0)</f>
        <v>Northern Territory</v>
      </c>
      <c r="E62" s="20" t="str" cm="1">
        <f t="array" ref="E62">Common_InputFunctions.Utility_DisplayArrayInTable(SourceData_PastureBeef.SourceData_PastureBeef_LiveweightNTQLD_Data(),Table_SourceData_PastureBeef_LiveweightNTQD[[#Headers],[State]], 0)</f>
        <v>Northern</v>
      </c>
      <c r="F62" s="20" t="str" cm="1">
        <f t="array" ref="F62">Common_InputFunctions.Utility_DisplayArrayInTable(SourceData_PastureBeef.SourceData_PastureBeef_LiveweightNTQLD_Data(),Table_SourceData_PastureBeef_LiveweightNTQD[[#Headers],[State]], 0)</f>
        <v>Spring</v>
      </c>
      <c r="G62" s="20" cm="1">
        <f t="array" ref="G62">Common_InputFunctions.Utility_DisplayArrayInTable(SourceData_PastureBeef.SourceData_PastureBeef_LiveweightNTQLD_Data(),Table_SourceData_PastureBeef_LiveweightNTQD[[#Headers],[State]], 0)</f>
        <v>220</v>
      </c>
      <c r="H62" s="20" cm="1">
        <f t="array" ref="H62">Common_InputFunctions.Utility_DisplayArrayInTable(SourceData_PastureBeef.SourceData_PastureBeef_LiveweightNTQLD_Data(),Table_SourceData_PastureBeef_LiveweightNTQD[[#Headers],[State]], 0)</f>
        <v>620</v>
      </c>
      <c r="I62" s="20" cm="1">
        <f t="array" ref="I62">Common_InputFunctions.Utility_DisplayArrayInTable(SourceData_PastureBeef.SourceData_PastureBeef_LiveweightNTQLD_Data(),Table_SourceData_PastureBeef_LiveweightNTQD[[#Headers],[State]], 0)</f>
        <v>177</v>
      </c>
      <c r="J62" s="20" cm="1">
        <f t="array" ref="J62">Common_InputFunctions.Utility_DisplayArrayInTable(SourceData_PastureBeef.SourceData_PastureBeef_LiveweightNTQLD_Data(),Table_SourceData_PastureBeef_LiveweightNTQD[[#Headers],[State]], 0)</f>
        <v>267</v>
      </c>
      <c r="K62" s="20" cm="1">
        <f t="array" ref="K62">Common_InputFunctions.Utility_DisplayArrayInTable(SourceData_PastureBeef.SourceData_PastureBeef_LiveweightNTQLD_Data(),Table_SourceData_PastureBeef_LiveweightNTQD[[#Headers],[State]], 0)</f>
        <v>365</v>
      </c>
      <c r="L62" s="20" cm="1">
        <f t="array" ref="L62">Common_InputFunctions.Utility_DisplayArrayInTable(SourceData_PastureBeef.SourceData_PastureBeef_LiveweightNTQLD_Data(),Table_SourceData_PastureBeef_LiveweightNTQD[[#Headers],[State]], 0)</f>
        <v>406</v>
      </c>
      <c r="M62" s="20" cm="1">
        <f t="array" ref="M62">Common_InputFunctions.Utility_DisplayArrayInTable(SourceData_PastureBeef.SourceData_PastureBeef_LiveweightNTQLD_Data(),Table_SourceData_PastureBeef_LiveweightNTQD[[#Headers],[State]], 0)</f>
        <v>231</v>
      </c>
      <c r="N62" s="20" cm="1">
        <f t="array" ref="N62">Common_InputFunctions.Utility_DisplayArrayInTable(SourceData_PastureBeef.SourceData_PastureBeef_LiveweightNTQLD_Data(),Table_SourceData_PastureBeef_LiveweightNTQD[[#Headers],[State]], 0)</f>
        <v>249</v>
      </c>
      <c r="O62" s="20" cm="1">
        <f t="array" ref="O62">Common_InputFunctions.Utility_DisplayArrayInTable(SourceData_PastureBeef.SourceData_PastureBeef_LiveweightNTQLD_Data(),Table_SourceData_PastureBeef_LiveweightNTQD[[#Headers],[State]], 0)</f>
        <v>324</v>
      </c>
      <c r="P62" s="20" t="str" cm="1">
        <f t="array" ref="P62">Common_InputFunctions.Utility_DisplayArrayInTable(SourceData_PastureBeef.SourceData_PastureBeef_LiveweightNTQLD_Data(),Table_SourceData_PastureBeef_LiveweightNTQD[[#Headers],[State]], 0)</f>
        <v>NO</v>
      </c>
    </row>
    <row r="63" spans="1:16" ht="20" customHeight="1" x14ac:dyDescent="0.25">
      <c r="D63" s="1" t="str" cm="1">
        <f t="array" ref="D63">Common_InputFunctions.Utility_DisplayArrayInTable(SourceData_PastureBeef.SourceData_PastureBeef_LiveweightNTQLD_Data(),Table_SourceData_PastureBeef_LiveweightNTQD[[#Headers],[State]], 0)</f>
        <v>Northern Territory</v>
      </c>
      <c r="E63" s="20" t="str" cm="1">
        <f t="array" ref="E63">Common_InputFunctions.Utility_DisplayArrayInTable(SourceData_PastureBeef.SourceData_PastureBeef_LiveweightNTQLD_Data(),Table_SourceData_PastureBeef_LiveweightNTQD[[#Headers],[State]], 0)</f>
        <v>Northern</v>
      </c>
      <c r="F63" s="20" t="str" cm="1">
        <f t="array" ref="F63">Common_InputFunctions.Utility_DisplayArrayInTable(SourceData_PastureBeef.SourceData_PastureBeef_LiveweightNTQLD_Data(),Table_SourceData_PastureBeef_LiveweightNTQD[[#Headers],[State]], 0)</f>
        <v>Summer</v>
      </c>
      <c r="G63" s="20" cm="1">
        <f t="array" ref="G63">Common_InputFunctions.Utility_DisplayArrayInTable(SourceData_PastureBeef.SourceData_PastureBeef_LiveweightNTQLD_Data(),Table_SourceData_PastureBeef_LiveweightNTQD[[#Headers],[State]], 0)</f>
        <v>110</v>
      </c>
      <c r="H63" s="20" cm="1">
        <f t="array" ref="H63">Common_InputFunctions.Utility_DisplayArrayInTable(SourceData_PastureBeef.SourceData_PastureBeef_LiveweightNTQLD_Data(),Table_SourceData_PastureBeef_LiveweightNTQD[[#Headers],[State]], 0)</f>
        <v>650</v>
      </c>
      <c r="I63" s="20" cm="1">
        <f t="array" ref="I63">Common_InputFunctions.Utility_DisplayArrayInTable(SourceData_PastureBeef.SourceData_PastureBeef_LiveweightNTQLD_Data(),Table_SourceData_PastureBeef_LiveweightNTQD[[#Headers],[State]], 0)</f>
        <v>102</v>
      </c>
      <c r="J63" s="20" cm="1">
        <f t="array" ref="J63">Common_InputFunctions.Utility_DisplayArrayInTable(SourceData_PastureBeef.SourceData_PastureBeef_LiveweightNTQLD_Data(),Table_SourceData_PastureBeef_LiveweightNTQD[[#Headers],[State]], 0)</f>
        <v>203</v>
      </c>
      <c r="K63" s="20" cm="1">
        <f t="array" ref="K63">Common_InputFunctions.Utility_DisplayArrayInTable(SourceData_PastureBeef.SourceData_PastureBeef_LiveweightNTQLD_Data(),Table_SourceData_PastureBeef_LiveweightNTQD[[#Headers],[State]], 0)</f>
        <v>299</v>
      </c>
      <c r="L63" s="20" cm="1">
        <f t="array" ref="L63">Common_InputFunctions.Utility_DisplayArrayInTable(SourceData_PastureBeef.SourceData_PastureBeef_LiveweightNTQLD_Data(),Table_SourceData_PastureBeef_LiveweightNTQD[[#Headers],[State]], 0)</f>
        <v>380</v>
      </c>
      <c r="M63" s="20" cm="1">
        <f t="array" ref="M63">Common_InputFunctions.Utility_DisplayArrayInTable(SourceData_PastureBeef.SourceData_PastureBeef_LiveweightNTQLD_Data(),Table_SourceData_PastureBeef_LiveweightNTQD[[#Headers],[State]], 0)</f>
        <v>102</v>
      </c>
      <c r="N63" s="20" cm="1">
        <f t="array" ref="N63">Common_InputFunctions.Utility_DisplayArrayInTable(SourceData_PastureBeef.SourceData_PastureBeef_LiveweightNTQLD_Data(),Table_SourceData_PastureBeef_LiveweightNTQD[[#Headers],[State]], 0)</f>
        <v>218</v>
      </c>
      <c r="O63" s="20" cm="1">
        <f t="array" ref="O63">Common_InputFunctions.Utility_DisplayArrayInTable(SourceData_PastureBeef.SourceData_PastureBeef_LiveweightNTQLD_Data(),Table_SourceData_PastureBeef_LiveweightNTQD[[#Headers],[State]], 0)</f>
        <v>263</v>
      </c>
      <c r="P63" s="20" t="str" cm="1">
        <f t="array" ref="P63">Common_InputFunctions.Utility_DisplayArrayInTable(SourceData_PastureBeef.SourceData_PastureBeef_LiveweightNTQLD_Data(),Table_SourceData_PastureBeef_LiveweightNTQD[[#Headers],[State]], 0)</f>
        <v>NO</v>
      </c>
    </row>
    <row r="64" spans="1:16" ht="20" customHeight="1" x14ac:dyDescent="0.25">
      <c r="D64" s="1" t="str" cm="1">
        <f t="array" ref="D64">Common_InputFunctions.Utility_DisplayArrayInTable(SourceData_PastureBeef.SourceData_PastureBeef_LiveweightNTQLD_Data(),Table_SourceData_PastureBeef_LiveweightNTQD[[#Headers],[State]], 0)</f>
        <v>Northern Territory</v>
      </c>
      <c r="E64" s="20" t="str" cm="1">
        <f t="array" ref="E64">Common_InputFunctions.Utility_DisplayArrayInTable(SourceData_PastureBeef.SourceData_PastureBeef_LiveweightNTQLD_Data(),Table_SourceData_PastureBeef_LiveweightNTQD[[#Headers],[State]], 0)</f>
        <v>Northern</v>
      </c>
      <c r="F64" s="20" t="str" cm="1">
        <f t="array" ref="F64">Common_InputFunctions.Utility_DisplayArrayInTable(SourceData_PastureBeef.SourceData_PastureBeef_LiveweightNTQLD_Data(),Table_SourceData_PastureBeef_LiveweightNTQD[[#Headers],[State]], 0)</f>
        <v>Autumn</v>
      </c>
      <c r="G64" s="20" cm="1">
        <f t="array" ref="G64">Common_InputFunctions.Utility_DisplayArrayInTable(SourceData_PastureBeef.SourceData_PastureBeef_LiveweightNTQLD_Data(),Table_SourceData_PastureBeef_LiveweightNTQD[[#Headers],[State]], 0)</f>
        <v>170</v>
      </c>
      <c r="H64" s="20" cm="1">
        <f t="array" ref="H64">Common_InputFunctions.Utility_DisplayArrayInTable(SourceData_PastureBeef.SourceData_PastureBeef_LiveweightNTQLD_Data(),Table_SourceData_PastureBeef_LiveweightNTQD[[#Headers],[State]], 0)</f>
        <v>670</v>
      </c>
      <c r="I64" s="20" cm="1">
        <f t="array" ref="I64">Common_InputFunctions.Utility_DisplayArrayInTable(SourceData_PastureBeef.SourceData_PastureBeef_LiveweightNTQLD_Data(),Table_SourceData_PastureBeef_LiveweightNTQD[[#Headers],[State]], 0)</f>
        <v>173</v>
      </c>
      <c r="J64" s="20" cm="1">
        <f t="array" ref="J64">Common_InputFunctions.Utility_DisplayArrayInTable(SourceData_PastureBeef.SourceData_PastureBeef_LiveweightNTQLD_Data(),Table_SourceData_PastureBeef_LiveweightNTQD[[#Headers],[State]], 0)</f>
        <v>250</v>
      </c>
      <c r="K64" s="20" cm="1">
        <f t="array" ref="K64">Common_InputFunctions.Utility_DisplayArrayInTable(SourceData_PastureBeef.SourceData_PastureBeef_LiveweightNTQLD_Data(),Table_SourceData_PastureBeef_LiveweightNTQD[[#Headers],[State]], 0)</f>
        <v>336</v>
      </c>
      <c r="L64" s="20" cm="1">
        <f t="array" ref="L64">Common_InputFunctions.Utility_DisplayArrayInTable(SourceData_PastureBeef.SourceData_PastureBeef_LiveweightNTQLD_Data(),Table_SourceData_PastureBeef_LiveweightNTQD[[#Headers],[State]], 0)</f>
        <v>414</v>
      </c>
      <c r="M64" s="20" cm="1">
        <f t="array" ref="M64">Common_InputFunctions.Utility_DisplayArrayInTable(SourceData_PastureBeef.SourceData_PastureBeef_LiveweightNTQLD_Data(),Table_SourceData_PastureBeef_LiveweightNTQD[[#Headers],[State]], 0)</f>
        <v>175</v>
      </c>
      <c r="N64" s="20" cm="1">
        <f t="array" ref="N64">Common_InputFunctions.Utility_DisplayArrayInTable(SourceData_PastureBeef.SourceData_PastureBeef_LiveweightNTQLD_Data(),Table_SourceData_PastureBeef_LiveweightNTQD[[#Headers],[State]], 0)</f>
        <v>243</v>
      </c>
      <c r="O64" s="20" cm="1">
        <f t="array" ref="O64">Common_InputFunctions.Utility_DisplayArrayInTable(SourceData_PastureBeef.SourceData_PastureBeef_LiveweightNTQLD_Data(),Table_SourceData_PastureBeef_LiveweightNTQD[[#Headers],[State]], 0)</f>
        <v>304</v>
      </c>
      <c r="P64" s="20" t="str" cm="1">
        <f t="array" ref="P64">Common_InputFunctions.Utility_DisplayArrayInTable(SourceData_PastureBeef.SourceData_PastureBeef_LiveweightNTQLD_Data(),Table_SourceData_PastureBeef_LiveweightNTQD[[#Headers],[State]], 0)</f>
        <v>NO</v>
      </c>
    </row>
    <row r="65" spans="4:22" ht="20" customHeight="1" x14ac:dyDescent="0.25">
      <c r="D65" s="1" t="str" cm="1">
        <f t="array" ref="D65">Common_InputFunctions.Utility_DisplayArrayInTable(SourceData_PastureBeef.SourceData_PastureBeef_LiveweightNTQLD_Data(),Table_SourceData_PastureBeef_LiveweightNTQD[[#Headers],[State]], 0)</f>
        <v>Northern Territory</v>
      </c>
      <c r="E65" s="20" t="str" cm="1">
        <f t="array" ref="E65">Common_InputFunctions.Utility_DisplayArrayInTable(SourceData_PastureBeef.SourceData_PastureBeef_LiveweightNTQLD_Data(),Table_SourceData_PastureBeef_LiveweightNTQD[[#Headers],[State]], 0)</f>
        <v>Northern</v>
      </c>
      <c r="F65" s="20" t="str" cm="1">
        <f t="array" ref="F65">Common_InputFunctions.Utility_DisplayArrayInTable(SourceData_PastureBeef.SourceData_PastureBeef_LiveweightNTQLD_Data(),Table_SourceData_PastureBeef_LiveweightNTQD[[#Headers],[State]], 0)</f>
        <v>Winter</v>
      </c>
      <c r="G65" s="20" cm="1">
        <f t="array" ref="G65">Common_InputFunctions.Utility_DisplayArrayInTable(SourceData_PastureBeef.SourceData_PastureBeef_LiveweightNTQLD_Data(),Table_SourceData_PastureBeef_LiveweightNTQD[[#Headers],[State]], 0)</f>
        <v>200</v>
      </c>
      <c r="H65" s="20" cm="1">
        <f t="array" ref="H65">Common_InputFunctions.Utility_DisplayArrayInTable(SourceData_PastureBeef.SourceData_PastureBeef_LiveweightNTQLD_Data(),Table_SourceData_PastureBeef_LiveweightNTQD[[#Headers],[State]], 0)</f>
        <v>660</v>
      </c>
      <c r="I65" s="20" cm="1">
        <f t="array" ref="I65">Common_InputFunctions.Utility_DisplayArrayInTable(SourceData_PastureBeef.SourceData_PastureBeef_LiveweightNTQLD_Data(),Table_SourceData_PastureBeef_LiveweightNTQD[[#Headers],[State]], 0)</f>
        <v>202</v>
      </c>
      <c r="J65" s="20" cm="1">
        <f t="array" ref="J65">Common_InputFunctions.Utility_DisplayArrayInTable(SourceData_PastureBeef.SourceData_PastureBeef_LiveweightNTQLD_Data(),Table_SourceData_PastureBeef_LiveweightNTQD[[#Headers],[State]], 0)</f>
        <v>272</v>
      </c>
      <c r="K65" s="20" cm="1">
        <f t="array" ref="K65">Common_InputFunctions.Utility_DisplayArrayInTable(SourceData_PastureBeef.SourceData_PastureBeef_LiveweightNTQLD_Data(),Table_SourceData_PastureBeef_LiveweightNTQD[[#Headers],[State]], 0)</f>
        <v>365</v>
      </c>
      <c r="L65" s="20" cm="1">
        <f t="array" ref="L65">Common_InputFunctions.Utility_DisplayArrayInTable(SourceData_PastureBeef.SourceData_PastureBeef_LiveweightNTQLD_Data(),Table_SourceData_PastureBeef_LiveweightNTQD[[#Headers],[State]], 0)</f>
        <v>390</v>
      </c>
      <c r="M65" s="20" cm="1">
        <f t="array" ref="M65">Common_InputFunctions.Utility_DisplayArrayInTable(SourceData_PastureBeef.SourceData_PastureBeef_LiveweightNTQLD_Data(),Table_SourceData_PastureBeef_LiveweightNTQD[[#Headers],[State]], 0)</f>
        <v>208</v>
      </c>
      <c r="N65" s="20" cm="1">
        <f t="array" ref="N65">Common_InputFunctions.Utility_DisplayArrayInTable(SourceData_PastureBeef.SourceData_PastureBeef_LiveweightNTQLD_Data(),Table_SourceData_PastureBeef_LiveweightNTQD[[#Headers],[State]], 0)</f>
        <v>260</v>
      </c>
      <c r="O65" s="20" cm="1">
        <f t="array" ref="O65">Common_InputFunctions.Utility_DisplayArrayInTable(SourceData_PastureBeef.SourceData_PastureBeef_LiveweightNTQLD_Data(),Table_SourceData_PastureBeef_LiveweightNTQD[[#Headers],[State]], 0)</f>
        <v>337</v>
      </c>
      <c r="P65" s="20" t="str" cm="1">
        <f t="array" ref="P65">Common_InputFunctions.Utility_DisplayArrayInTable(SourceData_PastureBeef.SourceData_PastureBeef_LiveweightNTQLD_Data(),Table_SourceData_PastureBeef_LiveweightNTQD[[#Headers],[State]], 0)</f>
        <v>NO</v>
      </c>
    </row>
    <row r="66" spans="4:22" ht="20" customHeight="1" x14ac:dyDescent="0.25">
      <c r="D66" s="1" t="str" cm="1">
        <f t="array" ref="D66">Common_InputFunctions.Utility_DisplayArrayInTable(SourceData_PastureBeef.SourceData_PastureBeef_LiveweightNTQLD_Data(),Table_SourceData_PastureBeef_LiveweightNTQD[[#Headers],[State]], 0)</f>
        <v>Queensland</v>
      </c>
      <c r="E66" s="20" t="str" cm="1">
        <f t="array" ref="E66">Common_InputFunctions.Utility_DisplayArrayInTable(SourceData_PastureBeef.SourceData_PastureBeef_LiveweightNTQLD_Data(),Table_SourceData_PastureBeef_LiveweightNTQD[[#Headers],[State]], 0)</f>
        <v>High</v>
      </c>
      <c r="F66" s="20" t="str" cm="1">
        <f t="array" ref="F66">Common_InputFunctions.Utility_DisplayArrayInTable(SourceData_PastureBeef.SourceData_PastureBeef_LiveweightNTQLD_Data(),Table_SourceData_PastureBeef_LiveweightNTQD[[#Headers],[State]], 0)</f>
        <v>Spring</v>
      </c>
      <c r="G66" s="20" cm="1">
        <f t="array" ref="G66">Common_InputFunctions.Utility_DisplayArrayInTable(SourceData_PastureBeef.SourceData_PastureBeef_LiveweightNTQLD_Data(),Table_SourceData_PastureBeef_LiveweightNTQD[[#Headers],[State]], 0)</f>
        <v>260</v>
      </c>
      <c r="H66" s="20" cm="1">
        <f t="array" ref="H66">Common_InputFunctions.Utility_DisplayArrayInTable(SourceData_PastureBeef.SourceData_PastureBeef_LiveweightNTQLD_Data(),Table_SourceData_PastureBeef_LiveweightNTQD[[#Headers],[State]], 0)</f>
        <v>705</v>
      </c>
      <c r="I66" s="20" cm="1">
        <f t="array" ref="I66">Common_InputFunctions.Utility_DisplayArrayInTable(SourceData_PastureBeef.SourceData_PastureBeef_LiveweightNTQLD_Data(),Table_SourceData_PastureBeef_LiveweightNTQD[[#Headers],[State]], 0)</f>
        <v>215</v>
      </c>
      <c r="J66" s="20" cm="1">
        <f t="array" ref="J66">Common_InputFunctions.Utility_DisplayArrayInTable(SourceData_PastureBeef.SourceData_PastureBeef_LiveweightNTQLD_Data(),Table_SourceData_PastureBeef_LiveweightNTQD[[#Headers],[State]], 0)</f>
        <v>302</v>
      </c>
      <c r="K66" s="20" cm="1">
        <f t="array" ref="K66">Common_InputFunctions.Utility_DisplayArrayInTable(SourceData_PastureBeef.SourceData_PastureBeef_LiveweightNTQLD_Data(),Table_SourceData_PastureBeef_LiveweightNTQD[[#Headers],[State]], 0)</f>
        <v>416</v>
      </c>
      <c r="L66" s="20" cm="1">
        <f t="array" ref="L66">Common_InputFunctions.Utility_DisplayArrayInTable(SourceData_PastureBeef.SourceData_PastureBeef_LiveweightNTQLD_Data(),Table_SourceData_PastureBeef_LiveweightNTQD[[#Headers],[State]], 0)</f>
        <v>519</v>
      </c>
      <c r="M66" s="20" cm="1">
        <f t="array" ref="M66">Common_InputFunctions.Utility_DisplayArrayInTable(SourceData_PastureBeef.SourceData_PastureBeef_LiveweightNTQLD_Data(),Table_SourceData_PastureBeef_LiveweightNTQD[[#Headers],[State]], 0)</f>
        <v>234</v>
      </c>
      <c r="N66" s="20" cm="1">
        <f t="array" ref="N66">Common_InputFunctions.Utility_DisplayArrayInTable(SourceData_PastureBeef.SourceData_PastureBeef_LiveweightNTQLD_Data(),Table_SourceData_PastureBeef_LiveweightNTQD[[#Headers],[State]], 0)</f>
        <v>455</v>
      </c>
      <c r="O66" s="20" cm="1">
        <f t="array" ref="O66">Common_InputFunctions.Utility_DisplayArrayInTable(SourceData_PastureBeef.SourceData_PastureBeef_LiveweightNTQLD_Data(),Table_SourceData_PastureBeef_LiveweightNTQD[[#Headers],[State]], 0)</f>
        <v>551</v>
      </c>
      <c r="P66" s="20" cm="1">
        <f t="array" ref="P66">Common_InputFunctions.Utility_DisplayArrayInTable(SourceData_PastureBeef.SourceData_PastureBeef_LiveweightNTQLD_Data(),Table_SourceData_PastureBeef_LiveweightNTQD[[#Headers],[State]], 0)</f>
        <v>660</v>
      </c>
    </row>
    <row r="67" spans="4:22" ht="20" customHeight="1" x14ac:dyDescent="0.25">
      <c r="D67" s="1" t="str" cm="1">
        <f t="array" ref="D67">Common_InputFunctions.Utility_DisplayArrayInTable(SourceData_PastureBeef.SourceData_PastureBeef_LiveweightNTQLD_Data(),Table_SourceData_PastureBeef_LiveweightNTQD[[#Headers],[State]], 0)</f>
        <v>Queensland</v>
      </c>
      <c r="E67" s="20" t="str" cm="1">
        <f t="array" ref="E67">Common_InputFunctions.Utility_DisplayArrayInTable(SourceData_PastureBeef.SourceData_PastureBeef_LiveweightNTQLD_Data(),Table_SourceData_PastureBeef_LiveweightNTQD[[#Headers],[State]], 0)</f>
        <v>High</v>
      </c>
      <c r="F67" s="20" t="str" cm="1">
        <f t="array" ref="F67">Common_InputFunctions.Utility_DisplayArrayInTable(SourceData_PastureBeef.SourceData_PastureBeef_LiveweightNTQLD_Data(),Table_SourceData_PastureBeef_LiveweightNTQD[[#Headers],[State]], 0)</f>
        <v>Summer</v>
      </c>
      <c r="G67" s="20" cm="1">
        <f t="array" ref="G67">Common_InputFunctions.Utility_DisplayArrayInTable(SourceData_PastureBeef.SourceData_PastureBeef_LiveweightNTQLD_Data(),Table_SourceData_PastureBeef_LiveweightNTQD[[#Headers],[State]], 0)</f>
        <v>153</v>
      </c>
      <c r="H67" s="20" cm="1">
        <f t="array" ref="H67">Common_InputFunctions.Utility_DisplayArrayInTable(SourceData_PastureBeef.SourceData_PastureBeef_LiveweightNTQLD_Data(),Table_SourceData_PastureBeef_LiveweightNTQD[[#Headers],[State]], 0)</f>
        <v>703</v>
      </c>
      <c r="I67" s="20" cm="1">
        <f t="array" ref="I67">Common_InputFunctions.Utility_DisplayArrayInTable(SourceData_PastureBeef.SourceData_PastureBeef_LiveweightNTQLD_Data(),Table_SourceData_PastureBeef_LiveweightNTQD[[#Headers],[State]], 0)</f>
        <v>118</v>
      </c>
      <c r="J67" s="20" cm="1">
        <f t="array" ref="J67">Common_InputFunctions.Utility_DisplayArrayInTable(SourceData_PastureBeef.SourceData_PastureBeef_LiveweightNTQLD_Data(),Table_SourceData_PastureBeef_LiveweightNTQD[[#Headers],[State]], 0)</f>
        <v>277</v>
      </c>
      <c r="K67" s="20" cm="1">
        <f t="array" ref="K67">Common_InputFunctions.Utility_DisplayArrayInTable(SourceData_PastureBeef.SourceData_PastureBeef_LiveweightNTQLD_Data(),Table_SourceData_PastureBeef_LiveweightNTQD[[#Headers],[State]], 0)</f>
        <v>397</v>
      </c>
      <c r="L67" s="20" cm="1">
        <f t="array" ref="L67">Common_InputFunctions.Utility_DisplayArrayInTable(SourceData_PastureBeef.SourceData_PastureBeef_LiveweightNTQLD_Data(),Table_SourceData_PastureBeef_LiveweightNTQD[[#Headers],[State]], 0)</f>
        <v>483</v>
      </c>
      <c r="M67" s="20" cm="1">
        <f t="array" ref="M67">Common_InputFunctions.Utility_DisplayArrayInTable(SourceData_PastureBeef.SourceData_PastureBeef_LiveweightNTQLD_Data(),Table_SourceData_PastureBeef_LiveweightNTQD[[#Headers],[State]], 0)</f>
        <v>111</v>
      </c>
      <c r="N67" s="20" cm="1">
        <f t="array" ref="N67">Common_InputFunctions.Utility_DisplayArrayInTable(SourceData_PastureBeef.SourceData_PastureBeef_LiveweightNTQLD_Data(),Table_SourceData_PastureBeef_LiveweightNTQD[[#Headers],[State]], 0)</f>
        <v>304</v>
      </c>
      <c r="O67" s="20" cm="1">
        <f t="array" ref="O67">Common_InputFunctions.Utility_DisplayArrayInTable(SourceData_PastureBeef.SourceData_PastureBeef_LiveweightNTQLD_Data(),Table_SourceData_PastureBeef_LiveweightNTQD[[#Headers],[State]], 0)</f>
        <v>521</v>
      </c>
      <c r="P67" s="20" cm="1">
        <f t="array" ref="P67">Common_InputFunctions.Utility_DisplayArrayInTable(SourceData_PastureBeef.SourceData_PastureBeef_LiveweightNTQLD_Data(),Table_SourceData_PastureBeef_LiveweightNTQD[[#Headers],[State]], 0)</f>
        <v>547</v>
      </c>
    </row>
    <row r="68" spans="4:22" ht="20" customHeight="1" x14ac:dyDescent="0.25">
      <c r="D68" s="1" t="str" cm="1">
        <f t="array" ref="D68">Common_InputFunctions.Utility_DisplayArrayInTable(SourceData_PastureBeef.SourceData_PastureBeef_LiveweightNTQLD_Data(),Table_SourceData_PastureBeef_LiveweightNTQD[[#Headers],[State]], 0)</f>
        <v>Queensland</v>
      </c>
      <c r="E68" s="20" t="str" cm="1">
        <f t="array" ref="E68">Common_InputFunctions.Utility_DisplayArrayInTable(SourceData_PastureBeef.SourceData_PastureBeef_LiveweightNTQLD_Data(),Table_SourceData_PastureBeef_LiveweightNTQD[[#Headers],[State]], 0)</f>
        <v>High</v>
      </c>
      <c r="F68" s="20" t="str" cm="1">
        <f t="array" ref="F68">Common_InputFunctions.Utility_DisplayArrayInTable(SourceData_PastureBeef.SourceData_PastureBeef_LiveweightNTQLD_Data(),Table_SourceData_PastureBeef_LiveweightNTQD[[#Headers],[State]], 0)</f>
        <v>Autumn</v>
      </c>
      <c r="G68" s="20" cm="1">
        <f t="array" ref="G68">Common_InputFunctions.Utility_DisplayArrayInTable(SourceData_PastureBeef.SourceData_PastureBeef_LiveweightNTQLD_Data(),Table_SourceData_PastureBeef_LiveweightNTQD[[#Headers],[State]], 0)</f>
        <v>168</v>
      </c>
      <c r="H68" s="20" cm="1">
        <f t="array" ref="H68">Common_InputFunctions.Utility_DisplayArrayInTable(SourceData_PastureBeef.SourceData_PastureBeef_LiveweightNTQLD_Data(),Table_SourceData_PastureBeef_LiveweightNTQD[[#Headers],[State]], 0)</f>
        <v>718</v>
      </c>
      <c r="I68" s="20" cm="1">
        <f t="array" ref="I68">Common_InputFunctions.Utility_DisplayArrayInTable(SourceData_PastureBeef.SourceData_PastureBeef_LiveweightNTQLD_Data(),Table_SourceData_PastureBeef_LiveweightNTQD[[#Headers],[State]], 0)</f>
        <v>191</v>
      </c>
      <c r="J68" s="20" cm="1">
        <f t="array" ref="J68">Common_InputFunctions.Utility_DisplayArrayInTable(SourceData_PastureBeef.SourceData_PastureBeef_LiveweightNTQLD_Data(),Table_SourceData_PastureBeef_LiveweightNTQD[[#Headers],[State]], 0)</f>
        <v>319</v>
      </c>
      <c r="K68" s="20" cm="1">
        <f t="array" ref="K68">Common_InputFunctions.Utility_DisplayArrayInTable(SourceData_PastureBeef.SourceData_PastureBeef_LiveweightNTQLD_Data(),Table_SourceData_PastureBeef_LiveweightNTQD[[#Headers],[State]], 0)</f>
        <v>440</v>
      </c>
      <c r="L68" s="20" cm="1">
        <f t="array" ref="L68">Common_InputFunctions.Utility_DisplayArrayInTable(SourceData_PastureBeef.SourceData_PastureBeef_LiveweightNTQLD_Data(),Table_SourceData_PastureBeef_LiveweightNTQD[[#Headers],[State]], 0)</f>
        <v>506</v>
      </c>
      <c r="M68" s="20" cm="1">
        <f t="array" ref="M68">Common_InputFunctions.Utility_DisplayArrayInTable(SourceData_PastureBeef.SourceData_PastureBeef_LiveweightNTQLD_Data(),Table_SourceData_PastureBeef_LiveweightNTQD[[#Headers],[State]], 0)</f>
        <v>188</v>
      </c>
      <c r="N68" s="20" cm="1">
        <f t="array" ref="N68">Common_InputFunctions.Utility_DisplayArrayInTable(SourceData_PastureBeef.SourceData_PastureBeef_LiveweightNTQLD_Data(),Table_SourceData_PastureBeef_LiveweightNTQD[[#Headers],[State]], 0)</f>
        <v>326</v>
      </c>
      <c r="O68" s="20" cm="1">
        <f t="array" ref="O68">Common_InputFunctions.Utility_DisplayArrayInTable(SourceData_PastureBeef.SourceData_PastureBeef_LiveweightNTQLD_Data(),Table_SourceData_PastureBeef_LiveweightNTQD[[#Headers],[State]], 0)</f>
        <v>520</v>
      </c>
      <c r="P68" s="20" cm="1">
        <f t="array" ref="P68">Common_InputFunctions.Utility_DisplayArrayInTable(SourceData_PastureBeef.SourceData_PastureBeef_LiveweightNTQLD_Data(),Table_SourceData_PastureBeef_LiveweightNTQD[[#Headers],[State]], 0)</f>
        <v>582</v>
      </c>
    </row>
    <row r="69" spans="4:22" ht="20" customHeight="1" x14ac:dyDescent="0.25">
      <c r="D69" s="1" t="str" cm="1">
        <f t="array" ref="D69">Common_InputFunctions.Utility_DisplayArrayInTable(SourceData_PastureBeef.SourceData_PastureBeef_LiveweightNTQLD_Data(),Table_SourceData_PastureBeef_LiveweightNTQD[[#Headers],[State]], 0)</f>
        <v>Queensland</v>
      </c>
      <c r="E69" s="20" t="str" cm="1">
        <f t="array" ref="E69">Common_InputFunctions.Utility_DisplayArrayInTable(SourceData_PastureBeef.SourceData_PastureBeef_LiveweightNTQLD_Data(),Table_SourceData_PastureBeef_LiveweightNTQD[[#Headers],[State]], 0)</f>
        <v>High</v>
      </c>
      <c r="F69" s="20" t="str" cm="1">
        <f t="array" ref="F69">Common_InputFunctions.Utility_DisplayArrayInTable(SourceData_PastureBeef.SourceData_PastureBeef_LiveweightNTQLD_Data(),Table_SourceData_PastureBeef_LiveweightNTQD[[#Headers],[State]], 0)</f>
        <v>Winter</v>
      </c>
      <c r="G69" s="20" cm="1">
        <f t="array" ref="G69">Common_InputFunctions.Utility_DisplayArrayInTable(SourceData_PastureBeef.SourceData_PastureBeef_LiveweightNTQLD_Data(),Table_SourceData_PastureBeef_LiveweightNTQD[[#Headers],[State]], 0)</f>
        <v>235</v>
      </c>
      <c r="H69" s="20" cm="1">
        <f t="array" ref="H69">Common_InputFunctions.Utility_DisplayArrayInTable(SourceData_PastureBeef.SourceData_PastureBeef_LiveweightNTQLD_Data(),Table_SourceData_PastureBeef_LiveweightNTQD[[#Headers],[State]], 0)</f>
        <v>722</v>
      </c>
      <c r="I69" s="20" cm="1">
        <f t="array" ref="I69">Common_InputFunctions.Utility_DisplayArrayInTable(SourceData_PastureBeef.SourceData_PastureBeef_LiveweightNTQLD_Data(),Table_SourceData_PastureBeef_LiveweightNTQD[[#Headers],[State]], 0)</f>
        <v>207</v>
      </c>
      <c r="J69" s="20" cm="1">
        <f t="array" ref="J69">Common_InputFunctions.Utility_DisplayArrayInTable(SourceData_PastureBeef.SourceData_PastureBeef_LiveweightNTQLD_Data(),Table_SourceData_PastureBeef_LiveweightNTQD[[#Headers],[State]], 0)</f>
        <v>352</v>
      </c>
      <c r="K69" s="20" cm="1">
        <f t="array" ref="K69">Common_InputFunctions.Utility_DisplayArrayInTable(SourceData_PastureBeef.SourceData_PastureBeef_LiveweightNTQLD_Data(),Table_SourceData_PastureBeef_LiveweightNTQD[[#Headers],[State]], 0)</f>
        <v>470</v>
      </c>
      <c r="L69" s="20" cm="1">
        <f t="array" ref="L69">Common_InputFunctions.Utility_DisplayArrayInTable(SourceData_PastureBeef.SourceData_PastureBeef_LiveweightNTQLD_Data(),Table_SourceData_PastureBeef_LiveweightNTQD[[#Headers],[State]], 0)</f>
        <v>514</v>
      </c>
      <c r="M69" s="20" cm="1">
        <f t="array" ref="M69">Common_InputFunctions.Utility_DisplayArrayInTable(SourceData_PastureBeef.SourceData_PastureBeef_LiveweightNTQLD_Data(),Table_SourceData_PastureBeef_LiveweightNTQD[[#Headers],[State]], 0)</f>
        <v>209</v>
      </c>
      <c r="N69" s="20" cm="1">
        <f t="array" ref="N69">Common_InputFunctions.Utility_DisplayArrayInTable(SourceData_PastureBeef.SourceData_PastureBeef_LiveweightNTQLD_Data(),Table_SourceData_PastureBeef_LiveweightNTQD[[#Headers],[State]], 0)</f>
        <v>421</v>
      </c>
      <c r="O69" s="20" cm="1">
        <f t="array" ref="O69">Common_InputFunctions.Utility_DisplayArrayInTable(SourceData_PastureBeef.SourceData_PastureBeef_LiveweightNTQLD_Data(),Table_SourceData_PastureBeef_LiveweightNTQD[[#Headers],[State]], 0)</f>
        <v>512</v>
      </c>
      <c r="P69" s="20" cm="1">
        <f t="array" ref="P69">Common_InputFunctions.Utility_DisplayArrayInTable(SourceData_PastureBeef.SourceData_PastureBeef_LiveweightNTQLD_Data(),Table_SourceData_PastureBeef_LiveweightNTQD[[#Headers],[State]], 0)</f>
        <v>605</v>
      </c>
    </row>
    <row r="70" spans="4:22" ht="20" customHeight="1" x14ac:dyDescent="0.25">
      <c r="D70" s="1" t="str" cm="1">
        <f t="array" ref="D70">Common_InputFunctions.Utility_DisplayArrayInTable(SourceData_PastureBeef.SourceData_PastureBeef_LiveweightNTQLD_Data(),Table_SourceData_PastureBeef_LiveweightNTQD[[#Headers],[State]], 0)</f>
        <v>Queensland</v>
      </c>
      <c r="E70" s="20" t="str" cm="1">
        <f t="array" ref="E70">Common_InputFunctions.Utility_DisplayArrayInTable(SourceData_PastureBeef.SourceData_PastureBeef_LiveweightNTQLD_Data(),Table_SourceData_PastureBeef_LiveweightNTQD[[#Headers],[State]], 0)</f>
        <v>Moderate/High</v>
      </c>
      <c r="F70" s="20" t="str" cm="1">
        <f t="array" ref="F70">Common_InputFunctions.Utility_DisplayArrayInTable(SourceData_PastureBeef.SourceData_PastureBeef_LiveweightNTQLD_Data(),Table_SourceData_PastureBeef_LiveweightNTQD[[#Headers],[State]], 0)</f>
        <v>Spring</v>
      </c>
      <c r="G70" s="20" cm="1">
        <f t="array" ref="G70">Common_InputFunctions.Utility_DisplayArrayInTable(SourceData_PastureBeef.SourceData_PastureBeef_LiveweightNTQLD_Data(),Table_SourceData_PastureBeef_LiveweightNTQD[[#Headers],[State]], 0)</f>
        <v>230</v>
      </c>
      <c r="H70" s="20" cm="1">
        <f t="array" ref="H70">Common_InputFunctions.Utility_DisplayArrayInTable(SourceData_PastureBeef.SourceData_PastureBeef_LiveweightNTQLD_Data(),Table_SourceData_PastureBeef_LiveweightNTQD[[#Headers],[State]], 0)</f>
        <v>674</v>
      </c>
      <c r="I70" s="20" cm="1">
        <f t="array" ref="I70">Common_InputFunctions.Utility_DisplayArrayInTable(SourceData_PastureBeef.SourceData_PastureBeef_LiveweightNTQLD_Data(),Table_SourceData_PastureBeef_LiveweightNTQD[[#Headers],[State]], 0)</f>
        <v>217</v>
      </c>
      <c r="J70" s="20" cm="1">
        <f t="array" ref="J70">Common_InputFunctions.Utility_DisplayArrayInTable(SourceData_PastureBeef.SourceData_PastureBeef_LiveweightNTQLD_Data(),Table_SourceData_PastureBeef_LiveweightNTQD[[#Headers],[State]], 0)</f>
        <v>344</v>
      </c>
      <c r="K70" s="20" cm="1">
        <f t="array" ref="K70">Common_InputFunctions.Utility_DisplayArrayInTable(SourceData_PastureBeef.SourceData_PastureBeef_LiveweightNTQLD_Data(),Table_SourceData_PastureBeef_LiveweightNTQD[[#Headers],[State]], 0)</f>
        <v>357</v>
      </c>
      <c r="L70" s="20" cm="1">
        <f t="array" ref="L70">Common_InputFunctions.Utility_DisplayArrayInTable(SourceData_PastureBeef.SourceData_PastureBeef_LiveweightNTQLD_Data(),Table_SourceData_PastureBeef_LiveweightNTQD[[#Headers],[State]], 0)</f>
        <v>467</v>
      </c>
      <c r="M70" s="20" cm="1">
        <f t="array" ref="M70">Common_InputFunctions.Utility_DisplayArrayInTable(SourceData_PastureBeef.SourceData_PastureBeef_LiveweightNTQLD_Data(),Table_SourceData_PastureBeef_LiveweightNTQD[[#Headers],[State]], 0)</f>
        <v>242</v>
      </c>
      <c r="N70" s="20" cm="1">
        <f t="array" ref="N70">Common_InputFunctions.Utility_DisplayArrayInTable(SourceData_PastureBeef.SourceData_PastureBeef_LiveweightNTQLD_Data(),Table_SourceData_PastureBeef_LiveweightNTQD[[#Headers],[State]], 0)</f>
        <v>370</v>
      </c>
      <c r="O70" s="20" cm="1">
        <f t="array" ref="O70">Common_InputFunctions.Utility_DisplayArrayInTable(SourceData_PastureBeef.SourceData_PastureBeef_LiveweightNTQLD_Data(),Table_SourceData_PastureBeef_LiveweightNTQD[[#Headers],[State]], 0)</f>
        <v>550</v>
      </c>
      <c r="P70" s="20" cm="1">
        <f t="array" ref="P70">Common_InputFunctions.Utility_DisplayArrayInTable(SourceData_PastureBeef.SourceData_PastureBeef_LiveweightNTQLD_Data(),Table_SourceData_PastureBeef_LiveweightNTQD[[#Headers],[State]], 0)</f>
        <v>620</v>
      </c>
    </row>
    <row r="71" spans="4:22" ht="20" customHeight="1" x14ac:dyDescent="0.25">
      <c r="D71" s="1" t="str" cm="1">
        <f t="array" ref="D71">Common_InputFunctions.Utility_DisplayArrayInTable(SourceData_PastureBeef.SourceData_PastureBeef_LiveweightNTQLD_Data(),Table_SourceData_PastureBeef_LiveweightNTQD[[#Headers],[State]], 0)</f>
        <v>Queensland</v>
      </c>
      <c r="E71" s="20" t="str" cm="1">
        <f t="array" ref="E71">Common_InputFunctions.Utility_DisplayArrayInTable(SourceData_PastureBeef.SourceData_PastureBeef_LiveweightNTQLD_Data(),Table_SourceData_PastureBeef_LiveweightNTQD[[#Headers],[State]], 0)</f>
        <v>Moderate/High</v>
      </c>
      <c r="F71" s="20" t="str" cm="1">
        <f t="array" ref="F71">Common_InputFunctions.Utility_DisplayArrayInTable(SourceData_PastureBeef.SourceData_PastureBeef_LiveweightNTQLD_Data(),Table_SourceData_PastureBeef_LiveweightNTQD[[#Headers],[State]], 0)</f>
        <v>Summer</v>
      </c>
      <c r="G71" s="20" cm="1">
        <f t="array" ref="G71">Common_InputFunctions.Utility_DisplayArrayInTable(SourceData_PastureBeef.SourceData_PastureBeef_LiveweightNTQLD_Data(),Table_SourceData_PastureBeef_LiveweightNTQD[[#Headers],[State]], 0)</f>
        <v>113</v>
      </c>
      <c r="H71" s="20" cm="1">
        <f t="array" ref="H71">Common_InputFunctions.Utility_DisplayArrayInTable(SourceData_PastureBeef.SourceData_PastureBeef_LiveweightNTQLD_Data(),Table_SourceData_PastureBeef_LiveweightNTQD[[#Headers],[State]], 0)</f>
        <v>669</v>
      </c>
      <c r="I71" s="20" cm="1">
        <f t="array" ref="I71">Common_InputFunctions.Utility_DisplayArrayInTable(SourceData_PastureBeef.SourceData_PastureBeef_LiveweightNTQLD_Data(),Table_SourceData_PastureBeef_LiveweightNTQD[[#Headers],[State]], 0)</f>
        <v>113</v>
      </c>
      <c r="J71" s="20" cm="1">
        <f t="array" ref="J71">Common_InputFunctions.Utility_DisplayArrayInTable(SourceData_PastureBeef.SourceData_PastureBeef_LiveweightNTQLD_Data(),Table_SourceData_PastureBeef_LiveweightNTQD[[#Headers],[State]], 0)</f>
        <v>283</v>
      </c>
      <c r="K71" s="20" cm="1">
        <f t="array" ref="K71">Common_InputFunctions.Utility_DisplayArrayInTable(SourceData_PastureBeef.SourceData_PastureBeef_LiveweightNTQLD_Data(),Table_SourceData_PastureBeef_LiveweightNTQD[[#Headers],[State]], 0)</f>
        <v>361</v>
      </c>
      <c r="L71" s="20" cm="1">
        <f t="array" ref="L71">Common_InputFunctions.Utility_DisplayArrayInTable(SourceData_PastureBeef.SourceData_PastureBeef_LiveweightNTQLD_Data(),Table_SourceData_PastureBeef_LiveweightNTQD[[#Headers],[State]], 0)</f>
        <v>477</v>
      </c>
      <c r="M71" s="20" cm="1">
        <f t="array" ref="M71">Common_InputFunctions.Utility_DisplayArrayInTable(SourceData_PastureBeef.SourceData_PastureBeef_LiveweightNTQLD_Data(),Table_SourceData_PastureBeef_LiveweightNTQD[[#Headers],[State]], 0)</f>
        <v>120</v>
      </c>
      <c r="N71" s="20" cm="1">
        <f t="array" ref="N71">Common_InputFunctions.Utility_DisplayArrayInTable(SourceData_PastureBeef.SourceData_PastureBeef_LiveweightNTQLD_Data(),Table_SourceData_PastureBeef_LiveweightNTQD[[#Headers],[State]], 0)</f>
        <v>273</v>
      </c>
      <c r="O71" s="20" cm="1">
        <f t="array" ref="O71">Common_InputFunctions.Utility_DisplayArrayInTable(SourceData_PastureBeef.SourceData_PastureBeef_LiveweightNTQLD_Data(),Table_SourceData_PastureBeef_LiveweightNTQD[[#Headers],[State]], 0)</f>
        <v>545</v>
      </c>
      <c r="P71" s="20" cm="1">
        <f t="array" ref="P71">Common_InputFunctions.Utility_DisplayArrayInTable(SourceData_PastureBeef.SourceData_PastureBeef_LiveweightNTQLD_Data(),Table_SourceData_PastureBeef_LiveweightNTQD[[#Headers],[State]], 0)</f>
        <v>553</v>
      </c>
      <c r="V71" s="1"/>
    </row>
    <row r="72" spans="4:22" ht="20" customHeight="1" x14ac:dyDescent="0.25">
      <c r="D72" s="1" t="str" cm="1">
        <f t="array" ref="D72">Common_InputFunctions.Utility_DisplayArrayInTable(SourceData_PastureBeef.SourceData_PastureBeef_LiveweightNTQLD_Data(),Table_SourceData_PastureBeef_LiveweightNTQD[[#Headers],[State]], 0)</f>
        <v>Queensland</v>
      </c>
      <c r="E72" s="20" t="str" cm="1">
        <f t="array" ref="E72">Common_InputFunctions.Utility_DisplayArrayInTable(SourceData_PastureBeef.SourceData_PastureBeef_LiveweightNTQLD_Data(),Table_SourceData_PastureBeef_LiveweightNTQD[[#Headers],[State]], 0)</f>
        <v>Moderate/High</v>
      </c>
      <c r="F72" s="20" t="str" cm="1">
        <f t="array" ref="F72">Common_InputFunctions.Utility_DisplayArrayInTable(SourceData_PastureBeef.SourceData_PastureBeef_LiveweightNTQLD_Data(),Table_SourceData_PastureBeef_LiveweightNTQD[[#Headers],[State]], 0)</f>
        <v>Autumn</v>
      </c>
      <c r="G72" s="20" cm="1">
        <f t="array" ref="G72">Common_InputFunctions.Utility_DisplayArrayInTable(SourceData_PastureBeef.SourceData_PastureBeef_LiveweightNTQLD_Data(),Table_SourceData_PastureBeef_LiveweightNTQD[[#Headers],[State]], 0)</f>
        <v>172</v>
      </c>
      <c r="H72" s="20" cm="1">
        <f t="array" ref="H72">Common_InputFunctions.Utility_DisplayArrayInTable(SourceData_PastureBeef.SourceData_PastureBeef_LiveweightNTQLD_Data(),Table_SourceData_PastureBeef_LiveweightNTQD[[#Headers],[State]], 0)</f>
        <v>685</v>
      </c>
      <c r="I72" s="20" cm="1">
        <f t="array" ref="I72">Common_InputFunctions.Utility_DisplayArrayInTable(SourceData_PastureBeef.SourceData_PastureBeef_LiveweightNTQLD_Data(),Table_SourceData_PastureBeef_LiveweightNTQD[[#Headers],[State]], 0)</f>
        <v>172</v>
      </c>
      <c r="J72" s="20" cm="1">
        <f t="array" ref="J72">Common_InputFunctions.Utility_DisplayArrayInTable(SourceData_PastureBeef.SourceData_PastureBeef_LiveweightNTQLD_Data(),Table_SourceData_PastureBeef_LiveweightNTQD[[#Headers],[State]], 0)</f>
        <v>309</v>
      </c>
      <c r="K72" s="20" cm="1">
        <f t="array" ref="K72">Common_InputFunctions.Utility_DisplayArrayInTable(SourceData_PastureBeef.SourceData_PastureBeef_LiveweightNTQLD_Data(),Table_SourceData_PastureBeef_LiveweightNTQD[[#Headers],[State]], 0)</f>
        <v>376</v>
      </c>
      <c r="L72" s="20" cm="1">
        <f t="array" ref="L72">Common_InputFunctions.Utility_DisplayArrayInTable(SourceData_PastureBeef.SourceData_PastureBeef_LiveweightNTQLD_Data(),Table_SourceData_PastureBeef_LiveweightNTQD[[#Headers],[State]], 0)</f>
        <v>471</v>
      </c>
      <c r="M72" s="20" cm="1">
        <f t="array" ref="M72">Common_InputFunctions.Utility_DisplayArrayInTable(SourceData_PastureBeef.SourceData_PastureBeef_LiveweightNTQLD_Data(),Table_SourceData_PastureBeef_LiveweightNTQD[[#Headers],[State]], 0)</f>
        <v>238</v>
      </c>
      <c r="N72" s="20" cm="1">
        <f t="array" ref="N72">Common_InputFunctions.Utility_DisplayArrayInTable(SourceData_PastureBeef.SourceData_PastureBeef_LiveweightNTQLD_Data(),Table_SourceData_PastureBeef_LiveweightNTQD[[#Headers],[State]], 0)</f>
        <v>329</v>
      </c>
      <c r="O72" s="20" cm="1">
        <f t="array" ref="O72">Common_InputFunctions.Utility_DisplayArrayInTable(SourceData_PastureBeef.SourceData_PastureBeef_LiveweightNTQLD_Data(),Table_SourceData_PastureBeef_LiveweightNTQD[[#Headers],[State]], 0)</f>
        <v>573</v>
      </c>
      <c r="P72" s="20" cm="1">
        <f t="array" ref="P72">Common_InputFunctions.Utility_DisplayArrayInTable(SourceData_PastureBeef.SourceData_PastureBeef_LiveweightNTQLD_Data(),Table_SourceData_PastureBeef_LiveweightNTQD[[#Headers],[State]], 0)</f>
        <v>620</v>
      </c>
      <c r="V72" s="1"/>
    </row>
    <row r="73" spans="4:22" ht="20" customHeight="1" x14ac:dyDescent="0.25">
      <c r="D73" s="1" t="str" cm="1">
        <f t="array" ref="D73">Common_InputFunctions.Utility_DisplayArrayInTable(SourceData_PastureBeef.SourceData_PastureBeef_LiveweightNTQLD_Data(),Table_SourceData_PastureBeef_LiveweightNTQD[[#Headers],[State]], 0)</f>
        <v>Queensland</v>
      </c>
      <c r="E73" s="20" t="str" cm="1">
        <f t="array" ref="E73">Common_InputFunctions.Utility_DisplayArrayInTable(SourceData_PastureBeef.SourceData_PastureBeef_LiveweightNTQLD_Data(),Table_SourceData_PastureBeef_LiveweightNTQD[[#Headers],[State]], 0)</f>
        <v>Moderate/High</v>
      </c>
      <c r="F73" s="20" t="str" cm="1">
        <f t="array" ref="F73">Common_InputFunctions.Utility_DisplayArrayInTable(SourceData_PastureBeef.SourceData_PastureBeef_LiveweightNTQLD_Data(),Table_SourceData_PastureBeef_LiveweightNTQD[[#Headers],[State]], 0)</f>
        <v>Winter</v>
      </c>
      <c r="G73" s="20" cm="1">
        <f t="array" ref="G73">Common_InputFunctions.Utility_DisplayArrayInTable(SourceData_PastureBeef.SourceData_PastureBeef_LiveweightNTQLD_Data(),Table_SourceData_PastureBeef_LiveweightNTQD[[#Headers],[State]], 0)</f>
        <v>241</v>
      </c>
      <c r="H73" s="20" cm="1">
        <f t="array" ref="H73">Common_InputFunctions.Utility_DisplayArrayInTable(SourceData_PastureBeef.SourceData_PastureBeef_LiveweightNTQLD_Data(),Table_SourceData_PastureBeef_LiveweightNTQD[[#Headers],[State]], 0)</f>
        <v>692</v>
      </c>
      <c r="I73" s="20" cm="1">
        <f t="array" ref="I73">Common_InputFunctions.Utility_DisplayArrayInTable(SourceData_PastureBeef.SourceData_PastureBeef_LiveweightNTQLD_Data(),Table_SourceData_PastureBeef_LiveweightNTQD[[#Headers],[State]], 0)</f>
        <v>208</v>
      </c>
      <c r="J73" s="20" cm="1">
        <f t="array" ref="J73">Common_InputFunctions.Utility_DisplayArrayInTable(SourceData_PastureBeef.SourceData_PastureBeef_LiveweightNTQLD_Data(),Table_SourceData_PastureBeef_LiveweightNTQD[[#Headers],[State]], 0)</f>
        <v>344</v>
      </c>
      <c r="K73" s="20" cm="1">
        <f t="array" ref="K73">Common_InputFunctions.Utility_DisplayArrayInTable(SourceData_PastureBeef.SourceData_PastureBeef_LiveweightNTQLD_Data(),Table_SourceData_PastureBeef_LiveweightNTQD[[#Headers],[State]], 0)</f>
        <v>364</v>
      </c>
      <c r="L73" s="20" cm="1">
        <f t="array" ref="L73">Common_InputFunctions.Utility_DisplayArrayInTable(SourceData_PastureBeef.SourceData_PastureBeef_LiveweightNTQLD_Data(),Table_SourceData_PastureBeef_LiveweightNTQD[[#Headers],[State]], 0)</f>
        <v>484</v>
      </c>
      <c r="M73" s="20" cm="1">
        <f t="array" ref="M73">Common_InputFunctions.Utility_DisplayArrayInTable(SourceData_PastureBeef.SourceData_PastureBeef_LiveweightNTQLD_Data(),Table_SourceData_PastureBeef_LiveweightNTQD[[#Headers],[State]], 0)</f>
        <v>260</v>
      </c>
      <c r="N73" s="20" cm="1">
        <f t="array" ref="N73">Common_InputFunctions.Utility_DisplayArrayInTable(SourceData_PastureBeef.SourceData_PastureBeef_LiveweightNTQLD_Data(),Table_SourceData_PastureBeef_LiveweightNTQD[[#Headers],[State]], 0)</f>
        <v>350</v>
      </c>
      <c r="O73" s="20" cm="1">
        <f t="array" ref="O73">Common_InputFunctions.Utility_DisplayArrayInTable(SourceData_PastureBeef.SourceData_PastureBeef_LiveweightNTQLD_Data(),Table_SourceData_PastureBeef_LiveweightNTQD[[#Headers],[State]], 0)</f>
        <v>567</v>
      </c>
      <c r="P73" s="20" cm="1">
        <f t="array" ref="P73">Common_InputFunctions.Utility_DisplayArrayInTable(SourceData_PastureBeef.SourceData_PastureBeef_LiveweightNTQLD_Data(),Table_SourceData_PastureBeef_LiveweightNTQD[[#Headers],[State]], 0)</f>
        <v>620</v>
      </c>
      <c r="V73" s="1"/>
    </row>
    <row r="74" spans="4:22" ht="20" customHeight="1" x14ac:dyDescent="0.25">
      <c r="D74" s="1" t="str" cm="1">
        <f t="array" ref="D74">Common_InputFunctions.Utility_DisplayArrayInTable(SourceData_PastureBeef.SourceData_PastureBeef_LiveweightNTQLD_Data(),Table_SourceData_PastureBeef_LiveweightNTQD[[#Headers],[State]], 0)</f>
        <v>Queensland</v>
      </c>
      <c r="E74" s="20" t="str" cm="1">
        <f t="array" ref="E74">Common_InputFunctions.Utility_DisplayArrayInTable(SourceData_PastureBeef.SourceData_PastureBeef_LiveweightNTQLD_Data(),Table_SourceData_PastureBeef_LiveweightNTQD[[#Headers],[State]], 0)</f>
        <v>Moderate/Low</v>
      </c>
      <c r="F74" s="20" t="str" cm="1">
        <f t="array" ref="F74">Common_InputFunctions.Utility_DisplayArrayInTable(SourceData_PastureBeef.SourceData_PastureBeef_LiveweightNTQLD_Data(),Table_SourceData_PastureBeef_LiveweightNTQD[[#Headers],[State]], 0)</f>
        <v>Spring</v>
      </c>
      <c r="G74" s="20" cm="1">
        <f t="array" ref="G74">Common_InputFunctions.Utility_DisplayArrayInTable(SourceData_PastureBeef.SourceData_PastureBeef_LiveweightNTQLD_Data(),Table_SourceData_PastureBeef_LiveweightNTQD[[#Headers],[State]], 0)</f>
        <v>236</v>
      </c>
      <c r="H74" s="20" cm="1">
        <f t="array" ref="H74">Common_InputFunctions.Utility_DisplayArrayInTable(SourceData_PastureBeef.SourceData_PastureBeef_LiveweightNTQLD_Data(),Table_SourceData_PastureBeef_LiveweightNTQD[[#Headers],[State]], 0)</f>
        <v>674</v>
      </c>
      <c r="I74" s="20" cm="1">
        <f t="array" ref="I74">Common_InputFunctions.Utility_DisplayArrayInTable(SourceData_PastureBeef.SourceData_PastureBeef_LiveweightNTQLD_Data(),Table_SourceData_PastureBeef_LiveweightNTQD[[#Headers],[State]], 0)</f>
        <v>178</v>
      </c>
      <c r="J74" s="20" cm="1">
        <f t="array" ref="J74">Common_InputFunctions.Utility_DisplayArrayInTable(SourceData_PastureBeef.SourceData_PastureBeef_LiveweightNTQLD_Data(),Table_SourceData_PastureBeef_LiveweightNTQD[[#Headers],[State]], 0)</f>
        <v>310</v>
      </c>
      <c r="K74" s="20" cm="1">
        <f t="array" ref="K74">Common_InputFunctions.Utility_DisplayArrayInTable(SourceData_PastureBeef.SourceData_PastureBeef_LiveweightNTQLD_Data(),Table_SourceData_PastureBeef_LiveweightNTQD[[#Headers],[State]], 0)</f>
        <v>428</v>
      </c>
      <c r="L74" s="20" cm="1">
        <f t="array" ref="L74">Common_InputFunctions.Utility_DisplayArrayInTable(SourceData_PastureBeef.SourceData_PastureBeef_LiveweightNTQLD_Data(),Table_SourceData_PastureBeef_LiveweightNTQD[[#Headers],[State]], 0)</f>
        <v>466</v>
      </c>
      <c r="M74" s="20" cm="1">
        <f t="array" ref="M74">Common_InputFunctions.Utility_DisplayArrayInTable(SourceData_PastureBeef.SourceData_PastureBeef_LiveweightNTQLD_Data(),Table_SourceData_PastureBeef_LiveweightNTQD[[#Headers],[State]], 0)</f>
        <v>193</v>
      </c>
      <c r="N74" s="20" cm="1">
        <f t="array" ref="N74">Common_InputFunctions.Utility_DisplayArrayInTable(SourceData_PastureBeef.SourceData_PastureBeef_LiveweightNTQLD_Data(),Table_SourceData_PastureBeef_LiveweightNTQD[[#Headers],[State]], 0)</f>
        <v>370</v>
      </c>
      <c r="O74" s="20" cm="1">
        <f t="array" ref="O74">Common_InputFunctions.Utility_DisplayArrayInTable(SourceData_PastureBeef.SourceData_PastureBeef_LiveweightNTQLD_Data(),Table_SourceData_PastureBeef_LiveweightNTQD[[#Headers],[State]], 0)</f>
        <v>519</v>
      </c>
      <c r="P74" s="20" cm="1">
        <f t="array" ref="P74">Common_InputFunctions.Utility_DisplayArrayInTable(SourceData_PastureBeef.SourceData_PastureBeef_LiveweightNTQLD_Data(),Table_SourceData_PastureBeef_LiveweightNTQD[[#Headers],[State]], 0)</f>
        <v>565</v>
      </c>
      <c r="V74" s="1"/>
    </row>
    <row r="75" spans="4:22" ht="20" customHeight="1" x14ac:dyDescent="0.25">
      <c r="D75" s="1" t="str" cm="1">
        <f t="array" ref="D75">Common_InputFunctions.Utility_DisplayArrayInTable(SourceData_PastureBeef.SourceData_PastureBeef_LiveweightNTQLD_Data(),Table_SourceData_PastureBeef_LiveweightNTQD[[#Headers],[State]], 0)</f>
        <v>Queensland</v>
      </c>
      <c r="E75" s="20" t="str" cm="1">
        <f t="array" ref="E75">Common_InputFunctions.Utility_DisplayArrayInTable(SourceData_PastureBeef.SourceData_PastureBeef_LiveweightNTQLD_Data(),Table_SourceData_PastureBeef_LiveweightNTQD[[#Headers],[State]], 0)</f>
        <v>Moderate/Low</v>
      </c>
      <c r="F75" s="20" t="str" cm="1">
        <f t="array" ref="F75">Common_InputFunctions.Utility_DisplayArrayInTable(SourceData_PastureBeef.SourceData_PastureBeef_LiveweightNTQLD_Data(),Table_SourceData_PastureBeef_LiveweightNTQD[[#Headers],[State]], 0)</f>
        <v>Summer</v>
      </c>
      <c r="G75" s="20" cm="1">
        <f t="array" ref="G75">Common_InputFunctions.Utility_DisplayArrayInTable(SourceData_PastureBeef.SourceData_PastureBeef_LiveweightNTQLD_Data(),Table_SourceData_PastureBeef_LiveweightNTQD[[#Headers],[State]], 0)</f>
        <v>120</v>
      </c>
      <c r="H75" s="20" cm="1">
        <f t="array" ref="H75">Common_InputFunctions.Utility_DisplayArrayInTable(SourceData_PastureBeef.SourceData_PastureBeef_LiveweightNTQLD_Data(),Table_SourceData_PastureBeef_LiveweightNTQD[[#Headers],[State]], 0)</f>
        <v>669</v>
      </c>
      <c r="I75" s="20" cm="1">
        <f t="array" ref="I75">Common_InputFunctions.Utility_DisplayArrayInTable(SourceData_PastureBeef.SourceData_PastureBeef_LiveweightNTQLD_Data(),Table_SourceData_PastureBeef_LiveweightNTQD[[#Headers],[State]], 0)</f>
        <v>112</v>
      </c>
      <c r="J75" s="20" cm="1">
        <f t="array" ref="J75">Common_InputFunctions.Utility_DisplayArrayInTable(SourceData_PastureBeef.SourceData_PastureBeef_LiveweightNTQLD_Data(),Table_SourceData_PastureBeef_LiveweightNTQD[[#Headers],[State]], 0)</f>
        <v>250</v>
      </c>
      <c r="K75" s="20" cm="1">
        <f t="array" ref="K75">Common_InputFunctions.Utility_DisplayArrayInTable(SourceData_PastureBeef.SourceData_PastureBeef_LiveweightNTQLD_Data(),Table_SourceData_PastureBeef_LiveweightNTQD[[#Headers],[State]], 0)</f>
        <v>390</v>
      </c>
      <c r="L75" s="20" cm="1">
        <f t="array" ref="L75">Common_InputFunctions.Utility_DisplayArrayInTable(SourceData_PastureBeef.SourceData_PastureBeef_LiveweightNTQLD_Data(),Table_SourceData_PastureBeef_LiveweightNTQD[[#Headers],[State]], 0)</f>
        <v>448</v>
      </c>
      <c r="M75" s="20" cm="1">
        <f t="array" ref="M75">Common_InputFunctions.Utility_DisplayArrayInTable(SourceData_PastureBeef.SourceData_PastureBeef_LiveweightNTQLD_Data(),Table_SourceData_PastureBeef_LiveweightNTQD[[#Headers],[State]], 0)</f>
        <v>115</v>
      </c>
      <c r="N75" s="20" cm="1">
        <f t="array" ref="N75">Common_InputFunctions.Utility_DisplayArrayInTable(SourceData_PastureBeef.SourceData_PastureBeef_LiveweightNTQLD_Data(),Table_SourceData_PastureBeef_LiveweightNTQD[[#Headers],[State]], 0)</f>
        <v>273</v>
      </c>
      <c r="O75" s="20" cm="1">
        <f t="array" ref="O75">Common_InputFunctions.Utility_DisplayArrayInTable(SourceData_PastureBeef.SourceData_PastureBeef_LiveweightNTQLD_Data(),Table_SourceData_PastureBeef_LiveweightNTQD[[#Headers],[State]], 0)</f>
        <v>433</v>
      </c>
      <c r="P75" s="20" cm="1">
        <f t="array" ref="P75">Common_InputFunctions.Utility_DisplayArrayInTable(SourceData_PastureBeef.SourceData_PastureBeef_LiveweightNTQLD_Data(),Table_SourceData_PastureBeef_LiveweightNTQD[[#Headers],[State]], 0)</f>
        <v>556</v>
      </c>
      <c r="V75" s="1"/>
    </row>
    <row r="76" spans="4:22" ht="20" customHeight="1" x14ac:dyDescent="0.25">
      <c r="D76" s="1" t="str" cm="1">
        <f t="array" ref="D76">Common_InputFunctions.Utility_DisplayArrayInTable(SourceData_PastureBeef.SourceData_PastureBeef_LiveweightNTQLD_Data(),Table_SourceData_PastureBeef_LiveweightNTQD[[#Headers],[State]], 0)</f>
        <v>Queensland</v>
      </c>
      <c r="E76" s="20" t="str" cm="1">
        <f t="array" ref="E76">Common_InputFunctions.Utility_DisplayArrayInTable(SourceData_PastureBeef.SourceData_PastureBeef_LiveweightNTQLD_Data(),Table_SourceData_PastureBeef_LiveweightNTQD[[#Headers],[State]], 0)</f>
        <v>Moderate/Low</v>
      </c>
      <c r="F76" s="20" t="str" cm="1">
        <f t="array" ref="F76">Common_InputFunctions.Utility_DisplayArrayInTable(SourceData_PastureBeef.SourceData_PastureBeef_LiveweightNTQLD_Data(),Table_SourceData_PastureBeef_LiveweightNTQD[[#Headers],[State]], 0)</f>
        <v>Autumn</v>
      </c>
      <c r="G76" s="20" cm="1">
        <f t="array" ref="G76">Common_InputFunctions.Utility_DisplayArrayInTable(SourceData_PastureBeef.SourceData_PastureBeef_LiveweightNTQLD_Data(),Table_SourceData_PastureBeef_LiveweightNTQD[[#Headers],[State]], 0)</f>
        <v>125</v>
      </c>
      <c r="H76" s="20" cm="1">
        <f t="array" ref="H76">Common_InputFunctions.Utility_DisplayArrayInTable(SourceData_PastureBeef.SourceData_PastureBeef_LiveweightNTQLD_Data(),Table_SourceData_PastureBeef_LiveweightNTQD[[#Headers],[State]], 0)</f>
        <v>685</v>
      </c>
      <c r="I76" s="20" cm="1">
        <f t="array" ref="I76">Common_InputFunctions.Utility_DisplayArrayInTable(SourceData_PastureBeef.SourceData_PastureBeef_LiveweightNTQLD_Data(),Table_SourceData_PastureBeef_LiveweightNTQD[[#Headers],[State]], 0)</f>
        <v>140</v>
      </c>
      <c r="J76" s="20" cm="1">
        <f t="array" ref="J76">Common_InputFunctions.Utility_DisplayArrayInTable(SourceData_PastureBeef.SourceData_PastureBeef_LiveweightNTQLD_Data(),Table_SourceData_PastureBeef_LiveweightNTQD[[#Headers],[State]], 0)</f>
        <v>277</v>
      </c>
      <c r="K76" s="20" cm="1">
        <f t="array" ref="K76">Common_InputFunctions.Utility_DisplayArrayInTable(SourceData_PastureBeef.SourceData_PastureBeef_LiveweightNTQLD_Data(),Table_SourceData_PastureBeef_LiveweightNTQD[[#Headers],[State]], 0)</f>
        <v>407</v>
      </c>
      <c r="L76" s="20" cm="1">
        <f t="array" ref="L76">Common_InputFunctions.Utility_DisplayArrayInTable(SourceData_PastureBeef.SourceData_PastureBeef_LiveweightNTQLD_Data(),Table_SourceData_PastureBeef_LiveweightNTQD[[#Headers],[State]], 0)</f>
        <v>455</v>
      </c>
      <c r="M76" s="20" cm="1">
        <f t="array" ref="M76">Common_InputFunctions.Utility_DisplayArrayInTable(SourceData_PastureBeef.SourceData_PastureBeef_LiveweightNTQLD_Data(),Table_SourceData_PastureBeef_LiveweightNTQD[[#Headers],[State]], 0)</f>
        <v>141</v>
      </c>
      <c r="N76" s="20" cm="1">
        <f t="array" ref="N76">Common_InputFunctions.Utility_DisplayArrayInTable(SourceData_PastureBeef.SourceData_PastureBeef_LiveweightNTQLD_Data(),Table_SourceData_PastureBeef_LiveweightNTQD[[#Headers],[State]], 0)</f>
        <v>296</v>
      </c>
      <c r="O76" s="20" cm="1">
        <f t="array" ref="O76">Common_InputFunctions.Utility_DisplayArrayInTable(SourceData_PastureBeef.SourceData_PastureBeef_LiveweightNTQLD_Data(),Table_SourceData_PastureBeef_LiveweightNTQD[[#Headers],[State]], 0)</f>
        <v>445</v>
      </c>
      <c r="P76" s="20" cm="1">
        <f t="array" ref="P76">Common_InputFunctions.Utility_DisplayArrayInTable(SourceData_PastureBeef.SourceData_PastureBeef_LiveweightNTQLD_Data(),Table_SourceData_PastureBeef_LiveweightNTQD[[#Headers],[State]], 0)</f>
        <v>593</v>
      </c>
      <c r="V76" s="1"/>
    </row>
    <row r="77" spans="4:22" ht="20" customHeight="1" x14ac:dyDescent="0.25">
      <c r="D77" s="1" t="str" cm="1">
        <f t="array" ref="D77">Common_InputFunctions.Utility_DisplayArrayInTable(SourceData_PastureBeef.SourceData_PastureBeef_LiveweightNTQLD_Data(),Table_SourceData_PastureBeef_LiveweightNTQD[[#Headers],[State]], 0)</f>
        <v>Queensland</v>
      </c>
      <c r="E77" s="20" t="str" cm="1">
        <f t="array" ref="E77">Common_InputFunctions.Utility_DisplayArrayInTable(SourceData_PastureBeef.SourceData_PastureBeef_LiveweightNTQLD_Data(),Table_SourceData_PastureBeef_LiveweightNTQD[[#Headers],[State]], 0)</f>
        <v>Moderate/Low</v>
      </c>
      <c r="F77" s="20" t="str" cm="1">
        <f t="array" ref="F77">Common_InputFunctions.Utility_DisplayArrayInTable(SourceData_PastureBeef.SourceData_PastureBeef_LiveweightNTQLD_Data(),Table_SourceData_PastureBeef_LiveweightNTQD[[#Headers],[State]], 0)</f>
        <v>Winter</v>
      </c>
      <c r="G77" s="20" cm="1">
        <f t="array" ref="G77">Common_InputFunctions.Utility_DisplayArrayInTable(SourceData_PastureBeef.SourceData_PastureBeef_LiveweightNTQLD_Data(),Table_SourceData_PastureBeef_LiveweightNTQD[[#Headers],[State]], 0)</f>
        <v>180</v>
      </c>
      <c r="H77" s="20" cm="1">
        <f t="array" ref="H77">Common_InputFunctions.Utility_DisplayArrayInTable(SourceData_PastureBeef.SourceData_PastureBeef_LiveweightNTQLD_Data(),Table_SourceData_PastureBeef_LiveweightNTQD[[#Headers],[State]], 0)</f>
        <v>692</v>
      </c>
      <c r="I77" s="20" cm="1">
        <f t="array" ref="I77">Common_InputFunctions.Utility_DisplayArrayInTable(SourceData_PastureBeef.SourceData_PastureBeef_LiveweightNTQLD_Data(),Table_SourceData_PastureBeef_LiveweightNTQD[[#Headers],[State]], 0)</f>
        <v>183</v>
      </c>
      <c r="J77" s="20" cm="1">
        <f t="array" ref="J77">Common_InputFunctions.Utility_DisplayArrayInTable(SourceData_PastureBeef.SourceData_PastureBeef_LiveweightNTQLD_Data(),Table_SourceData_PastureBeef_LiveweightNTQD[[#Headers],[State]], 0)</f>
        <v>316</v>
      </c>
      <c r="K77" s="20" cm="1">
        <f t="array" ref="K77">Common_InputFunctions.Utility_DisplayArrayInTable(SourceData_PastureBeef.SourceData_PastureBeef_LiveweightNTQLD_Data(),Table_SourceData_PastureBeef_LiveweightNTQD[[#Headers],[State]], 0)</f>
        <v>438</v>
      </c>
      <c r="L77" s="20" cm="1">
        <f t="array" ref="L77">Common_InputFunctions.Utility_DisplayArrayInTable(SourceData_PastureBeef.SourceData_PastureBeef_LiveweightNTQLD_Data(),Table_SourceData_PastureBeef_LiveweightNTQD[[#Headers],[State]], 0)</f>
        <v>468</v>
      </c>
      <c r="M77" s="20" cm="1">
        <f t="array" ref="M77">Common_InputFunctions.Utility_DisplayArrayInTable(SourceData_PastureBeef.SourceData_PastureBeef_LiveweightNTQLD_Data(),Table_SourceData_PastureBeef_LiveweightNTQD[[#Headers],[State]], 0)</f>
        <v>189</v>
      </c>
      <c r="N77" s="20" cm="1">
        <f t="array" ref="N77">Common_InputFunctions.Utility_DisplayArrayInTable(SourceData_PastureBeef.SourceData_PastureBeef_LiveweightNTQLD_Data(),Table_SourceData_PastureBeef_LiveweightNTQD[[#Headers],[State]], 0)</f>
        <v>354</v>
      </c>
      <c r="O77" s="20" cm="1">
        <f t="array" ref="O77">Common_InputFunctions.Utility_DisplayArrayInTable(SourceData_PastureBeef.SourceData_PastureBeef_LiveweightNTQLD_Data(),Table_SourceData_PastureBeef_LiveweightNTQD[[#Headers],[State]], 0)</f>
        <v>500</v>
      </c>
      <c r="P77" s="20" cm="1">
        <f t="array" ref="P77">Common_InputFunctions.Utility_DisplayArrayInTable(SourceData_PastureBeef.SourceData_PastureBeef_LiveweightNTQLD_Data(),Table_SourceData_PastureBeef_LiveweightNTQD[[#Headers],[State]], 0)</f>
        <v>553</v>
      </c>
      <c r="V77" s="1"/>
    </row>
    <row r="78" spans="4:22" ht="20" customHeight="1" x14ac:dyDescent="0.25">
      <c r="D78" s="1" t="str" cm="1">
        <f t="array" ref="D78">Common_InputFunctions.Utility_DisplayArrayInTable(SourceData_PastureBeef.SourceData_PastureBeef_LiveweightNTQLD_Data(),Table_SourceData_PastureBeef_LiveweightNTQD[[#Headers],[State]], 0)</f>
        <v>Queensland</v>
      </c>
      <c r="E78" s="20" t="str" cm="1">
        <f t="array" ref="E78">Common_InputFunctions.Utility_DisplayArrayInTable(SourceData_PastureBeef.SourceData_PastureBeef_LiveweightNTQLD_Data(),Table_SourceData_PastureBeef_LiveweightNTQD[[#Headers],[State]], 0)</f>
        <v>Low</v>
      </c>
      <c r="F78" s="20" t="str" cm="1">
        <f t="array" ref="F78">Common_InputFunctions.Utility_DisplayArrayInTable(SourceData_PastureBeef.SourceData_PastureBeef_LiveweightNTQLD_Data(),Table_SourceData_PastureBeef_LiveweightNTQD[[#Headers],[State]], 0)</f>
        <v>Spring</v>
      </c>
      <c r="G78" s="20" cm="1">
        <f t="array" ref="G78">Common_InputFunctions.Utility_DisplayArrayInTable(SourceData_PastureBeef.SourceData_PastureBeef_LiveweightNTQLD_Data(),Table_SourceData_PastureBeef_LiveweightNTQD[[#Headers],[State]], 0)</f>
        <v>190</v>
      </c>
      <c r="H78" s="20" cm="1">
        <f t="array" ref="H78">Common_InputFunctions.Utility_DisplayArrayInTable(SourceData_PastureBeef.SourceData_PastureBeef_LiveweightNTQLD_Data(),Table_SourceData_PastureBeef_LiveweightNTQD[[#Headers],[State]], 0)</f>
        <v>617</v>
      </c>
      <c r="I78" s="20" cm="1">
        <f t="array" ref="I78">Common_InputFunctions.Utility_DisplayArrayInTable(SourceData_PastureBeef.SourceData_PastureBeef_LiveweightNTQLD_Data(),Table_SourceData_PastureBeef_LiveweightNTQD[[#Headers],[State]], 0)</f>
        <v>174</v>
      </c>
      <c r="J78" s="20" cm="1">
        <f t="array" ref="J78">Common_InputFunctions.Utility_DisplayArrayInTable(SourceData_PastureBeef.SourceData_PastureBeef_LiveweightNTQLD_Data(),Table_SourceData_PastureBeef_LiveweightNTQD[[#Headers],[State]], 0)</f>
        <v>265</v>
      </c>
      <c r="K78" s="20" cm="1">
        <f t="array" ref="K78">Common_InputFunctions.Utility_DisplayArrayInTable(SourceData_PastureBeef.SourceData_PastureBeef_LiveweightNTQLD_Data(),Table_SourceData_PastureBeef_LiveweightNTQD[[#Headers],[State]], 0)</f>
        <v>371</v>
      </c>
      <c r="L78" s="20" cm="1">
        <f t="array" ref="L78">Common_InputFunctions.Utility_DisplayArrayInTable(SourceData_PastureBeef.SourceData_PastureBeef_LiveweightNTQLD_Data(),Table_SourceData_PastureBeef_LiveweightNTQD[[#Headers],[State]], 0)</f>
        <v>415</v>
      </c>
      <c r="M78" s="20" cm="1">
        <f t="array" ref="M78">Common_InputFunctions.Utility_DisplayArrayInTable(SourceData_PastureBeef.SourceData_PastureBeef_LiveweightNTQLD_Data(),Table_SourceData_PastureBeef_LiveweightNTQD[[#Headers],[State]], 0)</f>
        <v>170</v>
      </c>
      <c r="N78" s="20" cm="1">
        <f t="array" ref="N78">Common_InputFunctions.Utility_DisplayArrayInTable(SourceData_PastureBeef.SourceData_PastureBeef_LiveweightNTQLD_Data(),Table_SourceData_PastureBeef_LiveweightNTQD[[#Headers],[State]], 0)</f>
        <v>272</v>
      </c>
      <c r="O78" s="20" cm="1">
        <f t="array" ref="O78">Common_InputFunctions.Utility_DisplayArrayInTable(SourceData_PastureBeef.SourceData_PastureBeef_LiveweightNTQLD_Data(),Table_SourceData_PastureBeef_LiveweightNTQD[[#Headers],[State]], 0)</f>
        <v>392</v>
      </c>
      <c r="P78" s="20" cm="1">
        <f t="array" ref="P78">Common_InputFunctions.Utility_DisplayArrayInTable(SourceData_PastureBeef.SourceData_PastureBeef_LiveweightNTQLD_Data(),Table_SourceData_PastureBeef_LiveweightNTQD[[#Headers],[State]], 0)</f>
        <v>531</v>
      </c>
    </row>
    <row r="79" spans="4:22" ht="20" customHeight="1" x14ac:dyDescent="0.25">
      <c r="D79" s="1" t="str" cm="1">
        <f t="array" ref="D79">Common_InputFunctions.Utility_DisplayArrayInTable(SourceData_PastureBeef.SourceData_PastureBeef_LiveweightNTQLD_Data(),Table_SourceData_PastureBeef_LiveweightNTQD[[#Headers],[State]], 0)</f>
        <v>Queensland</v>
      </c>
      <c r="E79" s="20" t="str" cm="1">
        <f t="array" ref="E79">Common_InputFunctions.Utility_DisplayArrayInTable(SourceData_PastureBeef.SourceData_PastureBeef_LiveweightNTQLD_Data(),Table_SourceData_PastureBeef_LiveweightNTQD[[#Headers],[State]], 0)</f>
        <v>Low</v>
      </c>
      <c r="F79" s="20" t="str" cm="1">
        <f t="array" ref="F79">Common_InputFunctions.Utility_DisplayArrayInTable(SourceData_PastureBeef.SourceData_PastureBeef_LiveweightNTQLD_Data(),Table_SourceData_PastureBeef_LiveweightNTQD[[#Headers],[State]], 0)</f>
        <v>Summer</v>
      </c>
      <c r="G79" s="20" cm="1">
        <f t="array" ref="G79">Common_InputFunctions.Utility_DisplayArrayInTable(SourceData_PastureBeef.SourceData_PastureBeef_LiveweightNTQLD_Data(),Table_SourceData_PastureBeef_LiveweightNTQD[[#Headers],[State]], 0)</f>
        <v>119</v>
      </c>
      <c r="H79" s="20" cm="1">
        <f t="array" ref="H79">Common_InputFunctions.Utility_DisplayArrayInTable(SourceData_PastureBeef.SourceData_PastureBeef_LiveweightNTQLD_Data(),Table_SourceData_PastureBeef_LiveweightNTQD[[#Headers],[State]], 0)</f>
        <v>591</v>
      </c>
      <c r="I79" s="20" cm="1">
        <f t="array" ref="I79">Common_InputFunctions.Utility_DisplayArrayInTable(SourceData_PastureBeef.SourceData_PastureBeef_LiveweightNTQLD_Data(),Table_SourceData_PastureBeef_LiveweightNTQD[[#Headers],[State]], 0)</f>
        <v>140</v>
      </c>
      <c r="J79" s="20" cm="1">
        <f t="array" ref="J79">Common_InputFunctions.Utility_DisplayArrayInTable(SourceData_PastureBeef.SourceData_PastureBeef_LiveweightNTQLD_Data(),Table_SourceData_PastureBeef_LiveweightNTQD[[#Headers],[State]], 0)</f>
        <v>205</v>
      </c>
      <c r="K79" s="20" cm="1">
        <f t="array" ref="K79">Common_InputFunctions.Utility_DisplayArrayInTable(SourceData_PastureBeef.SourceData_PastureBeef_LiveweightNTQLD_Data(),Table_SourceData_PastureBeef_LiveweightNTQD[[#Headers],[State]], 0)</f>
        <v>310</v>
      </c>
      <c r="L79" s="20" cm="1">
        <f t="array" ref="L79">Common_InputFunctions.Utility_DisplayArrayInTable(SourceData_PastureBeef.SourceData_PastureBeef_LiveweightNTQLD_Data(),Table_SourceData_PastureBeef_LiveweightNTQD[[#Headers],[State]], 0)</f>
        <v>405</v>
      </c>
      <c r="M79" s="20" cm="1">
        <f t="array" ref="M79">Common_InputFunctions.Utility_DisplayArrayInTable(SourceData_PastureBeef.SourceData_PastureBeef_LiveweightNTQLD_Data(),Table_SourceData_PastureBeef_LiveweightNTQD[[#Headers],[State]], 0)</f>
        <v>133</v>
      </c>
      <c r="N79" s="20" cm="1">
        <f t="array" ref="N79">Common_InputFunctions.Utility_DisplayArrayInTable(SourceData_PastureBeef.SourceData_PastureBeef_LiveweightNTQLD_Data(),Table_SourceData_PastureBeef_LiveweightNTQD[[#Headers],[State]], 0)</f>
        <v>218</v>
      </c>
      <c r="O79" s="20" cm="1">
        <f t="array" ref="O79">Common_InputFunctions.Utility_DisplayArrayInTable(SourceData_PastureBeef.SourceData_PastureBeef_LiveweightNTQLD_Data(),Table_SourceData_PastureBeef_LiveweightNTQD[[#Headers],[State]], 0)</f>
        <v>315</v>
      </c>
      <c r="P79" s="20" cm="1">
        <f t="array" ref="P79">Common_InputFunctions.Utility_DisplayArrayInTable(SourceData_PastureBeef.SourceData_PastureBeef_LiveweightNTQLD_Data(),Table_SourceData_PastureBeef_LiveweightNTQD[[#Headers],[State]], 0)</f>
        <v>445</v>
      </c>
    </row>
    <row r="80" spans="4:22" ht="20" customHeight="1" x14ac:dyDescent="0.25">
      <c r="D80" s="1" t="str" cm="1">
        <f t="array" ref="D80">Common_InputFunctions.Utility_DisplayArrayInTable(SourceData_PastureBeef.SourceData_PastureBeef_LiveweightNTQLD_Data(),Table_SourceData_PastureBeef_LiveweightNTQD[[#Headers],[State]], 0)</f>
        <v>Queensland</v>
      </c>
      <c r="E80" s="20" t="str" cm="1">
        <f t="array" ref="E80">Common_InputFunctions.Utility_DisplayArrayInTable(SourceData_PastureBeef.SourceData_PastureBeef_LiveweightNTQLD_Data(),Table_SourceData_PastureBeef_LiveweightNTQD[[#Headers],[State]], 0)</f>
        <v>Low</v>
      </c>
      <c r="F80" s="20" t="str" cm="1">
        <f t="array" ref="F80">Common_InputFunctions.Utility_DisplayArrayInTable(SourceData_PastureBeef.SourceData_PastureBeef_LiveweightNTQLD_Data(),Table_SourceData_PastureBeef_LiveweightNTQD[[#Headers],[State]], 0)</f>
        <v>Autumn</v>
      </c>
      <c r="G80" s="20" cm="1">
        <f t="array" ref="G80">Common_InputFunctions.Utility_DisplayArrayInTable(SourceData_PastureBeef.SourceData_PastureBeef_LiveweightNTQLD_Data(),Table_SourceData_PastureBeef_LiveweightNTQD[[#Headers],[State]], 0)</f>
        <v>175</v>
      </c>
      <c r="H80" s="20" cm="1">
        <f t="array" ref="H80">Common_InputFunctions.Utility_DisplayArrayInTable(SourceData_PastureBeef.SourceData_PastureBeef_LiveweightNTQLD_Data(),Table_SourceData_PastureBeef_LiveweightNTQD[[#Headers],[State]], 0)</f>
        <v>610</v>
      </c>
      <c r="I80" s="20" cm="1">
        <f t="array" ref="I80">Common_InputFunctions.Utility_DisplayArrayInTable(SourceData_PastureBeef.SourceData_PastureBeef_LiveweightNTQLD_Data(),Table_SourceData_PastureBeef_LiveweightNTQD[[#Headers],[State]], 0)</f>
        <v>163</v>
      </c>
      <c r="J80" s="20" cm="1">
        <f t="array" ref="J80">Common_InputFunctions.Utility_DisplayArrayInTable(SourceData_PastureBeef.SourceData_PastureBeef_LiveweightNTQLD_Data(),Table_SourceData_PastureBeef_LiveweightNTQD[[#Headers],[State]], 0)</f>
        <v>232</v>
      </c>
      <c r="K80" s="20" cm="1">
        <f t="array" ref="K80">Common_InputFunctions.Utility_DisplayArrayInTable(SourceData_PastureBeef.SourceData_PastureBeef_LiveweightNTQLD_Data(),Table_SourceData_PastureBeef_LiveweightNTQD[[#Headers],[State]], 0)</f>
        <v>351</v>
      </c>
      <c r="L80" s="20" cm="1">
        <f t="array" ref="L80">Common_InputFunctions.Utility_DisplayArrayInTable(SourceData_PastureBeef.SourceData_PastureBeef_LiveweightNTQLD_Data(),Table_SourceData_PastureBeef_LiveweightNTQD[[#Headers],[State]], 0)</f>
        <v>427</v>
      </c>
      <c r="M80" s="20" cm="1">
        <f t="array" ref="M80">Common_InputFunctions.Utility_DisplayArrayInTable(SourceData_PastureBeef.SourceData_PastureBeef_LiveweightNTQLD_Data(),Table_SourceData_PastureBeef_LiveweightNTQD[[#Headers],[State]], 0)</f>
        <v>146</v>
      </c>
      <c r="N80" s="20" cm="1">
        <f t="array" ref="N80">Common_InputFunctions.Utility_DisplayArrayInTable(SourceData_PastureBeef.SourceData_PastureBeef_LiveweightNTQLD_Data(),Table_SourceData_PastureBeef_LiveweightNTQD[[#Headers],[State]], 0)</f>
        <v>242</v>
      </c>
      <c r="O80" s="20" cm="1">
        <f t="array" ref="O80">Common_InputFunctions.Utility_DisplayArrayInTable(SourceData_PastureBeef.SourceData_PastureBeef_LiveweightNTQLD_Data(),Table_SourceData_PastureBeef_LiveweightNTQD[[#Headers],[State]], 0)</f>
        <v>320</v>
      </c>
      <c r="P80" s="20" cm="1">
        <f t="array" ref="P80">Common_InputFunctions.Utility_DisplayArrayInTable(SourceData_PastureBeef.SourceData_PastureBeef_LiveweightNTQLD_Data(),Table_SourceData_PastureBeef_LiveweightNTQD[[#Headers],[State]], 0)</f>
        <v>471</v>
      </c>
    </row>
    <row r="81" spans="4:22" ht="20" customHeight="1" x14ac:dyDescent="0.25">
      <c r="D81" s="1" t="str" cm="1">
        <f t="array" ref="D81">Common_InputFunctions.Utility_DisplayArrayInTable(SourceData_PastureBeef.SourceData_PastureBeef_LiveweightNTQLD_Data(),Table_SourceData_PastureBeef_LiveweightNTQD[[#Headers],[State]], 0)</f>
        <v>Queensland</v>
      </c>
      <c r="E81" s="20" t="str" cm="1">
        <f t="array" ref="E81">Common_InputFunctions.Utility_DisplayArrayInTable(SourceData_PastureBeef.SourceData_PastureBeef_LiveweightNTQLD_Data(),Table_SourceData_PastureBeef_LiveweightNTQD[[#Headers],[State]], 0)</f>
        <v>Low</v>
      </c>
      <c r="F81" s="20" t="str" cm="1">
        <f t="array" ref="F81">Common_InputFunctions.Utility_DisplayArrayInTable(SourceData_PastureBeef.SourceData_PastureBeef_LiveweightNTQLD_Data(),Table_SourceData_PastureBeef_LiveweightNTQD[[#Headers],[State]], 0)</f>
        <v>Winter</v>
      </c>
      <c r="G81" s="20" cm="1">
        <f t="array" ref="G81">Common_InputFunctions.Utility_DisplayArrayInTable(SourceData_PastureBeef.SourceData_PastureBeef_LiveweightNTQLD_Data(),Table_SourceData_PastureBeef_LiveweightNTQD[[#Headers],[State]], 0)</f>
        <v>192</v>
      </c>
      <c r="H81" s="20" cm="1">
        <f t="array" ref="H81">Common_InputFunctions.Utility_DisplayArrayInTable(SourceData_PastureBeef.SourceData_PastureBeef_LiveweightNTQLD_Data(),Table_SourceData_PastureBeef_LiveweightNTQD[[#Headers],[State]], 0)</f>
        <v>615</v>
      </c>
      <c r="I81" s="20" cm="1">
        <f t="array" ref="I81">Common_InputFunctions.Utility_DisplayArrayInTable(SourceData_PastureBeef.SourceData_PastureBeef_LiveweightNTQLD_Data(),Table_SourceData_PastureBeef_LiveweightNTQD[[#Headers],[State]], 0)</f>
        <v>162</v>
      </c>
      <c r="J81" s="20" cm="1">
        <f t="array" ref="J81">Common_InputFunctions.Utility_DisplayArrayInTable(SourceData_PastureBeef.SourceData_PastureBeef_LiveweightNTQLD_Data(),Table_SourceData_PastureBeef_LiveweightNTQD[[#Headers],[State]], 0)</f>
        <v>255</v>
      </c>
      <c r="K81" s="20" cm="1">
        <f t="array" ref="K81">Common_InputFunctions.Utility_DisplayArrayInTable(SourceData_PastureBeef.SourceData_PastureBeef_LiveweightNTQLD_Data(),Table_SourceData_PastureBeef_LiveweightNTQD[[#Headers],[State]], 0)</f>
        <v>364</v>
      </c>
      <c r="L81" s="20" cm="1">
        <f t="array" ref="L81">Common_InputFunctions.Utility_DisplayArrayInTable(SourceData_PastureBeef.SourceData_PastureBeef_LiveweightNTQLD_Data(),Table_SourceData_PastureBeef_LiveweightNTQD[[#Headers],[State]], 0)</f>
        <v>420</v>
      </c>
      <c r="M81" s="20" cm="1">
        <f t="array" ref="M81">Common_InputFunctions.Utility_DisplayArrayInTable(SourceData_PastureBeef.SourceData_PastureBeef_LiveweightNTQLD_Data(),Table_SourceData_PastureBeef_LiveweightNTQD[[#Headers],[State]], 0)</f>
        <v>157</v>
      </c>
      <c r="N81" s="20" cm="1">
        <f t="array" ref="N81">Common_InputFunctions.Utility_DisplayArrayInTable(SourceData_PastureBeef.SourceData_PastureBeef_LiveweightNTQLD_Data(),Table_SourceData_PastureBeef_LiveweightNTQD[[#Headers],[State]], 0)</f>
        <v>261</v>
      </c>
      <c r="O81" s="20" cm="1">
        <f t="array" ref="O81">Common_InputFunctions.Utility_DisplayArrayInTable(SourceData_PastureBeef.SourceData_PastureBeef_LiveweightNTQLD_Data(),Table_SourceData_PastureBeef_LiveweightNTQD[[#Headers],[State]], 0)</f>
        <v>342</v>
      </c>
      <c r="P81" s="20" cm="1">
        <f t="array" ref="P81">Common_InputFunctions.Utility_DisplayArrayInTable(SourceData_PastureBeef.SourceData_PastureBeef_LiveweightNTQLD_Data(),Table_SourceData_PastureBeef_LiveweightNTQD[[#Headers],[State]], 0)</f>
        <v>484</v>
      </c>
    </row>
    <row r="82" spans="4:22" ht="20" customHeight="1" x14ac:dyDescent="0.25">
      <c r="M82" s="1"/>
    </row>
    <row r="83" spans="4:22" ht="20" customHeight="1" x14ac:dyDescent="0.25">
      <c r="M83" s="1"/>
    </row>
    <row r="84" spans="4:22" ht="20" customHeight="1" x14ac:dyDescent="0.25">
      <c r="D84" s="2" t="s">
        <v>549</v>
      </c>
      <c r="M84" s="1"/>
    </row>
    <row r="85" spans="4:22" ht="20" customHeight="1" x14ac:dyDescent="0.25">
      <c r="D85" s="20" t="s">
        <v>105</v>
      </c>
      <c r="E85" s="20" t="s">
        <v>490</v>
      </c>
      <c r="F85" s="20" t="s">
        <v>76</v>
      </c>
      <c r="G85" s="123" t="s">
        <v>326</v>
      </c>
      <c r="H85" s="123" t="s">
        <v>184</v>
      </c>
      <c r="I85" s="123" t="s">
        <v>327</v>
      </c>
      <c r="J85" s="123" t="s">
        <v>328</v>
      </c>
      <c r="K85" s="123" t="s">
        <v>329</v>
      </c>
      <c r="L85" s="123" t="s">
        <v>330</v>
      </c>
      <c r="M85" s="123" t="s">
        <v>331</v>
      </c>
      <c r="N85" s="123" t="s">
        <v>332</v>
      </c>
      <c r="O85" s="123" t="s">
        <v>333</v>
      </c>
      <c r="P85" s="123" t="s">
        <v>334</v>
      </c>
      <c r="V85" s="1"/>
    </row>
    <row r="86" spans="4:22" ht="20" customHeight="1" x14ac:dyDescent="0.25">
      <c r="D86" s="20" t="s">
        <v>520</v>
      </c>
      <c r="E86" s="20" t="s">
        <v>494</v>
      </c>
      <c r="F86" s="20" t="str">
        <f>F19</f>
        <v>Spring</v>
      </c>
      <c r="G86" s="20">
        <f>G19</f>
        <v>80</v>
      </c>
      <c r="H86" s="20">
        <f t="shared" ref="H86:K89" si="0">H19</f>
        <v>480</v>
      </c>
      <c r="I86" s="20">
        <f>I19</f>
        <v>75</v>
      </c>
      <c r="J86" s="20">
        <f>J19</f>
        <v>300</v>
      </c>
      <c r="K86" s="20">
        <f>K19</f>
        <v>440</v>
      </c>
      <c r="L86" s="20">
        <f>K19</f>
        <v>440</v>
      </c>
      <c r="M86" s="20">
        <f>L19</f>
        <v>75</v>
      </c>
      <c r="N86" s="20">
        <f>M19</f>
        <v>380</v>
      </c>
      <c r="O86" s="20">
        <f>M19</f>
        <v>380</v>
      </c>
      <c r="P86" s="20">
        <f>M19</f>
        <v>380</v>
      </c>
      <c r="V86" s="1"/>
    </row>
    <row r="87" spans="4:22" ht="20" customHeight="1" x14ac:dyDescent="0.25">
      <c r="D87" s="20" t="s">
        <v>520</v>
      </c>
      <c r="E87" s="20" t="s">
        <v>494</v>
      </c>
      <c r="F87" s="20" t="s">
        <v>336</v>
      </c>
      <c r="G87" s="20">
        <f t="shared" ref="G87:G89" si="1">G20</f>
        <v>170</v>
      </c>
      <c r="H87" s="20">
        <f t="shared" si="0"/>
        <v>520</v>
      </c>
      <c r="I87" s="20">
        <f t="shared" si="0"/>
        <v>160</v>
      </c>
      <c r="J87" s="20">
        <f t="shared" si="0"/>
        <v>360</v>
      </c>
      <c r="K87" s="20">
        <f t="shared" si="0"/>
        <v>470</v>
      </c>
      <c r="L87" s="20">
        <f t="shared" ref="L87:N89" si="2">K20</f>
        <v>470</v>
      </c>
      <c r="M87" s="20">
        <f t="shared" si="2"/>
        <v>160</v>
      </c>
      <c r="N87" s="20">
        <f t="shared" si="2"/>
        <v>420</v>
      </c>
      <c r="O87" s="20">
        <f t="shared" ref="O87:O89" si="3">M20</f>
        <v>420</v>
      </c>
      <c r="P87" s="20">
        <f t="shared" ref="P87:P89" si="4">M20</f>
        <v>420</v>
      </c>
      <c r="V87" s="1"/>
    </row>
    <row r="88" spans="4:22" ht="20" customHeight="1" x14ac:dyDescent="0.25">
      <c r="D88" s="20" t="s">
        <v>520</v>
      </c>
      <c r="E88" s="20" t="s">
        <v>494</v>
      </c>
      <c r="F88" s="20" t="s">
        <v>337</v>
      </c>
      <c r="G88" s="20">
        <f t="shared" si="1"/>
        <v>240</v>
      </c>
      <c r="H88" s="20">
        <f t="shared" si="0"/>
        <v>550</v>
      </c>
      <c r="I88" s="20">
        <f t="shared" si="0"/>
        <v>220</v>
      </c>
      <c r="J88" s="20">
        <f t="shared" si="0"/>
        <v>390</v>
      </c>
      <c r="K88" s="20">
        <f t="shared" si="0"/>
        <v>490</v>
      </c>
      <c r="L88" s="20">
        <f t="shared" si="2"/>
        <v>490</v>
      </c>
      <c r="M88" s="20">
        <f t="shared" si="2"/>
        <v>220</v>
      </c>
      <c r="N88" s="20">
        <f t="shared" si="2"/>
        <v>450</v>
      </c>
      <c r="O88" s="20">
        <f t="shared" si="3"/>
        <v>450</v>
      </c>
      <c r="P88" s="20">
        <f t="shared" si="4"/>
        <v>450</v>
      </c>
      <c r="V88" s="1"/>
    </row>
    <row r="89" spans="4:22" ht="20" customHeight="1" x14ac:dyDescent="0.25">
      <c r="D89" s="20" t="s">
        <v>520</v>
      </c>
      <c r="E89" s="20" t="s">
        <v>494</v>
      </c>
      <c r="F89" s="20" t="s">
        <v>338</v>
      </c>
      <c r="G89" s="20">
        <f t="shared" si="1"/>
        <v>280</v>
      </c>
      <c r="H89" s="20">
        <f t="shared" si="0"/>
        <v>560</v>
      </c>
      <c r="I89" s="20">
        <f t="shared" si="0"/>
        <v>260</v>
      </c>
      <c r="J89" s="20">
        <f t="shared" si="0"/>
        <v>410</v>
      </c>
      <c r="K89" s="20">
        <f t="shared" si="0"/>
        <v>500</v>
      </c>
      <c r="L89" s="20">
        <f t="shared" si="2"/>
        <v>500</v>
      </c>
      <c r="M89" s="20">
        <f t="shared" si="2"/>
        <v>260</v>
      </c>
      <c r="N89" s="20">
        <f t="shared" si="2"/>
        <v>460</v>
      </c>
      <c r="O89" s="20">
        <f t="shared" si="3"/>
        <v>460</v>
      </c>
      <c r="P89" s="20">
        <f t="shared" si="4"/>
        <v>460</v>
      </c>
      <c r="V89" s="1"/>
    </row>
    <row r="90" spans="4:22" ht="20" customHeight="1" x14ac:dyDescent="0.25">
      <c r="D90" s="20" t="s">
        <v>521</v>
      </c>
      <c r="E90" s="20" t="s">
        <v>494</v>
      </c>
      <c r="F90" s="20" t="str">
        <f>F23</f>
        <v>Spring</v>
      </c>
      <c r="G90" s="20">
        <f>G19</f>
        <v>80</v>
      </c>
      <c r="H90" s="20">
        <f t="shared" ref="H90:J90" si="5">H19</f>
        <v>480</v>
      </c>
      <c r="I90" s="20">
        <f t="shared" si="5"/>
        <v>75</v>
      </c>
      <c r="J90" s="20">
        <f t="shared" si="5"/>
        <v>300</v>
      </c>
      <c r="K90" s="20">
        <f>K19</f>
        <v>440</v>
      </c>
      <c r="L90" s="20">
        <f>K19</f>
        <v>440</v>
      </c>
      <c r="M90" s="20">
        <f>L19</f>
        <v>75</v>
      </c>
      <c r="N90" s="20">
        <f>M19</f>
        <v>380</v>
      </c>
      <c r="O90" s="20">
        <f>M19</f>
        <v>380</v>
      </c>
      <c r="P90" s="20">
        <f>M19</f>
        <v>380</v>
      </c>
      <c r="V90" s="1"/>
    </row>
    <row r="91" spans="4:22" ht="20" customHeight="1" x14ac:dyDescent="0.25">
      <c r="D91" s="20" t="s">
        <v>521</v>
      </c>
      <c r="E91" s="20" t="s">
        <v>494</v>
      </c>
      <c r="F91" s="20" t="s">
        <v>336</v>
      </c>
      <c r="G91" s="20">
        <f t="shared" ref="G91:K94" si="6">G20</f>
        <v>170</v>
      </c>
      <c r="H91" s="20">
        <f t="shared" si="6"/>
        <v>520</v>
      </c>
      <c r="I91" s="20">
        <f t="shared" si="6"/>
        <v>160</v>
      </c>
      <c r="J91" s="20">
        <f t="shared" si="6"/>
        <v>360</v>
      </c>
      <c r="K91" s="20">
        <f t="shared" si="6"/>
        <v>470</v>
      </c>
      <c r="L91" s="20">
        <f t="shared" ref="L91:N105" si="7">K20</f>
        <v>470</v>
      </c>
      <c r="M91" s="20">
        <f t="shared" si="7"/>
        <v>160</v>
      </c>
      <c r="N91" s="20">
        <f t="shared" si="7"/>
        <v>420</v>
      </c>
      <c r="O91" s="20">
        <f t="shared" ref="O91:O93" si="8">M20</f>
        <v>420</v>
      </c>
      <c r="P91" s="20">
        <f t="shared" ref="P91:P93" si="9">M20</f>
        <v>420</v>
      </c>
    </row>
    <row r="92" spans="4:22" ht="20" customHeight="1" x14ac:dyDescent="0.25">
      <c r="D92" s="20" t="s">
        <v>521</v>
      </c>
      <c r="E92" s="20" t="s">
        <v>494</v>
      </c>
      <c r="F92" s="20" t="s">
        <v>337</v>
      </c>
      <c r="G92" s="20">
        <f t="shared" si="6"/>
        <v>240</v>
      </c>
      <c r="H92" s="20">
        <f t="shared" si="6"/>
        <v>550</v>
      </c>
      <c r="I92" s="20">
        <f t="shared" si="6"/>
        <v>220</v>
      </c>
      <c r="J92" s="20">
        <f t="shared" si="6"/>
        <v>390</v>
      </c>
      <c r="K92" s="20">
        <f t="shared" si="6"/>
        <v>490</v>
      </c>
      <c r="L92" s="20">
        <f t="shared" si="7"/>
        <v>490</v>
      </c>
      <c r="M92" s="20">
        <f t="shared" si="7"/>
        <v>220</v>
      </c>
      <c r="N92" s="20">
        <f t="shared" si="7"/>
        <v>450</v>
      </c>
      <c r="O92" s="20">
        <f t="shared" si="8"/>
        <v>450</v>
      </c>
      <c r="P92" s="20">
        <f t="shared" si="9"/>
        <v>450</v>
      </c>
    </row>
    <row r="93" spans="4:22" ht="20" customHeight="1" x14ac:dyDescent="0.25">
      <c r="D93" s="20" t="s">
        <v>521</v>
      </c>
      <c r="E93" s="20" t="s">
        <v>494</v>
      </c>
      <c r="F93" s="20" t="s">
        <v>338</v>
      </c>
      <c r="G93" s="20">
        <f t="shared" si="6"/>
        <v>280</v>
      </c>
      <c r="H93" s="20">
        <f t="shared" si="6"/>
        <v>560</v>
      </c>
      <c r="I93" s="20">
        <f t="shared" si="6"/>
        <v>260</v>
      </c>
      <c r="J93" s="20">
        <f t="shared" si="6"/>
        <v>410</v>
      </c>
      <c r="K93" s="20">
        <f t="shared" si="6"/>
        <v>500</v>
      </c>
      <c r="L93" s="20">
        <f t="shared" si="7"/>
        <v>500</v>
      </c>
      <c r="M93" s="20">
        <f t="shared" si="7"/>
        <v>260</v>
      </c>
      <c r="N93" s="20">
        <f t="shared" si="7"/>
        <v>460</v>
      </c>
      <c r="O93" s="20">
        <f t="shared" si="8"/>
        <v>460</v>
      </c>
      <c r="P93" s="20">
        <f t="shared" si="9"/>
        <v>460</v>
      </c>
    </row>
    <row r="94" spans="4:22" ht="20" customHeight="1" x14ac:dyDescent="0.25">
      <c r="D94" s="20" t="s">
        <v>522</v>
      </c>
      <c r="E94" s="20" t="s">
        <v>494</v>
      </c>
      <c r="F94" s="20" t="str">
        <f>F27</f>
        <v>Spring</v>
      </c>
      <c r="G94" s="20">
        <f>G23</f>
        <v>250</v>
      </c>
      <c r="H94" s="20">
        <f t="shared" si="6"/>
        <v>800</v>
      </c>
      <c r="I94" s="20">
        <f t="shared" si="6"/>
        <v>220</v>
      </c>
      <c r="J94" s="20">
        <f>J23</f>
        <v>400</v>
      </c>
      <c r="K94" s="20">
        <f>K23</f>
        <v>500</v>
      </c>
      <c r="L94" s="20">
        <f>K23</f>
        <v>500</v>
      </c>
      <c r="M94" s="20">
        <f>L23</f>
        <v>230</v>
      </c>
      <c r="N94" s="20">
        <f>M23</f>
        <v>420</v>
      </c>
      <c r="O94" s="20">
        <f>M23</f>
        <v>420</v>
      </c>
      <c r="P94" s="20">
        <f>M23</f>
        <v>420</v>
      </c>
    </row>
    <row r="95" spans="4:22" ht="20" customHeight="1" x14ac:dyDescent="0.25">
      <c r="D95" s="20" t="s">
        <v>522</v>
      </c>
      <c r="E95" s="20" t="s">
        <v>494</v>
      </c>
      <c r="F95" s="20" t="s">
        <v>336</v>
      </c>
      <c r="G95" s="20">
        <f t="shared" ref="G95:K98" si="10">G24</f>
        <v>320</v>
      </c>
      <c r="H95" s="20">
        <f t="shared" si="10"/>
        <v>800</v>
      </c>
      <c r="I95" s="20">
        <f t="shared" si="10"/>
        <v>280</v>
      </c>
      <c r="J95" s="20">
        <f t="shared" si="10"/>
        <v>420</v>
      </c>
      <c r="K95" s="20">
        <f t="shared" si="10"/>
        <v>500</v>
      </c>
      <c r="L95" s="20">
        <f t="shared" ref="L95:M97" si="11">K24</f>
        <v>500</v>
      </c>
      <c r="M95" s="20">
        <f t="shared" si="11"/>
        <v>290</v>
      </c>
      <c r="N95" s="20">
        <f t="shared" si="7"/>
        <v>420</v>
      </c>
      <c r="O95" s="20">
        <f t="shared" ref="O95:O97" si="12">M24</f>
        <v>420</v>
      </c>
      <c r="P95" s="20">
        <f t="shared" ref="P95:P97" si="13">M24</f>
        <v>420</v>
      </c>
    </row>
    <row r="96" spans="4:22" ht="20" customHeight="1" x14ac:dyDescent="0.25">
      <c r="D96" s="20" t="s">
        <v>522</v>
      </c>
      <c r="E96" s="20" t="s">
        <v>494</v>
      </c>
      <c r="F96" s="20" t="s">
        <v>337</v>
      </c>
      <c r="G96" s="20">
        <f t="shared" si="10"/>
        <v>80</v>
      </c>
      <c r="H96" s="20">
        <f t="shared" si="10"/>
        <v>700</v>
      </c>
      <c r="I96" s="20">
        <f t="shared" si="10"/>
        <v>70</v>
      </c>
      <c r="J96" s="20">
        <f t="shared" si="10"/>
        <v>300</v>
      </c>
      <c r="K96" s="20">
        <f t="shared" si="10"/>
        <v>450</v>
      </c>
      <c r="L96" s="20">
        <f t="shared" si="11"/>
        <v>450</v>
      </c>
      <c r="M96" s="20">
        <f t="shared" si="11"/>
        <v>75</v>
      </c>
      <c r="N96" s="20">
        <f t="shared" si="7"/>
        <v>400</v>
      </c>
      <c r="O96" s="20">
        <f t="shared" si="12"/>
        <v>400</v>
      </c>
      <c r="P96" s="20">
        <f t="shared" si="13"/>
        <v>400</v>
      </c>
    </row>
    <row r="97" spans="4:16" ht="20" customHeight="1" x14ac:dyDescent="0.25">
      <c r="D97" s="20" t="s">
        <v>522</v>
      </c>
      <c r="E97" s="20" t="s">
        <v>494</v>
      </c>
      <c r="F97" s="20" t="s">
        <v>338</v>
      </c>
      <c r="G97" s="20">
        <f t="shared" si="10"/>
        <v>160</v>
      </c>
      <c r="H97" s="20">
        <f t="shared" si="10"/>
        <v>700</v>
      </c>
      <c r="I97" s="20">
        <f t="shared" si="10"/>
        <v>140</v>
      </c>
      <c r="J97" s="20">
        <f t="shared" si="10"/>
        <v>350</v>
      </c>
      <c r="K97" s="20">
        <f t="shared" si="10"/>
        <v>450</v>
      </c>
      <c r="L97" s="20">
        <f t="shared" si="11"/>
        <v>450</v>
      </c>
      <c r="M97" s="20">
        <f t="shared" si="11"/>
        <v>150</v>
      </c>
      <c r="N97" s="20">
        <f t="shared" si="7"/>
        <v>400</v>
      </c>
      <c r="O97" s="20">
        <f t="shared" si="12"/>
        <v>400</v>
      </c>
      <c r="P97" s="20">
        <f t="shared" si="13"/>
        <v>400</v>
      </c>
    </row>
    <row r="98" spans="4:16" ht="20" customHeight="1" x14ac:dyDescent="0.25">
      <c r="D98" s="20" t="s">
        <v>523</v>
      </c>
      <c r="E98" s="20" t="s">
        <v>494</v>
      </c>
      <c r="F98" s="20" t="str">
        <f>F31</f>
        <v>Spring</v>
      </c>
      <c r="G98" s="20">
        <f>G27</f>
        <v>105</v>
      </c>
      <c r="H98" s="20">
        <f t="shared" si="10"/>
        <v>700</v>
      </c>
      <c r="I98" s="20">
        <f t="shared" si="10"/>
        <v>85</v>
      </c>
      <c r="J98" s="20">
        <f t="shared" si="10"/>
        <v>300</v>
      </c>
      <c r="K98" s="20">
        <f t="shared" si="10"/>
        <v>490</v>
      </c>
      <c r="L98" s="20">
        <f>K27</f>
        <v>490</v>
      </c>
      <c r="M98" s="20">
        <f>L27</f>
        <v>90</v>
      </c>
      <c r="N98" s="20">
        <f>M27</f>
        <v>480</v>
      </c>
      <c r="O98" s="20">
        <f>M27</f>
        <v>480</v>
      </c>
      <c r="P98" s="20">
        <f>M27</f>
        <v>480</v>
      </c>
    </row>
    <row r="99" spans="4:16" ht="20" customHeight="1" x14ac:dyDescent="0.25">
      <c r="D99" s="20" t="s">
        <v>523</v>
      </c>
      <c r="E99" s="20" t="s">
        <v>494</v>
      </c>
      <c r="F99" s="20" t="s">
        <v>336</v>
      </c>
      <c r="G99" s="20">
        <f t="shared" ref="G99:K102" si="14">G28</f>
        <v>480</v>
      </c>
      <c r="H99" s="20">
        <f t="shared" si="14"/>
        <v>750</v>
      </c>
      <c r="I99" s="20">
        <f t="shared" si="14"/>
        <v>150</v>
      </c>
      <c r="J99" s="20">
        <f t="shared" si="14"/>
        <v>350</v>
      </c>
      <c r="K99" s="20">
        <f t="shared" si="14"/>
        <v>530</v>
      </c>
      <c r="L99" s="20">
        <f t="shared" ref="L99:M101" si="15">K28</f>
        <v>530</v>
      </c>
      <c r="M99" s="20">
        <f t="shared" si="15"/>
        <v>160</v>
      </c>
      <c r="N99" s="20">
        <f t="shared" si="7"/>
        <v>460</v>
      </c>
      <c r="O99" s="20">
        <f t="shared" ref="O99:O101" si="16">M28</f>
        <v>460</v>
      </c>
      <c r="P99" s="20">
        <f t="shared" ref="P99:P101" si="17">M28</f>
        <v>460</v>
      </c>
    </row>
    <row r="100" spans="4:16" ht="20" customHeight="1" x14ac:dyDescent="0.25">
      <c r="D100" s="20" t="s">
        <v>523</v>
      </c>
      <c r="E100" s="20" t="s">
        <v>494</v>
      </c>
      <c r="F100" s="20" t="s">
        <v>337</v>
      </c>
      <c r="G100" s="20">
        <f t="shared" si="14"/>
        <v>250</v>
      </c>
      <c r="H100" s="20">
        <f t="shared" si="14"/>
        <v>725</v>
      </c>
      <c r="I100" s="20">
        <f t="shared" si="14"/>
        <v>200</v>
      </c>
      <c r="J100" s="20">
        <f t="shared" si="14"/>
        <v>360</v>
      </c>
      <c r="K100" s="20">
        <f t="shared" si="14"/>
        <v>500</v>
      </c>
      <c r="L100" s="20">
        <f t="shared" si="15"/>
        <v>500</v>
      </c>
      <c r="M100" s="20">
        <f t="shared" si="15"/>
        <v>215</v>
      </c>
      <c r="N100" s="20">
        <f t="shared" si="7"/>
        <v>490</v>
      </c>
      <c r="O100" s="20">
        <f t="shared" si="16"/>
        <v>490</v>
      </c>
      <c r="P100" s="20">
        <f t="shared" si="17"/>
        <v>490</v>
      </c>
    </row>
    <row r="101" spans="4:16" ht="20" customHeight="1" x14ac:dyDescent="0.25">
      <c r="D101" s="20" t="s">
        <v>523</v>
      </c>
      <c r="E101" s="20" t="s">
        <v>494</v>
      </c>
      <c r="F101" s="20" t="s">
        <v>338</v>
      </c>
      <c r="G101" s="20">
        <f t="shared" si="14"/>
        <v>260</v>
      </c>
      <c r="H101" s="20">
        <f t="shared" si="14"/>
        <v>700</v>
      </c>
      <c r="I101" s="20">
        <f t="shared" si="14"/>
        <v>210</v>
      </c>
      <c r="J101" s="20">
        <f t="shared" si="14"/>
        <v>380</v>
      </c>
      <c r="K101" s="20">
        <f t="shared" si="14"/>
        <v>460</v>
      </c>
      <c r="L101" s="20">
        <f t="shared" si="15"/>
        <v>460</v>
      </c>
      <c r="M101" s="20">
        <f t="shared" si="15"/>
        <v>230</v>
      </c>
      <c r="N101" s="20">
        <f t="shared" si="7"/>
        <v>470</v>
      </c>
      <c r="O101" s="20">
        <f t="shared" si="16"/>
        <v>470</v>
      </c>
      <c r="P101" s="20">
        <f t="shared" si="17"/>
        <v>470</v>
      </c>
    </row>
    <row r="102" spans="4:16" ht="20" customHeight="1" x14ac:dyDescent="0.25">
      <c r="D102" s="20" t="s">
        <v>524</v>
      </c>
      <c r="E102" s="20" t="s">
        <v>494</v>
      </c>
      <c r="F102" s="20" t="str">
        <f>F35</f>
        <v>Spring</v>
      </c>
      <c r="G102" s="20">
        <f>G31</f>
        <v>250</v>
      </c>
      <c r="H102" s="20">
        <f t="shared" si="14"/>
        <v>820</v>
      </c>
      <c r="I102" s="20">
        <f t="shared" si="14"/>
        <v>240</v>
      </c>
      <c r="J102" s="20">
        <f t="shared" si="14"/>
        <v>410</v>
      </c>
      <c r="K102" s="20">
        <f>K31</f>
        <v>560</v>
      </c>
      <c r="L102" s="20">
        <f>K31</f>
        <v>560</v>
      </c>
      <c r="M102" s="20">
        <f>L31</f>
        <v>240</v>
      </c>
      <c r="N102" s="20">
        <f>M31</f>
        <v>510</v>
      </c>
      <c r="O102" s="20">
        <f>M31</f>
        <v>510</v>
      </c>
      <c r="P102" s="20">
        <f>M31</f>
        <v>510</v>
      </c>
    </row>
    <row r="103" spans="4:16" ht="20" customHeight="1" x14ac:dyDescent="0.25">
      <c r="D103" s="20" t="s">
        <v>524</v>
      </c>
      <c r="E103" s="20" t="s">
        <v>494</v>
      </c>
      <c r="F103" s="20" t="s">
        <v>336</v>
      </c>
      <c r="G103" s="20">
        <f t="shared" ref="G103:K105" si="18">G32</f>
        <v>280</v>
      </c>
      <c r="H103" s="20">
        <f t="shared" si="18"/>
        <v>850</v>
      </c>
      <c r="I103" s="20">
        <f t="shared" si="18"/>
        <v>260</v>
      </c>
      <c r="J103" s="20">
        <f t="shared" si="18"/>
        <v>440</v>
      </c>
      <c r="K103" s="20">
        <f t="shared" si="18"/>
        <v>550</v>
      </c>
      <c r="L103" s="20">
        <f t="shared" ref="L103:M105" si="19">K32</f>
        <v>550</v>
      </c>
      <c r="M103" s="20">
        <f t="shared" si="19"/>
        <v>270</v>
      </c>
      <c r="N103" s="20">
        <f t="shared" si="7"/>
        <v>520</v>
      </c>
      <c r="O103" s="20">
        <f t="shared" ref="O103:O105" si="20">M32</f>
        <v>520</v>
      </c>
      <c r="P103" s="20">
        <f t="shared" ref="P103:P105" si="21">M32</f>
        <v>520</v>
      </c>
    </row>
    <row r="104" spans="4:16" ht="20" customHeight="1" x14ac:dyDescent="0.25">
      <c r="D104" s="20" t="s">
        <v>524</v>
      </c>
      <c r="E104" s="20" t="s">
        <v>494</v>
      </c>
      <c r="F104" s="20" t="s">
        <v>337</v>
      </c>
      <c r="G104" s="20">
        <f t="shared" si="18"/>
        <v>100</v>
      </c>
      <c r="H104" s="20">
        <f t="shared" si="18"/>
        <v>700</v>
      </c>
      <c r="I104" s="20">
        <f t="shared" si="18"/>
        <v>95</v>
      </c>
      <c r="J104" s="20">
        <f t="shared" si="18"/>
        <v>300</v>
      </c>
      <c r="K104" s="20">
        <f t="shared" si="18"/>
        <v>450</v>
      </c>
      <c r="L104" s="20">
        <f t="shared" si="19"/>
        <v>450</v>
      </c>
      <c r="M104" s="20">
        <f t="shared" si="19"/>
        <v>95</v>
      </c>
      <c r="N104" s="20">
        <f t="shared" si="7"/>
        <v>410</v>
      </c>
      <c r="O104" s="20">
        <f t="shared" si="20"/>
        <v>410</v>
      </c>
      <c r="P104" s="20">
        <f t="shared" si="21"/>
        <v>410</v>
      </c>
    </row>
    <row r="105" spans="4:16" ht="20" customHeight="1" x14ac:dyDescent="0.25">
      <c r="D105" s="20" t="s">
        <v>524</v>
      </c>
      <c r="E105" s="20" t="s">
        <v>494</v>
      </c>
      <c r="F105" s="20" t="s">
        <v>338</v>
      </c>
      <c r="G105" s="20">
        <f t="shared" si="18"/>
        <v>150</v>
      </c>
      <c r="H105" s="20">
        <f t="shared" si="18"/>
        <v>720</v>
      </c>
      <c r="I105" s="20">
        <f t="shared" si="18"/>
        <v>140</v>
      </c>
      <c r="J105" s="20">
        <f t="shared" si="18"/>
        <v>320</v>
      </c>
      <c r="K105" s="20">
        <f t="shared" si="18"/>
        <v>470</v>
      </c>
      <c r="L105" s="20">
        <f t="shared" si="19"/>
        <v>470</v>
      </c>
      <c r="M105" s="20">
        <f t="shared" si="19"/>
        <v>140</v>
      </c>
      <c r="N105" s="20">
        <f t="shared" si="7"/>
        <v>440</v>
      </c>
      <c r="O105" s="20">
        <f t="shared" si="20"/>
        <v>440</v>
      </c>
      <c r="P105" s="20">
        <f t="shared" si="21"/>
        <v>440</v>
      </c>
    </row>
    <row r="106" spans="4:16" ht="20" customHeight="1" x14ac:dyDescent="0.25">
      <c r="D106" s="20" t="s">
        <v>526</v>
      </c>
      <c r="E106" s="20" t="str">
        <f>E35</f>
        <v>South West</v>
      </c>
      <c r="F106" s="20" t="str">
        <f t="shared" ref="F106:K106" si="22">F35</f>
        <v>Spring</v>
      </c>
      <c r="G106" s="20">
        <f t="shared" si="22"/>
        <v>340</v>
      </c>
      <c r="H106" s="20">
        <f t="shared" si="22"/>
        <v>800</v>
      </c>
      <c r="I106" s="20">
        <f t="shared" si="22"/>
        <v>260</v>
      </c>
      <c r="J106" s="20">
        <f t="shared" si="22"/>
        <v>420</v>
      </c>
      <c r="K106" s="20">
        <f t="shared" si="22"/>
        <v>550</v>
      </c>
      <c r="L106" s="20">
        <f>K35</f>
        <v>550</v>
      </c>
      <c r="M106" s="20">
        <f>L35</f>
        <v>300</v>
      </c>
      <c r="N106" s="20">
        <f>M35</f>
        <v>480</v>
      </c>
      <c r="O106" s="20">
        <f>M35</f>
        <v>480</v>
      </c>
      <c r="P106" s="20">
        <f>M35</f>
        <v>480</v>
      </c>
    </row>
    <row r="107" spans="4:16" ht="20" customHeight="1" x14ac:dyDescent="0.25">
      <c r="D107" s="20" t="s">
        <v>526</v>
      </c>
      <c r="E107" s="20" t="str">
        <f t="shared" ref="E107:K117" si="23">E36</f>
        <v>South West</v>
      </c>
      <c r="F107" s="20" t="str">
        <f t="shared" si="23"/>
        <v>Summer</v>
      </c>
      <c r="G107" s="20">
        <f t="shared" si="23"/>
        <v>380</v>
      </c>
      <c r="H107" s="20">
        <f t="shared" si="23"/>
        <v>780</v>
      </c>
      <c r="I107" s="20">
        <f t="shared" si="23"/>
        <v>300</v>
      </c>
      <c r="J107" s="20">
        <f t="shared" si="23"/>
        <v>450</v>
      </c>
      <c r="K107" s="20">
        <f t="shared" si="23"/>
        <v>530</v>
      </c>
      <c r="L107" s="20">
        <f t="shared" ref="L107:N117" si="24">K36</f>
        <v>530</v>
      </c>
      <c r="M107" s="20">
        <f t="shared" si="24"/>
        <v>340</v>
      </c>
      <c r="N107" s="20">
        <f t="shared" si="24"/>
        <v>470</v>
      </c>
      <c r="O107" s="20">
        <f t="shared" ref="O107:O117" si="25">M36</f>
        <v>470</v>
      </c>
      <c r="P107" s="20">
        <f t="shared" ref="P107:P117" si="26">M36</f>
        <v>470</v>
      </c>
    </row>
    <row r="108" spans="4:16" ht="20" customHeight="1" x14ac:dyDescent="0.25">
      <c r="D108" s="20" t="s">
        <v>526</v>
      </c>
      <c r="E108" s="20" t="str">
        <f t="shared" si="23"/>
        <v>South West</v>
      </c>
      <c r="F108" s="20" t="str">
        <f t="shared" si="23"/>
        <v>Autumn</v>
      </c>
      <c r="G108" s="20">
        <f t="shared" si="23"/>
        <v>100</v>
      </c>
      <c r="H108" s="20">
        <f t="shared" si="23"/>
        <v>680</v>
      </c>
      <c r="I108" s="20">
        <f t="shared" si="23"/>
        <v>80</v>
      </c>
      <c r="J108" s="20">
        <f t="shared" si="23"/>
        <v>320</v>
      </c>
      <c r="K108" s="20">
        <f t="shared" si="23"/>
        <v>480</v>
      </c>
      <c r="L108" s="20">
        <f t="shared" si="24"/>
        <v>480</v>
      </c>
      <c r="M108" s="20">
        <f t="shared" si="24"/>
        <v>100</v>
      </c>
      <c r="N108" s="20">
        <f t="shared" si="24"/>
        <v>340</v>
      </c>
      <c r="O108" s="20">
        <f t="shared" si="25"/>
        <v>340</v>
      </c>
      <c r="P108" s="20">
        <f t="shared" si="26"/>
        <v>340</v>
      </c>
    </row>
    <row r="109" spans="4:16" ht="20" customHeight="1" x14ac:dyDescent="0.25">
      <c r="D109" s="20" t="s">
        <v>526</v>
      </c>
      <c r="E109" s="20" t="str">
        <f t="shared" si="23"/>
        <v>South West</v>
      </c>
      <c r="F109" s="20" t="str">
        <f t="shared" si="23"/>
        <v>Winter</v>
      </c>
      <c r="G109" s="20">
        <f t="shared" si="23"/>
        <v>190</v>
      </c>
      <c r="H109" s="20">
        <f t="shared" si="23"/>
        <v>700</v>
      </c>
      <c r="I109" s="20">
        <f t="shared" si="23"/>
        <v>150</v>
      </c>
      <c r="J109" s="20">
        <f t="shared" si="23"/>
        <v>330</v>
      </c>
      <c r="K109" s="20">
        <f t="shared" si="23"/>
        <v>490</v>
      </c>
      <c r="L109" s="20">
        <f t="shared" si="24"/>
        <v>490</v>
      </c>
      <c r="M109" s="20">
        <f t="shared" si="24"/>
        <v>170</v>
      </c>
      <c r="N109" s="20">
        <f t="shared" si="24"/>
        <v>360</v>
      </c>
      <c r="O109" s="20">
        <f t="shared" si="25"/>
        <v>360</v>
      </c>
      <c r="P109" s="20">
        <f t="shared" si="26"/>
        <v>360</v>
      </c>
    </row>
    <row r="110" spans="4:16" ht="20" customHeight="1" x14ac:dyDescent="0.25">
      <c r="D110" s="20" t="s">
        <v>526</v>
      </c>
      <c r="E110" s="20" t="str">
        <f t="shared" si="23"/>
        <v>Pilbara</v>
      </c>
      <c r="F110" s="20" t="str">
        <f t="shared" si="23"/>
        <v>Spring</v>
      </c>
      <c r="G110" s="20">
        <f t="shared" si="23"/>
        <v>80</v>
      </c>
      <c r="H110" s="20">
        <f t="shared" si="23"/>
        <v>450</v>
      </c>
      <c r="I110" s="20">
        <f t="shared" si="23"/>
        <v>70</v>
      </c>
      <c r="J110" s="20">
        <f t="shared" si="23"/>
        <v>260</v>
      </c>
      <c r="K110" s="20">
        <f t="shared" si="23"/>
        <v>340</v>
      </c>
      <c r="L110" s="20">
        <f t="shared" si="24"/>
        <v>340</v>
      </c>
      <c r="M110" s="20">
        <f t="shared" si="24"/>
        <v>80</v>
      </c>
      <c r="N110" s="20">
        <f t="shared" si="24"/>
        <v>370</v>
      </c>
      <c r="O110" s="20">
        <f t="shared" si="25"/>
        <v>370</v>
      </c>
      <c r="P110" s="20">
        <f t="shared" si="26"/>
        <v>370</v>
      </c>
    </row>
    <row r="111" spans="4:16" ht="20" customHeight="1" x14ac:dyDescent="0.25">
      <c r="D111" s="20" t="s">
        <v>526</v>
      </c>
      <c r="E111" s="20" t="str">
        <f t="shared" si="23"/>
        <v>Pilbara</v>
      </c>
      <c r="F111" s="20" t="str">
        <f t="shared" si="23"/>
        <v>Summer</v>
      </c>
      <c r="G111" s="20">
        <f t="shared" si="23"/>
        <v>150</v>
      </c>
      <c r="H111" s="20">
        <f t="shared" si="23"/>
        <v>500</v>
      </c>
      <c r="I111" s="20">
        <f t="shared" si="23"/>
        <v>140</v>
      </c>
      <c r="J111" s="20">
        <f t="shared" si="23"/>
        <v>310</v>
      </c>
      <c r="K111" s="20">
        <f t="shared" si="23"/>
        <v>360</v>
      </c>
      <c r="L111" s="20">
        <f t="shared" si="24"/>
        <v>360</v>
      </c>
      <c r="M111" s="20">
        <f t="shared" si="24"/>
        <v>150</v>
      </c>
      <c r="N111" s="20">
        <f t="shared" si="24"/>
        <v>400</v>
      </c>
      <c r="O111" s="20">
        <f t="shared" si="25"/>
        <v>400</v>
      </c>
      <c r="P111" s="20">
        <f t="shared" si="26"/>
        <v>400</v>
      </c>
    </row>
    <row r="112" spans="4:16" ht="20" customHeight="1" x14ac:dyDescent="0.25">
      <c r="D112" s="20" t="s">
        <v>526</v>
      </c>
      <c r="E112" s="20" t="str">
        <f t="shared" si="23"/>
        <v>Pilbara</v>
      </c>
      <c r="F112" s="20" t="str">
        <f t="shared" si="23"/>
        <v>Autumn</v>
      </c>
      <c r="G112" s="20">
        <f t="shared" si="23"/>
        <v>230</v>
      </c>
      <c r="H112" s="20">
        <f t="shared" si="23"/>
        <v>550</v>
      </c>
      <c r="I112" s="20">
        <f t="shared" si="23"/>
        <v>220</v>
      </c>
      <c r="J112" s="20">
        <f t="shared" si="23"/>
        <v>330</v>
      </c>
      <c r="K112" s="20">
        <f t="shared" si="23"/>
        <v>380</v>
      </c>
      <c r="L112" s="20">
        <f t="shared" si="24"/>
        <v>380</v>
      </c>
      <c r="M112" s="20">
        <f t="shared" si="24"/>
        <v>230</v>
      </c>
      <c r="N112" s="20">
        <f t="shared" si="24"/>
        <v>420</v>
      </c>
      <c r="O112" s="20">
        <f t="shared" si="25"/>
        <v>420</v>
      </c>
      <c r="P112" s="20">
        <f t="shared" si="26"/>
        <v>420</v>
      </c>
    </row>
    <row r="113" spans="4:22" ht="20" customHeight="1" x14ac:dyDescent="0.25">
      <c r="D113" s="20" t="s">
        <v>526</v>
      </c>
      <c r="E113" s="20" t="str">
        <f t="shared" si="23"/>
        <v>Pilbara</v>
      </c>
      <c r="F113" s="20" t="str">
        <f t="shared" si="23"/>
        <v>Winter</v>
      </c>
      <c r="G113" s="20">
        <f t="shared" si="23"/>
        <v>250</v>
      </c>
      <c r="H113" s="20">
        <f t="shared" si="23"/>
        <v>500</v>
      </c>
      <c r="I113" s="20">
        <f t="shared" si="23"/>
        <v>240</v>
      </c>
      <c r="J113" s="20">
        <f t="shared" si="23"/>
        <v>340</v>
      </c>
      <c r="K113" s="20">
        <f t="shared" si="23"/>
        <v>360</v>
      </c>
      <c r="L113" s="20">
        <f t="shared" si="24"/>
        <v>360</v>
      </c>
      <c r="M113" s="20">
        <f t="shared" si="24"/>
        <v>250</v>
      </c>
      <c r="N113" s="20">
        <f t="shared" si="24"/>
        <v>390</v>
      </c>
      <c r="O113" s="20">
        <f t="shared" si="25"/>
        <v>390</v>
      </c>
      <c r="P113" s="20">
        <f t="shared" si="26"/>
        <v>390</v>
      </c>
    </row>
    <row r="114" spans="4:22" ht="20" customHeight="1" x14ac:dyDescent="0.25">
      <c r="D114" s="20" t="s">
        <v>526</v>
      </c>
      <c r="E114" s="20" t="str">
        <f t="shared" si="23"/>
        <v>Kimberley</v>
      </c>
      <c r="F114" s="20" t="str">
        <f t="shared" si="23"/>
        <v>Spring</v>
      </c>
      <c r="G114" s="20">
        <f t="shared" si="23"/>
        <v>220</v>
      </c>
      <c r="H114" s="20">
        <f t="shared" si="23"/>
        <v>500</v>
      </c>
      <c r="I114" s="20">
        <f t="shared" si="23"/>
        <v>180</v>
      </c>
      <c r="J114" s="20">
        <f t="shared" si="23"/>
        <v>300</v>
      </c>
      <c r="K114" s="20">
        <f t="shared" si="23"/>
        <v>320</v>
      </c>
      <c r="L114" s="20">
        <f t="shared" si="24"/>
        <v>320</v>
      </c>
      <c r="M114" s="20">
        <f t="shared" si="24"/>
        <v>210</v>
      </c>
      <c r="N114" s="20">
        <f t="shared" si="24"/>
        <v>340</v>
      </c>
      <c r="O114" s="20">
        <f t="shared" si="25"/>
        <v>340</v>
      </c>
      <c r="P114" s="20">
        <f t="shared" si="26"/>
        <v>340</v>
      </c>
    </row>
    <row r="115" spans="4:22" ht="20" customHeight="1" x14ac:dyDescent="0.25">
      <c r="D115" s="20" t="s">
        <v>526</v>
      </c>
      <c r="E115" s="20" t="str">
        <f t="shared" si="23"/>
        <v>Kimberley</v>
      </c>
      <c r="F115" s="20" t="str">
        <f t="shared" si="23"/>
        <v>Summer</v>
      </c>
      <c r="G115" s="20">
        <f t="shared" si="23"/>
        <v>110</v>
      </c>
      <c r="H115" s="20">
        <f t="shared" si="23"/>
        <v>550</v>
      </c>
      <c r="I115" s="20">
        <f t="shared" si="23"/>
        <v>90</v>
      </c>
      <c r="J115" s="20">
        <f t="shared" si="23"/>
        <v>220</v>
      </c>
      <c r="K115" s="20">
        <f t="shared" si="23"/>
        <v>380</v>
      </c>
      <c r="L115" s="20">
        <f t="shared" si="24"/>
        <v>380</v>
      </c>
      <c r="M115" s="20">
        <f t="shared" si="24"/>
        <v>100</v>
      </c>
      <c r="N115" s="20">
        <f t="shared" si="24"/>
        <v>390</v>
      </c>
      <c r="O115" s="20">
        <f t="shared" si="25"/>
        <v>390</v>
      </c>
      <c r="P115" s="20">
        <f t="shared" si="26"/>
        <v>390</v>
      </c>
      <c r="V115" s="1"/>
    </row>
    <row r="116" spans="4:22" ht="20" customHeight="1" x14ac:dyDescent="0.25">
      <c r="D116" s="20" t="s">
        <v>526</v>
      </c>
      <c r="E116" s="20" t="str">
        <f t="shared" si="23"/>
        <v>Kimberley</v>
      </c>
      <c r="F116" s="20" t="str">
        <f t="shared" si="23"/>
        <v>Autumn</v>
      </c>
      <c r="G116" s="20">
        <f t="shared" si="23"/>
        <v>170</v>
      </c>
      <c r="H116" s="20">
        <f t="shared" si="23"/>
        <v>600</v>
      </c>
      <c r="I116" s="20">
        <f t="shared" si="23"/>
        <v>140</v>
      </c>
      <c r="J116" s="20">
        <f t="shared" si="23"/>
        <v>270</v>
      </c>
      <c r="K116" s="20">
        <f t="shared" si="23"/>
        <v>390</v>
      </c>
      <c r="L116" s="20">
        <f t="shared" si="24"/>
        <v>390</v>
      </c>
      <c r="M116" s="20">
        <f t="shared" si="24"/>
        <v>160</v>
      </c>
      <c r="N116" s="20">
        <f t="shared" si="24"/>
        <v>430</v>
      </c>
      <c r="O116" s="20">
        <f t="shared" si="25"/>
        <v>430</v>
      </c>
      <c r="P116" s="20">
        <f t="shared" si="26"/>
        <v>430</v>
      </c>
      <c r="V116" s="1"/>
    </row>
    <row r="117" spans="4:22" ht="20" customHeight="1" x14ac:dyDescent="0.25">
      <c r="D117" s="20" t="s">
        <v>526</v>
      </c>
      <c r="E117" s="20" t="str">
        <f t="shared" si="23"/>
        <v>Kimberley</v>
      </c>
      <c r="F117" s="20" t="str">
        <f t="shared" si="23"/>
        <v>Winter</v>
      </c>
      <c r="G117" s="20">
        <f t="shared" si="23"/>
        <v>200</v>
      </c>
      <c r="H117" s="20">
        <f t="shared" si="23"/>
        <v>550</v>
      </c>
      <c r="I117" s="20">
        <f t="shared" si="23"/>
        <v>150</v>
      </c>
      <c r="J117" s="20">
        <f t="shared" si="23"/>
        <v>280</v>
      </c>
      <c r="K117" s="20">
        <f t="shared" si="23"/>
        <v>350</v>
      </c>
      <c r="L117" s="20">
        <f t="shared" si="24"/>
        <v>350</v>
      </c>
      <c r="M117" s="20">
        <f t="shared" si="24"/>
        <v>190</v>
      </c>
      <c r="N117" s="20">
        <f t="shared" si="24"/>
        <v>400</v>
      </c>
      <c r="O117" s="20">
        <f t="shared" si="25"/>
        <v>400</v>
      </c>
      <c r="P117" s="20">
        <f t="shared" si="26"/>
        <v>400</v>
      </c>
      <c r="V117" s="1"/>
    </row>
    <row r="118" spans="4:22" ht="20" customHeight="1" x14ac:dyDescent="0.25">
      <c r="D118" s="20" t="s">
        <v>530</v>
      </c>
      <c r="E118" s="20" t="str">
        <f>E54</f>
        <v>Alice Springs</v>
      </c>
      <c r="F118" s="20" t="str">
        <f t="shared" ref="F118:P118" si="27">F54</f>
        <v>Spring</v>
      </c>
      <c r="G118" s="20">
        <f t="shared" si="27"/>
        <v>220</v>
      </c>
      <c r="H118" s="20">
        <f t="shared" si="27"/>
        <v>706</v>
      </c>
      <c r="I118" s="20">
        <f t="shared" si="27"/>
        <v>208</v>
      </c>
      <c r="J118" s="20">
        <f t="shared" si="27"/>
        <v>323</v>
      </c>
      <c r="K118" s="20">
        <f t="shared" si="27"/>
        <v>415</v>
      </c>
      <c r="L118" s="20">
        <f t="shared" si="27"/>
        <v>467</v>
      </c>
      <c r="M118" s="20">
        <f t="shared" si="27"/>
        <v>223</v>
      </c>
      <c r="N118" s="20">
        <f t="shared" si="27"/>
        <v>371</v>
      </c>
      <c r="O118" s="20">
        <f t="shared" si="27"/>
        <v>493</v>
      </c>
      <c r="P118" s="20">
        <f t="shared" si="27"/>
        <v>585</v>
      </c>
    </row>
    <row r="119" spans="4:22" ht="20" customHeight="1" x14ac:dyDescent="0.25">
      <c r="D119" s="20" t="s">
        <v>530</v>
      </c>
      <c r="E119" s="20" t="str">
        <f t="shared" ref="E119:P134" si="28">E55</f>
        <v>Alice Springs</v>
      </c>
      <c r="F119" s="20" t="str">
        <f t="shared" si="28"/>
        <v>Summer</v>
      </c>
      <c r="G119" s="20">
        <f t="shared" si="28"/>
        <v>110</v>
      </c>
      <c r="H119" s="20">
        <f t="shared" si="28"/>
        <v>703</v>
      </c>
      <c r="I119" s="20">
        <f t="shared" si="28"/>
        <v>112</v>
      </c>
      <c r="J119" s="20">
        <f t="shared" si="28"/>
        <v>256</v>
      </c>
      <c r="K119" s="20">
        <f t="shared" si="28"/>
        <v>368</v>
      </c>
      <c r="L119" s="20">
        <f t="shared" si="28"/>
        <v>465</v>
      </c>
      <c r="M119" s="20">
        <f t="shared" si="28"/>
        <v>108</v>
      </c>
      <c r="N119" s="20">
        <f t="shared" si="28"/>
        <v>280</v>
      </c>
      <c r="O119" s="20">
        <f t="shared" si="28"/>
        <v>421</v>
      </c>
      <c r="P119" s="20">
        <f t="shared" si="28"/>
        <v>543</v>
      </c>
    </row>
    <row r="120" spans="4:22" ht="20" customHeight="1" x14ac:dyDescent="0.25">
      <c r="D120" s="20" t="s">
        <v>530</v>
      </c>
      <c r="E120" s="20" t="str">
        <f t="shared" si="28"/>
        <v>Alice Springs</v>
      </c>
      <c r="F120" s="20" t="str">
        <f t="shared" si="28"/>
        <v>Autumn</v>
      </c>
      <c r="G120" s="20">
        <f t="shared" si="28"/>
        <v>170</v>
      </c>
      <c r="H120" s="20">
        <f t="shared" si="28"/>
        <v>721</v>
      </c>
      <c r="I120" s="20">
        <f t="shared" si="28"/>
        <v>169</v>
      </c>
      <c r="J120" s="20">
        <f t="shared" si="28"/>
        <v>306</v>
      </c>
      <c r="K120" s="20">
        <f t="shared" si="28"/>
        <v>392</v>
      </c>
      <c r="L120" s="20">
        <f t="shared" si="28"/>
        <v>464</v>
      </c>
      <c r="M120" s="20">
        <f t="shared" si="28"/>
        <v>176</v>
      </c>
      <c r="N120" s="20">
        <f t="shared" si="28"/>
        <v>339</v>
      </c>
      <c r="O120" s="20">
        <f t="shared" si="28"/>
        <v>470</v>
      </c>
      <c r="P120" s="20">
        <f t="shared" si="28"/>
        <v>580</v>
      </c>
    </row>
    <row r="121" spans="4:22" ht="20" customHeight="1" x14ac:dyDescent="0.25">
      <c r="D121" s="20" t="s">
        <v>530</v>
      </c>
      <c r="E121" s="20" t="str">
        <f t="shared" si="28"/>
        <v>Alice Springs</v>
      </c>
      <c r="F121" s="20" t="str">
        <f t="shared" si="28"/>
        <v>Winter</v>
      </c>
      <c r="G121" s="20">
        <f t="shared" si="28"/>
        <v>200</v>
      </c>
      <c r="H121" s="20">
        <f t="shared" si="28"/>
        <v>727</v>
      </c>
      <c r="I121" s="20">
        <f t="shared" si="28"/>
        <v>211</v>
      </c>
      <c r="J121" s="20">
        <f t="shared" si="28"/>
        <v>338</v>
      </c>
      <c r="K121" s="20">
        <f t="shared" si="28"/>
        <v>432</v>
      </c>
      <c r="L121" s="20">
        <f t="shared" si="28"/>
        <v>492</v>
      </c>
      <c r="M121" s="20">
        <f t="shared" si="28"/>
        <v>222</v>
      </c>
      <c r="N121" s="20">
        <f t="shared" si="28"/>
        <v>377</v>
      </c>
      <c r="O121" s="20">
        <f t="shared" si="28"/>
        <v>498</v>
      </c>
      <c r="P121" s="20">
        <f t="shared" si="28"/>
        <v>590</v>
      </c>
    </row>
    <row r="122" spans="4:22" ht="20" customHeight="1" x14ac:dyDescent="0.25">
      <c r="D122" s="20" t="s">
        <v>530</v>
      </c>
      <c r="E122" s="20" t="str">
        <f t="shared" si="28"/>
        <v>Barkly</v>
      </c>
      <c r="F122" s="20" t="str">
        <f t="shared" si="28"/>
        <v>Spring</v>
      </c>
      <c r="G122" s="20">
        <f t="shared" si="28"/>
        <v>220</v>
      </c>
      <c r="H122" s="20">
        <f t="shared" si="28"/>
        <v>620</v>
      </c>
      <c r="I122" s="20">
        <f t="shared" si="28"/>
        <v>227</v>
      </c>
      <c r="J122" s="20">
        <f t="shared" si="28"/>
        <v>319</v>
      </c>
      <c r="K122" s="20">
        <f t="shared" si="28"/>
        <v>398</v>
      </c>
      <c r="L122" s="20">
        <f t="shared" si="28"/>
        <v>452</v>
      </c>
      <c r="M122" s="20">
        <f t="shared" si="28"/>
        <v>216</v>
      </c>
      <c r="N122" s="20">
        <f t="shared" si="28"/>
        <v>334</v>
      </c>
      <c r="O122" s="20" t="str">
        <f t="shared" si="28"/>
        <v>NO</v>
      </c>
      <c r="P122" s="20" t="str">
        <f t="shared" si="28"/>
        <v>NO</v>
      </c>
    </row>
    <row r="123" spans="4:22" ht="20" customHeight="1" x14ac:dyDescent="0.25">
      <c r="D123" s="20" t="s">
        <v>530</v>
      </c>
      <c r="E123" s="20" t="str">
        <f t="shared" si="28"/>
        <v>Barkly</v>
      </c>
      <c r="F123" s="20" t="str">
        <f t="shared" si="28"/>
        <v>Summer</v>
      </c>
      <c r="G123" s="20">
        <f t="shared" si="28"/>
        <v>110</v>
      </c>
      <c r="H123" s="20">
        <f t="shared" si="28"/>
        <v>650</v>
      </c>
      <c r="I123" s="20">
        <f t="shared" si="28"/>
        <v>108</v>
      </c>
      <c r="J123" s="20">
        <f t="shared" si="28"/>
        <v>262</v>
      </c>
      <c r="K123" s="20">
        <f t="shared" si="28"/>
        <v>346</v>
      </c>
      <c r="L123" s="20">
        <f t="shared" si="28"/>
        <v>430</v>
      </c>
      <c r="M123" s="20">
        <f t="shared" si="28"/>
        <v>111</v>
      </c>
      <c r="N123" s="20">
        <f t="shared" si="28"/>
        <v>236</v>
      </c>
      <c r="O123" s="20" t="str">
        <f t="shared" si="28"/>
        <v>NO</v>
      </c>
      <c r="P123" s="20" t="str">
        <f t="shared" si="28"/>
        <v>NO</v>
      </c>
    </row>
    <row r="124" spans="4:22" ht="20" customHeight="1" x14ac:dyDescent="0.25">
      <c r="D124" s="20" t="s">
        <v>530</v>
      </c>
      <c r="E124" s="20" t="str">
        <f t="shared" si="28"/>
        <v>Barkly</v>
      </c>
      <c r="F124" s="20" t="str">
        <f t="shared" si="28"/>
        <v>Autumn</v>
      </c>
      <c r="G124" s="20">
        <f t="shared" si="28"/>
        <v>170</v>
      </c>
      <c r="H124" s="20">
        <f t="shared" si="28"/>
        <v>670</v>
      </c>
      <c r="I124" s="20">
        <f t="shared" si="28"/>
        <v>170</v>
      </c>
      <c r="J124" s="20">
        <f t="shared" si="28"/>
        <v>266</v>
      </c>
      <c r="K124" s="20">
        <f t="shared" si="28"/>
        <v>363</v>
      </c>
      <c r="L124" s="20">
        <f t="shared" si="28"/>
        <v>444</v>
      </c>
      <c r="M124" s="20">
        <f t="shared" si="28"/>
        <v>169</v>
      </c>
      <c r="N124" s="20">
        <f t="shared" si="28"/>
        <v>282</v>
      </c>
      <c r="O124" s="20" t="str">
        <f t="shared" si="28"/>
        <v>NO</v>
      </c>
      <c r="P124" s="20" t="str">
        <f t="shared" si="28"/>
        <v>NO</v>
      </c>
    </row>
    <row r="125" spans="4:22" ht="20" customHeight="1" x14ac:dyDescent="0.25">
      <c r="D125" s="20" t="s">
        <v>530</v>
      </c>
      <c r="E125" s="20" t="str">
        <f t="shared" si="28"/>
        <v>Barkly</v>
      </c>
      <c r="F125" s="20" t="str">
        <f t="shared" si="28"/>
        <v>Winter</v>
      </c>
      <c r="G125" s="20">
        <f t="shared" si="28"/>
        <v>200</v>
      </c>
      <c r="H125" s="20">
        <f t="shared" si="28"/>
        <v>660</v>
      </c>
      <c r="I125" s="20">
        <f t="shared" si="28"/>
        <v>225</v>
      </c>
      <c r="J125" s="20">
        <f t="shared" si="28"/>
        <v>307</v>
      </c>
      <c r="K125" s="20">
        <f t="shared" si="28"/>
        <v>398</v>
      </c>
      <c r="L125" s="20">
        <f t="shared" si="28"/>
        <v>452</v>
      </c>
      <c r="M125" s="20">
        <f t="shared" si="28"/>
        <v>214</v>
      </c>
      <c r="N125" s="20">
        <f t="shared" si="28"/>
        <v>326</v>
      </c>
      <c r="O125" s="20" t="str">
        <f t="shared" si="28"/>
        <v>NO</v>
      </c>
      <c r="P125" s="20" t="str">
        <f t="shared" si="28"/>
        <v>NO</v>
      </c>
      <c r="V125" s="1"/>
    </row>
    <row r="126" spans="4:22" ht="20" customHeight="1" x14ac:dyDescent="0.25">
      <c r="D126" s="20" t="s">
        <v>530</v>
      </c>
      <c r="E126" s="20" t="str">
        <f t="shared" si="28"/>
        <v>Northern</v>
      </c>
      <c r="F126" s="20" t="str">
        <f t="shared" si="28"/>
        <v>Spring</v>
      </c>
      <c r="G126" s="20">
        <f t="shared" si="28"/>
        <v>220</v>
      </c>
      <c r="H126" s="20">
        <f t="shared" si="28"/>
        <v>620</v>
      </c>
      <c r="I126" s="20">
        <f t="shared" si="28"/>
        <v>177</v>
      </c>
      <c r="J126" s="20">
        <f t="shared" si="28"/>
        <v>267</v>
      </c>
      <c r="K126" s="20">
        <f t="shared" si="28"/>
        <v>365</v>
      </c>
      <c r="L126" s="20">
        <f t="shared" si="28"/>
        <v>406</v>
      </c>
      <c r="M126" s="20">
        <f t="shared" si="28"/>
        <v>231</v>
      </c>
      <c r="N126" s="20">
        <f t="shared" si="28"/>
        <v>249</v>
      </c>
      <c r="O126" s="20">
        <f t="shared" si="28"/>
        <v>324</v>
      </c>
      <c r="P126" s="20" t="str">
        <f t="shared" si="28"/>
        <v>NO</v>
      </c>
      <c r="V126" s="1"/>
    </row>
    <row r="127" spans="4:22" ht="20" customHeight="1" x14ac:dyDescent="0.25">
      <c r="D127" s="20" t="s">
        <v>530</v>
      </c>
      <c r="E127" s="20" t="str">
        <f t="shared" si="28"/>
        <v>Northern</v>
      </c>
      <c r="F127" s="20" t="str">
        <f t="shared" si="28"/>
        <v>Summer</v>
      </c>
      <c r="G127" s="20">
        <f t="shared" si="28"/>
        <v>110</v>
      </c>
      <c r="H127" s="20">
        <f t="shared" si="28"/>
        <v>650</v>
      </c>
      <c r="I127" s="20">
        <f t="shared" si="28"/>
        <v>102</v>
      </c>
      <c r="J127" s="20">
        <f t="shared" si="28"/>
        <v>203</v>
      </c>
      <c r="K127" s="20">
        <f t="shared" si="28"/>
        <v>299</v>
      </c>
      <c r="L127" s="20">
        <f t="shared" si="28"/>
        <v>380</v>
      </c>
      <c r="M127" s="20">
        <f t="shared" si="28"/>
        <v>102</v>
      </c>
      <c r="N127" s="20">
        <f t="shared" si="28"/>
        <v>218</v>
      </c>
      <c r="O127" s="20">
        <f t="shared" si="28"/>
        <v>263</v>
      </c>
      <c r="P127" s="20" t="str">
        <f t="shared" si="28"/>
        <v>NO</v>
      </c>
      <c r="V127" s="1"/>
    </row>
    <row r="128" spans="4:22" ht="20" customHeight="1" x14ac:dyDescent="0.25">
      <c r="D128" s="20" t="s">
        <v>530</v>
      </c>
      <c r="E128" s="20" t="str">
        <f t="shared" si="28"/>
        <v>Northern</v>
      </c>
      <c r="F128" s="20" t="str">
        <f t="shared" si="28"/>
        <v>Autumn</v>
      </c>
      <c r="G128" s="20">
        <f t="shared" si="28"/>
        <v>170</v>
      </c>
      <c r="H128" s="20">
        <f t="shared" si="28"/>
        <v>670</v>
      </c>
      <c r="I128" s="20">
        <f t="shared" si="28"/>
        <v>173</v>
      </c>
      <c r="J128" s="20">
        <f t="shared" si="28"/>
        <v>250</v>
      </c>
      <c r="K128" s="20">
        <f t="shared" si="28"/>
        <v>336</v>
      </c>
      <c r="L128" s="20">
        <f t="shared" si="28"/>
        <v>414</v>
      </c>
      <c r="M128" s="20">
        <f t="shared" si="28"/>
        <v>175</v>
      </c>
      <c r="N128" s="20">
        <f t="shared" si="28"/>
        <v>243</v>
      </c>
      <c r="O128" s="20">
        <f t="shared" si="28"/>
        <v>304</v>
      </c>
      <c r="P128" s="20" t="str">
        <f t="shared" si="28"/>
        <v>NO</v>
      </c>
      <c r="V128" s="1"/>
    </row>
    <row r="129" spans="4:22" ht="20" customHeight="1" x14ac:dyDescent="0.25">
      <c r="D129" s="20" t="s">
        <v>530</v>
      </c>
      <c r="E129" s="20" t="str">
        <f t="shared" si="28"/>
        <v>Northern</v>
      </c>
      <c r="F129" s="20" t="str">
        <f t="shared" si="28"/>
        <v>Winter</v>
      </c>
      <c r="G129" s="20">
        <f t="shared" si="28"/>
        <v>200</v>
      </c>
      <c r="H129" s="20">
        <f t="shared" si="28"/>
        <v>660</v>
      </c>
      <c r="I129" s="20">
        <f t="shared" si="28"/>
        <v>202</v>
      </c>
      <c r="J129" s="20">
        <f t="shared" si="28"/>
        <v>272</v>
      </c>
      <c r="K129" s="20">
        <f t="shared" si="28"/>
        <v>365</v>
      </c>
      <c r="L129" s="20">
        <f t="shared" si="28"/>
        <v>390</v>
      </c>
      <c r="M129" s="20">
        <f t="shared" si="28"/>
        <v>208</v>
      </c>
      <c r="N129" s="20">
        <f t="shared" si="28"/>
        <v>260</v>
      </c>
      <c r="O129" s="20">
        <f t="shared" si="28"/>
        <v>337</v>
      </c>
      <c r="P129" s="20" t="str">
        <f t="shared" si="28"/>
        <v>NO</v>
      </c>
      <c r="V129" s="1"/>
    </row>
    <row r="130" spans="4:22" ht="20" customHeight="1" x14ac:dyDescent="0.25">
      <c r="D130" s="20" t="s">
        <v>534</v>
      </c>
      <c r="E130" s="20" t="str">
        <f t="shared" si="28"/>
        <v>High</v>
      </c>
      <c r="F130" s="20" t="str">
        <f t="shared" si="28"/>
        <v>Spring</v>
      </c>
      <c r="G130" s="20">
        <f t="shared" si="28"/>
        <v>260</v>
      </c>
      <c r="H130" s="20">
        <f t="shared" si="28"/>
        <v>705</v>
      </c>
      <c r="I130" s="20">
        <f t="shared" si="28"/>
        <v>215</v>
      </c>
      <c r="J130" s="20">
        <f t="shared" si="28"/>
        <v>302</v>
      </c>
      <c r="K130" s="20">
        <f t="shared" si="28"/>
        <v>416</v>
      </c>
      <c r="L130" s="20">
        <f t="shared" si="28"/>
        <v>519</v>
      </c>
      <c r="M130" s="20">
        <f t="shared" si="28"/>
        <v>234</v>
      </c>
      <c r="N130" s="20">
        <f t="shared" si="28"/>
        <v>455</v>
      </c>
      <c r="O130" s="20">
        <f t="shared" si="28"/>
        <v>551</v>
      </c>
      <c r="P130" s="20">
        <f t="shared" si="28"/>
        <v>660</v>
      </c>
      <c r="V130" s="1"/>
    </row>
    <row r="131" spans="4:22" ht="20" customHeight="1" x14ac:dyDescent="0.25">
      <c r="D131" s="20" t="s">
        <v>534</v>
      </c>
      <c r="E131" s="20" t="str">
        <f t="shared" si="28"/>
        <v>High</v>
      </c>
      <c r="F131" s="20" t="str">
        <f t="shared" si="28"/>
        <v>Summer</v>
      </c>
      <c r="G131" s="20">
        <f t="shared" si="28"/>
        <v>153</v>
      </c>
      <c r="H131" s="20">
        <f t="shared" si="28"/>
        <v>703</v>
      </c>
      <c r="I131" s="20">
        <f t="shared" si="28"/>
        <v>118</v>
      </c>
      <c r="J131" s="20">
        <f t="shared" si="28"/>
        <v>277</v>
      </c>
      <c r="K131" s="20">
        <f t="shared" si="28"/>
        <v>397</v>
      </c>
      <c r="L131" s="20">
        <f t="shared" si="28"/>
        <v>483</v>
      </c>
      <c r="M131" s="20">
        <f t="shared" si="28"/>
        <v>111</v>
      </c>
      <c r="N131" s="20">
        <f t="shared" si="28"/>
        <v>304</v>
      </c>
      <c r="O131" s="20">
        <f t="shared" si="28"/>
        <v>521</v>
      </c>
      <c r="P131" s="20">
        <f t="shared" si="28"/>
        <v>547</v>
      </c>
    </row>
    <row r="132" spans="4:22" ht="20" customHeight="1" x14ac:dyDescent="0.25">
      <c r="D132" s="20" t="s">
        <v>534</v>
      </c>
      <c r="E132" s="20" t="str">
        <f t="shared" si="28"/>
        <v>High</v>
      </c>
      <c r="F132" s="20" t="str">
        <f t="shared" si="28"/>
        <v>Autumn</v>
      </c>
      <c r="G132" s="20">
        <f t="shared" si="28"/>
        <v>168</v>
      </c>
      <c r="H132" s="20">
        <f t="shared" si="28"/>
        <v>718</v>
      </c>
      <c r="I132" s="20">
        <f t="shared" si="28"/>
        <v>191</v>
      </c>
      <c r="J132" s="20">
        <f t="shared" si="28"/>
        <v>319</v>
      </c>
      <c r="K132" s="20">
        <f t="shared" si="28"/>
        <v>440</v>
      </c>
      <c r="L132" s="20">
        <f t="shared" si="28"/>
        <v>506</v>
      </c>
      <c r="M132" s="20">
        <f t="shared" si="28"/>
        <v>188</v>
      </c>
      <c r="N132" s="20">
        <f t="shared" si="28"/>
        <v>326</v>
      </c>
      <c r="O132" s="20">
        <f t="shared" si="28"/>
        <v>520</v>
      </c>
      <c r="P132" s="20">
        <f t="shared" si="28"/>
        <v>582</v>
      </c>
    </row>
    <row r="133" spans="4:22" ht="20" customHeight="1" x14ac:dyDescent="0.25">
      <c r="D133" s="20" t="s">
        <v>534</v>
      </c>
      <c r="E133" s="20" t="str">
        <f t="shared" si="28"/>
        <v>High</v>
      </c>
      <c r="F133" s="20" t="str">
        <f t="shared" si="28"/>
        <v>Winter</v>
      </c>
      <c r="G133" s="20">
        <f t="shared" si="28"/>
        <v>235</v>
      </c>
      <c r="H133" s="20">
        <f t="shared" si="28"/>
        <v>722</v>
      </c>
      <c r="I133" s="20">
        <f t="shared" si="28"/>
        <v>207</v>
      </c>
      <c r="J133" s="20">
        <f t="shared" si="28"/>
        <v>352</v>
      </c>
      <c r="K133" s="20">
        <f t="shared" si="28"/>
        <v>470</v>
      </c>
      <c r="L133" s="20">
        <f t="shared" si="28"/>
        <v>514</v>
      </c>
      <c r="M133" s="20">
        <f t="shared" si="28"/>
        <v>209</v>
      </c>
      <c r="N133" s="20">
        <f t="shared" si="28"/>
        <v>421</v>
      </c>
      <c r="O133" s="20">
        <f t="shared" si="28"/>
        <v>512</v>
      </c>
      <c r="P133" s="20">
        <f t="shared" si="28"/>
        <v>605</v>
      </c>
    </row>
    <row r="134" spans="4:22" ht="20" customHeight="1" x14ac:dyDescent="0.25">
      <c r="D134" s="20" t="s">
        <v>534</v>
      </c>
      <c r="E134" s="20" t="str">
        <f t="shared" si="28"/>
        <v>Moderate/High</v>
      </c>
      <c r="F134" s="20" t="str">
        <f t="shared" si="28"/>
        <v>Spring</v>
      </c>
      <c r="G134" s="20">
        <f t="shared" si="28"/>
        <v>230</v>
      </c>
      <c r="H134" s="20">
        <f t="shared" si="28"/>
        <v>674</v>
      </c>
      <c r="I134" s="20">
        <f t="shared" si="28"/>
        <v>217</v>
      </c>
      <c r="J134" s="20">
        <f t="shared" si="28"/>
        <v>344</v>
      </c>
      <c r="K134" s="20">
        <f t="shared" si="28"/>
        <v>357</v>
      </c>
      <c r="L134" s="20">
        <f t="shared" si="28"/>
        <v>467</v>
      </c>
      <c r="M134" s="20">
        <f t="shared" si="28"/>
        <v>242</v>
      </c>
      <c r="N134" s="20">
        <f t="shared" si="28"/>
        <v>370</v>
      </c>
      <c r="O134" s="20">
        <f t="shared" si="28"/>
        <v>550</v>
      </c>
      <c r="P134" s="20">
        <f t="shared" si="28"/>
        <v>620</v>
      </c>
    </row>
    <row r="135" spans="4:22" ht="20" customHeight="1" x14ac:dyDescent="0.25">
      <c r="D135" s="20" t="s">
        <v>534</v>
      </c>
      <c r="E135" s="20" t="str">
        <f t="shared" ref="E135:P145" si="29">E71</f>
        <v>Moderate/High</v>
      </c>
      <c r="F135" s="20" t="str">
        <f t="shared" si="29"/>
        <v>Summer</v>
      </c>
      <c r="G135" s="20">
        <f t="shared" si="29"/>
        <v>113</v>
      </c>
      <c r="H135" s="20">
        <f t="shared" si="29"/>
        <v>669</v>
      </c>
      <c r="I135" s="20">
        <f t="shared" si="29"/>
        <v>113</v>
      </c>
      <c r="J135" s="20">
        <f t="shared" si="29"/>
        <v>283</v>
      </c>
      <c r="K135" s="20">
        <f t="shared" si="29"/>
        <v>361</v>
      </c>
      <c r="L135" s="20">
        <f t="shared" si="29"/>
        <v>477</v>
      </c>
      <c r="M135" s="20">
        <f t="shared" si="29"/>
        <v>120</v>
      </c>
      <c r="N135" s="20">
        <f t="shared" si="29"/>
        <v>273</v>
      </c>
      <c r="O135" s="20">
        <f t="shared" si="29"/>
        <v>545</v>
      </c>
      <c r="P135" s="20">
        <f t="shared" si="29"/>
        <v>553</v>
      </c>
    </row>
    <row r="136" spans="4:22" ht="20" customHeight="1" x14ac:dyDescent="0.25">
      <c r="D136" s="20" t="s">
        <v>534</v>
      </c>
      <c r="E136" s="20" t="str">
        <f t="shared" si="29"/>
        <v>Moderate/High</v>
      </c>
      <c r="F136" s="20" t="str">
        <f t="shared" si="29"/>
        <v>Autumn</v>
      </c>
      <c r="G136" s="20">
        <f t="shared" si="29"/>
        <v>172</v>
      </c>
      <c r="H136" s="20">
        <f t="shared" si="29"/>
        <v>685</v>
      </c>
      <c r="I136" s="20">
        <f t="shared" si="29"/>
        <v>172</v>
      </c>
      <c r="J136" s="20">
        <f t="shared" si="29"/>
        <v>309</v>
      </c>
      <c r="K136" s="20">
        <f t="shared" si="29"/>
        <v>376</v>
      </c>
      <c r="L136" s="20">
        <f t="shared" si="29"/>
        <v>471</v>
      </c>
      <c r="M136" s="20">
        <f t="shared" si="29"/>
        <v>238</v>
      </c>
      <c r="N136" s="20">
        <f t="shared" si="29"/>
        <v>329</v>
      </c>
      <c r="O136" s="20">
        <f t="shared" si="29"/>
        <v>573</v>
      </c>
      <c r="P136" s="20">
        <f t="shared" si="29"/>
        <v>620</v>
      </c>
    </row>
    <row r="137" spans="4:22" ht="20" customHeight="1" x14ac:dyDescent="0.25">
      <c r="D137" s="20" t="s">
        <v>534</v>
      </c>
      <c r="E137" s="20" t="str">
        <f t="shared" si="29"/>
        <v>Moderate/High</v>
      </c>
      <c r="F137" s="20" t="str">
        <f t="shared" si="29"/>
        <v>Winter</v>
      </c>
      <c r="G137" s="20">
        <f t="shared" si="29"/>
        <v>241</v>
      </c>
      <c r="H137" s="20">
        <f t="shared" si="29"/>
        <v>692</v>
      </c>
      <c r="I137" s="20">
        <f t="shared" si="29"/>
        <v>208</v>
      </c>
      <c r="J137" s="20">
        <f t="shared" si="29"/>
        <v>344</v>
      </c>
      <c r="K137" s="20">
        <f t="shared" si="29"/>
        <v>364</v>
      </c>
      <c r="L137" s="20">
        <f t="shared" si="29"/>
        <v>484</v>
      </c>
      <c r="M137" s="20">
        <f t="shared" si="29"/>
        <v>260</v>
      </c>
      <c r="N137" s="20">
        <f t="shared" si="29"/>
        <v>350</v>
      </c>
      <c r="O137" s="20">
        <f t="shared" si="29"/>
        <v>567</v>
      </c>
      <c r="P137" s="20">
        <f t="shared" si="29"/>
        <v>620</v>
      </c>
    </row>
    <row r="138" spans="4:22" ht="20" customHeight="1" x14ac:dyDescent="0.25">
      <c r="D138" s="20" t="s">
        <v>534</v>
      </c>
      <c r="E138" s="20" t="str">
        <f t="shared" si="29"/>
        <v>Moderate/Low</v>
      </c>
      <c r="F138" s="20" t="str">
        <f t="shared" si="29"/>
        <v>Spring</v>
      </c>
      <c r="G138" s="20">
        <f t="shared" si="29"/>
        <v>236</v>
      </c>
      <c r="H138" s="20">
        <f t="shared" si="29"/>
        <v>674</v>
      </c>
      <c r="I138" s="20">
        <f t="shared" si="29"/>
        <v>178</v>
      </c>
      <c r="J138" s="20">
        <f t="shared" si="29"/>
        <v>310</v>
      </c>
      <c r="K138" s="20">
        <f t="shared" si="29"/>
        <v>428</v>
      </c>
      <c r="L138" s="20">
        <f t="shared" si="29"/>
        <v>466</v>
      </c>
      <c r="M138" s="20">
        <f t="shared" si="29"/>
        <v>193</v>
      </c>
      <c r="N138" s="20">
        <f t="shared" si="29"/>
        <v>370</v>
      </c>
      <c r="O138" s="20">
        <f t="shared" si="29"/>
        <v>519</v>
      </c>
      <c r="P138" s="20">
        <f t="shared" si="29"/>
        <v>565</v>
      </c>
    </row>
    <row r="139" spans="4:22" ht="20" customHeight="1" x14ac:dyDescent="0.25">
      <c r="D139" s="20" t="s">
        <v>534</v>
      </c>
      <c r="E139" s="20" t="str">
        <f t="shared" si="29"/>
        <v>Moderate/Low</v>
      </c>
      <c r="F139" s="20" t="str">
        <f t="shared" si="29"/>
        <v>Summer</v>
      </c>
      <c r="G139" s="20">
        <f t="shared" si="29"/>
        <v>120</v>
      </c>
      <c r="H139" s="20">
        <f t="shared" si="29"/>
        <v>669</v>
      </c>
      <c r="I139" s="20">
        <f t="shared" si="29"/>
        <v>112</v>
      </c>
      <c r="J139" s="20">
        <f t="shared" si="29"/>
        <v>250</v>
      </c>
      <c r="K139" s="20">
        <f t="shared" si="29"/>
        <v>390</v>
      </c>
      <c r="L139" s="20">
        <f t="shared" si="29"/>
        <v>448</v>
      </c>
      <c r="M139" s="20">
        <f t="shared" si="29"/>
        <v>115</v>
      </c>
      <c r="N139" s="20">
        <f t="shared" si="29"/>
        <v>273</v>
      </c>
      <c r="O139" s="20">
        <f t="shared" si="29"/>
        <v>433</v>
      </c>
      <c r="P139" s="20">
        <f t="shared" si="29"/>
        <v>556</v>
      </c>
    </row>
    <row r="140" spans="4:22" ht="20" customHeight="1" x14ac:dyDescent="0.25">
      <c r="D140" s="20" t="s">
        <v>534</v>
      </c>
      <c r="E140" s="20" t="str">
        <f t="shared" si="29"/>
        <v>Moderate/Low</v>
      </c>
      <c r="F140" s="20" t="str">
        <f t="shared" si="29"/>
        <v>Autumn</v>
      </c>
      <c r="G140" s="20">
        <f t="shared" si="29"/>
        <v>125</v>
      </c>
      <c r="H140" s="20">
        <f t="shared" si="29"/>
        <v>685</v>
      </c>
      <c r="I140" s="20">
        <f t="shared" si="29"/>
        <v>140</v>
      </c>
      <c r="J140" s="20">
        <f t="shared" si="29"/>
        <v>277</v>
      </c>
      <c r="K140" s="20">
        <f t="shared" si="29"/>
        <v>407</v>
      </c>
      <c r="L140" s="20">
        <f t="shared" si="29"/>
        <v>455</v>
      </c>
      <c r="M140" s="20">
        <f t="shared" si="29"/>
        <v>141</v>
      </c>
      <c r="N140" s="20">
        <f t="shared" si="29"/>
        <v>296</v>
      </c>
      <c r="O140" s="20">
        <f t="shared" si="29"/>
        <v>445</v>
      </c>
      <c r="P140" s="20">
        <f t="shared" si="29"/>
        <v>593</v>
      </c>
    </row>
    <row r="141" spans="4:22" ht="20" customHeight="1" x14ac:dyDescent="0.25">
      <c r="D141" s="20" t="s">
        <v>534</v>
      </c>
      <c r="E141" s="20" t="str">
        <f t="shared" si="29"/>
        <v>Moderate/Low</v>
      </c>
      <c r="F141" s="20" t="str">
        <f t="shared" si="29"/>
        <v>Winter</v>
      </c>
      <c r="G141" s="20">
        <f t="shared" si="29"/>
        <v>180</v>
      </c>
      <c r="H141" s="20">
        <f t="shared" si="29"/>
        <v>692</v>
      </c>
      <c r="I141" s="20">
        <f t="shared" si="29"/>
        <v>183</v>
      </c>
      <c r="J141" s="20">
        <f t="shared" si="29"/>
        <v>316</v>
      </c>
      <c r="K141" s="20">
        <f t="shared" si="29"/>
        <v>438</v>
      </c>
      <c r="L141" s="20">
        <f t="shared" si="29"/>
        <v>468</v>
      </c>
      <c r="M141" s="20">
        <f t="shared" si="29"/>
        <v>189</v>
      </c>
      <c r="N141" s="20">
        <f t="shared" si="29"/>
        <v>354</v>
      </c>
      <c r="O141" s="20">
        <f t="shared" si="29"/>
        <v>500</v>
      </c>
      <c r="P141" s="20">
        <f t="shared" si="29"/>
        <v>553</v>
      </c>
    </row>
    <row r="142" spans="4:22" ht="20" customHeight="1" x14ac:dyDescent="0.25">
      <c r="D142" s="20" t="s">
        <v>534</v>
      </c>
      <c r="E142" s="20" t="str">
        <f t="shared" si="29"/>
        <v>Low</v>
      </c>
      <c r="F142" s="20" t="str">
        <f t="shared" si="29"/>
        <v>Spring</v>
      </c>
      <c r="G142" s="20">
        <f t="shared" si="29"/>
        <v>190</v>
      </c>
      <c r="H142" s="20">
        <f t="shared" si="29"/>
        <v>617</v>
      </c>
      <c r="I142" s="20">
        <f t="shared" si="29"/>
        <v>174</v>
      </c>
      <c r="J142" s="20">
        <f t="shared" si="29"/>
        <v>265</v>
      </c>
      <c r="K142" s="20">
        <f t="shared" si="29"/>
        <v>371</v>
      </c>
      <c r="L142" s="20">
        <f t="shared" si="29"/>
        <v>415</v>
      </c>
      <c r="M142" s="20">
        <f t="shared" si="29"/>
        <v>170</v>
      </c>
      <c r="N142" s="20">
        <f t="shared" si="29"/>
        <v>272</v>
      </c>
      <c r="O142" s="20">
        <f t="shared" si="29"/>
        <v>392</v>
      </c>
      <c r="P142" s="20">
        <f t="shared" si="29"/>
        <v>531</v>
      </c>
    </row>
    <row r="143" spans="4:22" ht="20" customHeight="1" x14ac:dyDescent="0.25">
      <c r="D143" s="20" t="s">
        <v>534</v>
      </c>
      <c r="E143" s="20" t="str">
        <f t="shared" si="29"/>
        <v>Low</v>
      </c>
      <c r="F143" s="20" t="str">
        <f t="shared" si="29"/>
        <v>Summer</v>
      </c>
      <c r="G143" s="20">
        <f t="shared" si="29"/>
        <v>119</v>
      </c>
      <c r="H143" s="20">
        <f t="shared" si="29"/>
        <v>591</v>
      </c>
      <c r="I143" s="20">
        <f t="shared" si="29"/>
        <v>140</v>
      </c>
      <c r="J143" s="20">
        <f t="shared" si="29"/>
        <v>205</v>
      </c>
      <c r="K143" s="20">
        <f t="shared" si="29"/>
        <v>310</v>
      </c>
      <c r="L143" s="20">
        <f t="shared" si="29"/>
        <v>405</v>
      </c>
      <c r="M143" s="20">
        <f t="shared" si="29"/>
        <v>133</v>
      </c>
      <c r="N143" s="20">
        <f t="shared" si="29"/>
        <v>218</v>
      </c>
      <c r="O143" s="20">
        <f t="shared" si="29"/>
        <v>315</v>
      </c>
      <c r="P143" s="20">
        <f t="shared" si="29"/>
        <v>445</v>
      </c>
    </row>
    <row r="144" spans="4:22" ht="20" customHeight="1" x14ac:dyDescent="0.25">
      <c r="D144" s="20" t="s">
        <v>534</v>
      </c>
      <c r="E144" s="20" t="str">
        <f t="shared" si="29"/>
        <v>Low</v>
      </c>
      <c r="F144" s="20" t="str">
        <f t="shared" si="29"/>
        <v>Autumn</v>
      </c>
      <c r="G144" s="20">
        <f t="shared" si="29"/>
        <v>175</v>
      </c>
      <c r="H144" s="20">
        <f t="shared" si="29"/>
        <v>610</v>
      </c>
      <c r="I144" s="20">
        <f t="shared" si="29"/>
        <v>163</v>
      </c>
      <c r="J144" s="20">
        <f t="shared" si="29"/>
        <v>232</v>
      </c>
      <c r="K144" s="20">
        <f t="shared" si="29"/>
        <v>351</v>
      </c>
      <c r="L144" s="20">
        <f t="shared" si="29"/>
        <v>427</v>
      </c>
      <c r="M144" s="20">
        <f t="shared" si="29"/>
        <v>146</v>
      </c>
      <c r="N144" s="20">
        <f t="shared" si="29"/>
        <v>242</v>
      </c>
      <c r="O144" s="20">
        <f t="shared" si="29"/>
        <v>320</v>
      </c>
      <c r="P144" s="20">
        <f t="shared" si="29"/>
        <v>471</v>
      </c>
    </row>
    <row r="145" spans="4:16" ht="20" customHeight="1" x14ac:dyDescent="0.25">
      <c r="D145" s="20" t="s">
        <v>534</v>
      </c>
      <c r="E145" s="20" t="str">
        <f t="shared" si="29"/>
        <v>Low</v>
      </c>
      <c r="F145" s="20" t="str">
        <f t="shared" si="29"/>
        <v>Winter</v>
      </c>
      <c r="G145" s="20">
        <f t="shared" si="29"/>
        <v>192</v>
      </c>
      <c r="H145" s="20">
        <f t="shared" si="29"/>
        <v>615</v>
      </c>
      <c r="I145" s="20">
        <f t="shared" si="29"/>
        <v>162</v>
      </c>
      <c r="J145" s="20">
        <f t="shared" si="29"/>
        <v>255</v>
      </c>
      <c r="K145" s="20">
        <f t="shared" si="29"/>
        <v>364</v>
      </c>
      <c r="L145" s="20">
        <f t="shared" si="29"/>
        <v>420</v>
      </c>
      <c r="M145" s="20">
        <f t="shared" si="29"/>
        <v>157</v>
      </c>
      <c r="N145" s="20">
        <f t="shared" si="29"/>
        <v>261</v>
      </c>
      <c r="O145" s="20">
        <f t="shared" si="29"/>
        <v>342</v>
      </c>
      <c r="P145" s="20">
        <f t="shared" si="29"/>
        <v>484</v>
      </c>
    </row>
    <row r="146" spans="4:16" ht="20" customHeight="1" x14ac:dyDescent="0.25">
      <c r="D146" s="1" t="s">
        <v>538</v>
      </c>
      <c r="E146" s="1" t="s">
        <v>494</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 customHeight="1" x14ac:dyDescent="0.25">
      <c r="D147" s="1" t="s">
        <v>538</v>
      </c>
      <c r="E147" s="1" t="s">
        <v>494</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 customHeight="1" x14ac:dyDescent="0.25">
      <c r="D148" s="1" t="s">
        <v>538</v>
      </c>
      <c r="E148" s="1" t="s">
        <v>494</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 customHeight="1" x14ac:dyDescent="0.25">
      <c r="D149" s="1" t="s">
        <v>538</v>
      </c>
      <c r="E149" s="1" t="s">
        <v>494</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 customHeight="1" x14ac:dyDescent="0.25">
      <c r="D150" s="2" t="str" cm="1">
        <f t="array" ref="D150">SourceData_PastureBeef.SourceData_PastureBeef_LiveweightGain_Title()</f>
        <v>Beef pasture cattle - Liveweight gain (kg) (LWGjkl)</v>
      </c>
      <c r="M150" s="1"/>
    </row>
    <row r="151" spans="4:16" ht="20" customHeight="1" x14ac:dyDescent="0.25">
      <c r="D151" s="17" t="str" cm="1">
        <f t="array" ref="D151">SourceData_PastureBeef.SourceData_PastureBeef_LiveweightGain_Source()</f>
        <v>VEERG 2026: Table A.1.2.3</v>
      </c>
      <c r="M151" s="1"/>
    </row>
    <row r="152" spans="4:16" ht="20" customHeight="1" x14ac:dyDescent="0.25">
      <c r="D152" s="1" t="str" cm="1">
        <f t="array" ref="D152">SourceData_PastureBeef.SourceData_PastureBeef_LiveweightGain_Variable()</f>
        <v>LWGjkl</v>
      </c>
      <c r="M152" s="1"/>
    </row>
    <row r="153" spans="4:16" ht="20" customHeight="1" x14ac:dyDescent="0.25">
      <c r="D153" s="9" t="str" cm="1">
        <f t="array" ref="D153">SourceData_PastureBeef.SourceData_PastureBeef_LiveweightGain_Unit()</f>
        <v>kg</v>
      </c>
      <c r="M153" s="1"/>
    </row>
    <row r="154" spans="4:16" ht="20" customHeight="1" x14ac:dyDescent="0.25">
      <c r="D154" s="20" t="s">
        <v>105</v>
      </c>
      <c r="E154" s="20" t="s">
        <v>490</v>
      </c>
      <c r="F154" s="20" t="s">
        <v>76</v>
      </c>
      <c r="G154" s="20" t="s">
        <v>539</v>
      </c>
      <c r="H154" s="20" t="s">
        <v>540</v>
      </c>
      <c r="I154" s="20" t="s">
        <v>550</v>
      </c>
      <c r="J154" s="20" t="s">
        <v>511</v>
      </c>
      <c r="K154" s="20" t="s">
        <v>551</v>
      </c>
      <c r="L154" s="20" t="s">
        <v>545</v>
      </c>
      <c r="M154" s="20" t="s">
        <v>552</v>
      </c>
    </row>
    <row r="155" spans="4:16" ht="20" customHeight="1" x14ac:dyDescent="0.25">
      <c r="D155" s="20" t="str" cm="1">
        <f t="array" ref="D155">Common_InputFunctions.Utility_DisplayArrayInTable(SourceData_PastureBeef.SourceData_PastureBeef_LiveweightGain_Data(), Table_SourceData_PastureBeef_LiveweightGain[[#Headers],[State]],0)</f>
        <v>ACT/NSW</v>
      </c>
      <c r="E155" s="20" t="str" cm="1">
        <f t="array" ref="E155">Common_InputFunctions.Utility_DisplayArrayInTable(SourceData_PastureBeef.SourceData_PastureBeef_LiveweightGain_Data(), Table_SourceData_PastureBeef_LiveweightGain[[#Headers],[State]],0)</f>
        <v>n/a</v>
      </c>
      <c r="F155" s="20" t="str" cm="1">
        <f t="array" ref="F155">Common_InputFunctions.Utility_DisplayArrayInTable(SourceData_PastureBeef.SourceData_PastureBeef_LiveweightGain_Data(), Table_SourceData_PastureBeef_LiveweightGain[[#Headers],[State]],0)</f>
        <v>Spring</v>
      </c>
      <c r="G155" s="20" cm="1">
        <f t="array" ref="G155">Common_InputFunctions.Utility_DisplayArrayInTable(SourceData_PastureBeef.SourceData_PastureBeef_LiveweightGain_Data(), Table_SourceData_PastureBeef_LiveweightGain[[#Headers],[State]],0)</f>
        <v>0.5</v>
      </c>
      <c r="H155" s="20" cm="1">
        <f t="array" ref="H155">Common_InputFunctions.Utility_DisplayArrayInTable(SourceData_PastureBeef.SourceData_PastureBeef_LiveweightGain_Data(), Table_SourceData_PastureBeef_LiveweightGain[[#Headers],[State]],0)</f>
        <v>0.2</v>
      </c>
      <c r="I155" s="20" cm="1">
        <f t="array" ref="I155">Common_InputFunctions.Utility_DisplayArrayInTable(SourceData_PastureBeef.SourceData_PastureBeef_LiveweightGain_Data(), Table_SourceData_PastureBeef_LiveweightGain[[#Headers],[State]],0)</f>
        <v>0.5</v>
      </c>
      <c r="J155" s="20" cm="1">
        <f t="array" ref="J155">Common_InputFunctions.Utility_DisplayArrayInTable(SourceData_PastureBeef.SourceData_PastureBeef_LiveweightGain_Data(), Table_SourceData_PastureBeef_LiveweightGain[[#Headers],[State]],0)</f>
        <v>0.4</v>
      </c>
      <c r="K155" s="20" cm="1">
        <f t="array" ref="K155">Common_InputFunctions.Utility_DisplayArrayInTable(SourceData_PastureBeef.SourceData_PastureBeef_LiveweightGain_Data(), Table_SourceData_PastureBeef_LiveweightGain[[#Headers],[State]],0)</f>
        <v>0.3</v>
      </c>
      <c r="L155" s="20" cm="1">
        <f t="array" ref="L155">Common_InputFunctions.Utility_DisplayArrayInTable(SourceData_PastureBeef.SourceData_PastureBeef_LiveweightGain_Data(), Table_SourceData_PastureBeef_LiveweightGain[[#Headers],[State]],0)</f>
        <v>0.5</v>
      </c>
      <c r="M155" s="20" cm="1">
        <f t="array" ref="M155">Common_InputFunctions.Utility_DisplayArrayInTable(SourceData_PastureBeef.SourceData_PastureBeef_LiveweightGain_Data(), Table_SourceData_PastureBeef_LiveweightGain[[#Headers],[State]],0)</f>
        <v>0.4</v>
      </c>
    </row>
    <row r="156" spans="4:16" ht="20" customHeight="1" x14ac:dyDescent="0.25">
      <c r="D156" s="1" t="str" cm="1">
        <f t="array" ref="D156">Common_InputFunctions.Utility_DisplayArrayInTable(SourceData_PastureBeef.SourceData_PastureBeef_LiveweightGain_Data(), Table_SourceData_PastureBeef_LiveweightGain[[#Headers],[State]],0)</f>
        <v>ACT/NSW</v>
      </c>
      <c r="E156" s="20" t="str" cm="1">
        <f t="array" ref="E156">Common_InputFunctions.Utility_DisplayArrayInTable(SourceData_PastureBeef.SourceData_PastureBeef_LiveweightGain_Data(), Table_SourceData_PastureBeef_LiveweightGain[[#Headers],[State]],0)</f>
        <v>n/a</v>
      </c>
      <c r="F156" s="20" t="str" cm="1">
        <f t="array" ref="F156">Common_InputFunctions.Utility_DisplayArrayInTable(SourceData_PastureBeef.SourceData_PastureBeef_LiveweightGain_Data(), Table_SourceData_PastureBeef_LiveweightGain[[#Headers],[State]],0)</f>
        <v>Summer</v>
      </c>
      <c r="G156" s="20" cm="1">
        <f t="array" ref="G156">Common_InputFunctions.Utility_DisplayArrayInTable(SourceData_PastureBeef.SourceData_PastureBeef_LiveweightGain_Data(), Table_SourceData_PastureBeef_LiveweightGain[[#Headers],[State]],0)</f>
        <v>1</v>
      </c>
      <c r="H156" s="20" cm="1">
        <f t="array" ref="H156">Common_InputFunctions.Utility_DisplayArrayInTable(SourceData_PastureBeef.SourceData_PastureBeef_LiveweightGain_Data(), Table_SourceData_PastureBeef_LiveweightGain[[#Headers],[State]],0)</f>
        <v>0.4</v>
      </c>
      <c r="I156" s="20" cm="1">
        <f t="array" ref="I156">Common_InputFunctions.Utility_DisplayArrayInTable(SourceData_PastureBeef.SourceData_PastureBeef_LiveweightGain_Data(), Table_SourceData_PastureBeef_LiveweightGain[[#Headers],[State]],0)</f>
        <v>0.9</v>
      </c>
      <c r="J156" s="20" cm="1">
        <f t="array" ref="J156">Common_InputFunctions.Utility_DisplayArrayInTable(SourceData_PastureBeef.SourceData_PastureBeef_LiveweightGain_Data(), Table_SourceData_PastureBeef_LiveweightGain[[#Headers],[State]],0)</f>
        <v>0.7</v>
      </c>
      <c r="K156" s="20" cm="1">
        <f t="array" ref="K156">Common_InputFunctions.Utility_DisplayArrayInTable(SourceData_PastureBeef.SourceData_PastureBeef_LiveweightGain_Data(), Table_SourceData_PastureBeef_LiveweightGain[[#Headers],[State]],0)</f>
        <v>0.3</v>
      </c>
      <c r="L156" s="20" cm="1">
        <f t="array" ref="L156">Common_InputFunctions.Utility_DisplayArrayInTable(SourceData_PastureBeef.SourceData_PastureBeef_LiveweightGain_Data(), Table_SourceData_PastureBeef_LiveweightGain[[#Headers],[State]],0)</f>
        <v>0.9</v>
      </c>
      <c r="M156" s="20" cm="1">
        <f t="array" ref="M156">Common_InputFunctions.Utility_DisplayArrayInTable(SourceData_PastureBeef.SourceData_PastureBeef_LiveweightGain_Data(), Table_SourceData_PastureBeef_LiveweightGain[[#Headers],[State]],0)</f>
        <v>0.4</v>
      </c>
    </row>
    <row r="157" spans="4:16" ht="20" customHeight="1" x14ac:dyDescent="0.25">
      <c r="D157" s="1" t="str" cm="1">
        <f t="array" ref="D157">Common_InputFunctions.Utility_DisplayArrayInTable(SourceData_PastureBeef.SourceData_PastureBeef_LiveweightGain_Data(), Table_SourceData_PastureBeef_LiveweightGain[[#Headers],[State]],0)</f>
        <v>ACT/NSW</v>
      </c>
      <c r="E157" s="20" t="str" cm="1">
        <f t="array" ref="E157">Common_InputFunctions.Utility_DisplayArrayInTable(SourceData_PastureBeef.SourceData_PastureBeef_LiveweightGain_Data(), Table_SourceData_PastureBeef_LiveweightGain[[#Headers],[State]],0)</f>
        <v>n/a</v>
      </c>
      <c r="F157" s="20" t="str" cm="1">
        <f t="array" ref="F157">Common_InputFunctions.Utility_DisplayArrayInTable(SourceData_PastureBeef.SourceData_PastureBeef_LiveweightGain_Data(), Table_SourceData_PastureBeef_LiveweightGain[[#Headers],[State]],0)</f>
        <v>Autumn</v>
      </c>
      <c r="G157" s="20" cm="1">
        <f t="array" ref="G157">Common_InputFunctions.Utility_DisplayArrayInTable(SourceData_PastureBeef.SourceData_PastureBeef_LiveweightGain_Data(), Table_SourceData_PastureBeef_LiveweightGain[[#Headers],[State]],0)</f>
        <v>0.8</v>
      </c>
      <c r="H157" s="20" cm="1">
        <f t="array" ref="H157">Common_InputFunctions.Utility_DisplayArrayInTable(SourceData_PastureBeef.SourceData_PastureBeef_LiveweightGain_Data(), Table_SourceData_PastureBeef_LiveweightGain[[#Headers],[State]],0)</f>
        <v>0.3</v>
      </c>
      <c r="I157" s="20" cm="1">
        <f t="array" ref="I157">Common_InputFunctions.Utility_DisplayArrayInTable(SourceData_PastureBeef.SourceData_PastureBeef_LiveweightGain_Data(), Table_SourceData_PastureBeef_LiveweightGain[[#Headers],[State]],0)</f>
        <v>0.7</v>
      </c>
      <c r="J157" s="20" cm="1">
        <f t="array" ref="J157">Common_InputFunctions.Utility_DisplayArrayInTable(SourceData_PastureBeef.SourceData_PastureBeef_LiveweightGain_Data(), Table_SourceData_PastureBeef_LiveweightGain[[#Headers],[State]],0)</f>
        <v>0.3</v>
      </c>
      <c r="K157" s="20" cm="1">
        <f t="array" ref="K157">Common_InputFunctions.Utility_DisplayArrayInTable(SourceData_PastureBeef.SourceData_PastureBeef_LiveweightGain_Data(), Table_SourceData_PastureBeef_LiveweightGain[[#Headers],[State]],0)</f>
        <v>0.2</v>
      </c>
      <c r="L157" s="20" cm="1">
        <f t="array" ref="L157">Common_InputFunctions.Utility_DisplayArrayInTable(SourceData_PastureBeef.SourceData_PastureBeef_LiveweightGain_Data(), Table_SourceData_PastureBeef_LiveweightGain[[#Headers],[State]],0)</f>
        <v>0.7</v>
      </c>
      <c r="M157" s="20" cm="1">
        <f t="array" ref="M157">Common_InputFunctions.Utility_DisplayArrayInTable(SourceData_PastureBeef.SourceData_PastureBeef_LiveweightGain_Data(), Table_SourceData_PastureBeef_LiveweightGain[[#Headers],[State]],0)</f>
        <v>0.3</v>
      </c>
    </row>
    <row r="158" spans="4:16" ht="20" customHeight="1" x14ac:dyDescent="0.25">
      <c r="D158" s="1" t="str" cm="1">
        <f t="array" ref="D158">Common_InputFunctions.Utility_DisplayArrayInTable(SourceData_PastureBeef.SourceData_PastureBeef_LiveweightGain_Data(), Table_SourceData_PastureBeef_LiveweightGain[[#Headers],[State]],0)</f>
        <v>ACT/NSW</v>
      </c>
      <c r="E158" s="20" t="str" cm="1">
        <f t="array" ref="E158">Common_InputFunctions.Utility_DisplayArrayInTable(SourceData_PastureBeef.SourceData_PastureBeef_LiveweightGain_Data(), Table_SourceData_PastureBeef_LiveweightGain[[#Headers],[State]],0)</f>
        <v>n/a</v>
      </c>
      <c r="F158" s="20" t="str" cm="1">
        <f t="array" ref="F158">Common_InputFunctions.Utility_DisplayArrayInTable(SourceData_PastureBeef.SourceData_PastureBeef_LiveweightGain_Data(), Table_SourceData_PastureBeef_LiveweightGain[[#Headers],[State]],0)</f>
        <v>Winter</v>
      </c>
      <c r="G158" s="20" cm="1">
        <f t="array" ref="G158">Common_InputFunctions.Utility_DisplayArrayInTable(SourceData_PastureBeef.SourceData_PastureBeef_LiveweightGain_Data(), Table_SourceData_PastureBeef_LiveweightGain[[#Headers],[State]],0)</f>
        <v>0.4</v>
      </c>
      <c r="H158" s="20" cm="1">
        <f t="array" ref="H158">Common_InputFunctions.Utility_DisplayArrayInTable(SourceData_PastureBeef.SourceData_PastureBeef_LiveweightGain_Data(), Table_SourceData_PastureBeef_LiveweightGain[[#Headers],[State]],0)</f>
        <v>0.1</v>
      </c>
      <c r="I158" s="20" cm="1">
        <f t="array" ref="I158">Common_InputFunctions.Utility_DisplayArrayInTable(SourceData_PastureBeef.SourceData_PastureBeef_LiveweightGain_Data(), Table_SourceData_PastureBeef_LiveweightGain[[#Headers],[State]],0)</f>
        <v>0.4</v>
      </c>
      <c r="J158" s="20" cm="1">
        <f t="array" ref="J158">Common_InputFunctions.Utility_DisplayArrayInTable(SourceData_PastureBeef.SourceData_PastureBeef_LiveweightGain_Data(), Table_SourceData_PastureBeef_LiveweightGain[[#Headers],[State]],0)</f>
        <v>0.2</v>
      </c>
      <c r="K158" s="20" cm="1">
        <f t="array" ref="K158">Common_InputFunctions.Utility_DisplayArrayInTable(SourceData_PastureBeef.SourceData_PastureBeef_LiveweightGain_Data(), Table_SourceData_PastureBeef_LiveweightGain[[#Headers],[State]],0)</f>
        <v>0.1</v>
      </c>
      <c r="L158" s="20" cm="1">
        <f t="array" ref="L158">Common_InputFunctions.Utility_DisplayArrayInTable(SourceData_PastureBeef.SourceData_PastureBeef_LiveweightGain_Data(), Table_SourceData_PastureBeef_LiveweightGain[[#Headers],[State]],0)</f>
        <v>0.4</v>
      </c>
      <c r="M158" s="20" cm="1">
        <f t="array" ref="M158">Common_InputFunctions.Utility_DisplayArrayInTable(SourceData_PastureBeef.SourceData_PastureBeef_LiveweightGain_Data(), Table_SourceData_PastureBeef_LiveweightGain[[#Headers],[State]],0)</f>
        <v>0.1</v>
      </c>
    </row>
    <row r="159" spans="4:16" ht="20" customHeight="1" x14ac:dyDescent="0.25">
      <c r="D159" s="1" t="str" cm="1">
        <f t="array" ref="D159">Common_InputFunctions.Utility_DisplayArrayInTable(SourceData_PastureBeef.SourceData_PastureBeef_LiveweightGain_Data(), Table_SourceData_PastureBeef_LiveweightGain[[#Headers],[State]],0)</f>
        <v>South Australia</v>
      </c>
      <c r="E159" s="20" t="str" cm="1">
        <f t="array" ref="E159">Common_InputFunctions.Utility_DisplayArrayInTable(SourceData_PastureBeef.SourceData_PastureBeef_LiveweightGain_Data(), Table_SourceData_PastureBeef_LiveweightGain[[#Headers],[State]],0)</f>
        <v>n/a</v>
      </c>
      <c r="F159" s="20" t="str" cm="1">
        <f t="array" ref="F159">Common_InputFunctions.Utility_DisplayArrayInTable(SourceData_PastureBeef.SourceData_PastureBeef_LiveweightGain_Data(), Table_SourceData_PastureBeef_LiveweightGain[[#Headers],[State]],0)</f>
        <v>Spring</v>
      </c>
      <c r="G159" s="20" cm="1">
        <f t="array" ref="G159">Common_InputFunctions.Utility_DisplayArrayInTable(SourceData_PastureBeef.SourceData_PastureBeef_LiveweightGain_Data(), Table_SourceData_PastureBeef_LiveweightGain[[#Headers],[State]],0)</f>
        <v>0.99</v>
      </c>
      <c r="H159" s="20" cm="1">
        <f t="array" ref="H159">Common_InputFunctions.Utility_DisplayArrayInTable(SourceData_PastureBeef.SourceData_PastureBeef_LiveweightGain_Data(), Table_SourceData_PastureBeef_LiveweightGain[[#Headers],[State]],0)</f>
        <v>1.1000000000000001</v>
      </c>
      <c r="I159" s="20" cm="1">
        <f t="array" ref="I159">Common_InputFunctions.Utility_DisplayArrayInTable(SourceData_PastureBeef.SourceData_PastureBeef_LiveweightGain_Data(), Table_SourceData_PastureBeef_LiveweightGain[[#Headers],[State]],0)</f>
        <v>0.88</v>
      </c>
      <c r="J159" s="20" cm="1">
        <f t="array" ref="J159">Common_InputFunctions.Utility_DisplayArrayInTable(SourceData_PastureBeef.SourceData_PastureBeef_LiveweightGain_Data(), Table_SourceData_PastureBeef_LiveweightGain[[#Headers],[State]],0)</f>
        <v>0.55000000000000004</v>
      </c>
      <c r="K159" s="20" cm="1">
        <f t="array" ref="K159">Common_InputFunctions.Utility_DisplayArrayInTable(SourceData_PastureBeef.SourceData_PastureBeef_LiveweightGain_Data(), Table_SourceData_PastureBeef_LiveweightGain[[#Headers],[State]],0)</f>
        <v>0.55000000000000004</v>
      </c>
      <c r="L159" s="20" cm="1">
        <f t="array" ref="L159">Common_InputFunctions.Utility_DisplayArrayInTable(SourceData_PastureBeef.SourceData_PastureBeef_LiveweightGain_Data(), Table_SourceData_PastureBeef_LiveweightGain[[#Headers],[State]],0)</f>
        <v>0.88</v>
      </c>
      <c r="M159" s="20" cm="1">
        <f t="array" ref="M159">Common_InputFunctions.Utility_DisplayArrayInTable(SourceData_PastureBeef.SourceData_PastureBeef_LiveweightGain_Data(), Table_SourceData_PastureBeef_LiveweightGain[[#Headers],[State]],0)</f>
        <v>0.22</v>
      </c>
    </row>
    <row r="160" spans="4:16" ht="20" customHeight="1" x14ac:dyDescent="0.25">
      <c r="D160" s="1" t="str" cm="1">
        <f t="array" ref="D160">Common_InputFunctions.Utility_DisplayArrayInTable(SourceData_PastureBeef.SourceData_PastureBeef_LiveweightGain_Data(), Table_SourceData_PastureBeef_LiveweightGain[[#Headers],[State]],0)</f>
        <v>South Australia</v>
      </c>
      <c r="E160" s="20" t="str" cm="1">
        <f t="array" ref="E160">Common_InputFunctions.Utility_DisplayArrayInTable(SourceData_PastureBeef.SourceData_PastureBeef_LiveweightGain_Data(), Table_SourceData_PastureBeef_LiveweightGain[[#Headers],[State]],0)</f>
        <v>n/a</v>
      </c>
      <c r="F160" s="20" t="str" cm="1">
        <f t="array" ref="F160">Common_InputFunctions.Utility_DisplayArrayInTable(SourceData_PastureBeef.SourceData_PastureBeef_LiveweightGain_Data(), Table_SourceData_PastureBeef_LiveweightGain[[#Headers],[State]],0)</f>
        <v>Summer</v>
      </c>
      <c r="G160" s="20" cm="1">
        <f t="array" ref="G160">Common_InputFunctions.Utility_DisplayArrayInTable(SourceData_PastureBeef.SourceData_PastureBeef_LiveweightGain_Data(), Table_SourceData_PastureBeef_LiveweightGain[[#Headers],[State]],0)</f>
        <v>0.77</v>
      </c>
      <c r="H160" s="20" cm="1">
        <f t="array" ref="H160">Common_InputFunctions.Utility_DisplayArrayInTable(SourceData_PastureBeef.SourceData_PastureBeef_LiveweightGain_Data(), Table_SourceData_PastureBeef_LiveweightGain[[#Headers],[State]],0)</f>
        <v>0</v>
      </c>
      <c r="I160" s="20" cm="1">
        <f t="array" ref="I160">Common_InputFunctions.Utility_DisplayArrayInTable(SourceData_PastureBeef.SourceData_PastureBeef_LiveweightGain_Data(), Table_SourceData_PastureBeef_LiveweightGain[[#Headers],[State]],0)</f>
        <v>0.66</v>
      </c>
      <c r="J160" s="20" cm="1">
        <f t="array" ref="J160">Common_InputFunctions.Utility_DisplayArrayInTable(SourceData_PastureBeef.SourceData_PastureBeef_LiveweightGain_Data(), Table_SourceData_PastureBeef_LiveweightGain[[#Headers],[State]],0)</f>
        <v>0.22</v>
      </c>
      <c r="K160" s="20" cm="1">
        <f t="array" ref="K160">Common_InputFunctions.Utility_DisplayArrayInTable(SourceData_PastureBeef.SourceData_PastureBeef_LiveweightGain_Data(), Table_SourceData_PastureBeef_LiveweightGain[[#Headers],[State]],0)</f>
        <v>0</v>
      </c>
      <c r="L160" s="20" cm="1">
        <f t="array" ref="L160">Common_InputFunctions.Utility_DisplayArrayInTable(SourceData_PastureBeef.SourceData_PastureBeef_LiveweightGain_Data(), Table_SourceData_PastureBeef_LiveweightGain[[#Headers],[State]],0)</f>
        <v>0.66</v>
      </c>
      <c r="M160" s="20" cm="1">
        <f t="array" ref="M160">Common_InputFunctions.Utility_DisplayArrayInTable(SourceData_PastureBeef.SourceData_PastureBeef_LiveweightGain_Data(), Table_SourceData_PastureBeef_LiveweightGain[[#Headers],[State]],0)</f>
        <v>0</v>
      </c>
    </row>
    <row r="161" spans="4:13" ht="20" customHeight="1" x14ac:dyDescent="0.25">
      <c r="D161" s="1" t="str" cm="1">
        <f t="array" ref="D161">Common_InputFunctions.Utility_DisplayArrayInTable(SourceData_PastureBeef.SourceData_PastureBeef_LiveweightGain_Data(), Table_SourceData_PastureBeef_LiveweightGain[[#Headers],[State]],0)</f>
        <v>South Australia</v>
      </c>
      <c r="E161" s="20" t="str" cm="1">
        <f t="array" ref="E161">Common_InputFunctions.Utility_DisplayArrayInTable(SourceData_PastureBeef.SourceData_PastureBeef_LiveweightGain_Data(), Table_SourceData_PastureBeef_LiveweightGain[[#Headers],[State]],0)</f>
        <v>n/a</v>
      </c>
      <c r="F161" s="20" t="str" cm="1">
        <f t="array" ref="F161">Common_InputFunctions.Utility_DisplayArrayInTable(SourceData_PastureBeef.SourceData_PastureBeef_LiveweightGain_Data(), Table_SourceData_PastureBeef_LiveweightGain[[#Headers],[State]],0)</f>
        <v>Autumn</v>
      </c>
      <c r="G161" s="20" cm="1">
        <f t="array" ref="G161">Common_InputFunctions.Utility_DisplayArrayInTable(SourceData_PastureBeef.SourceData_PastureBeef_LiveweightGain_Data(), Table_SourceData_PastureBeef_LiveweightGain[[#Headers],[State]],0)</f>
        <v>0.9</v>
      </c>
      <c r="H161" s="20" cm="1">
        <f t="array" ref="H161">Common_InputFunctions.Utility_DisplayArrayInTable(SourceData_PastureBeef.SourceData_PastureBeef_LiveweightGain_Data(), Table_SourceData_PastureBeef_LiveweightGain[[#Headers],[State]],0)</f>
        <v>-1.1000000000000001</v>
      </c>
      <c r="I161" s="20" cm="1">
        <f t="array" ref="I161">Common_InputFunctions.Utility_DisplayArrayInTable(SourceData_PastureBeef.SourceData_PastureBeef_LiveweightGain_Data(), Table_SourceData_PastureBeef_LiveweightGain[[#Headers],[State]],0)</f>
        <v>0.7</v>
      </c>
      <c r="J161" s="20" cm="1">
        <f t="array" ref="J161">Common_InputFunctions.Utility_DisplayArrayInTable(SourceData_PastureBeef.SourceData_PastureBeef_LiveweightGain_Data(), Table_SourceData_PastureBeef_LiveweightGain[[#Headers],[State]],0)</f>
        <v>0.22</v>
      </c>
      <c r="K161" s="20" cm="1">
        <f t="array" ref="K161">Common_InputFunctions.Utility_DisplayArrayInTable(SourceData_PastureBeef.SourceData_PastureBeef_LiveweightGain_Data(), Table_SourceData_PastureBeef_LiveweightGain[[#Headers],[State]],0)</f>
        <v>-0.55000000000000004</v>
      </c>
      <c r="L161" s="20" cm="1">
        <f t="array" ref="L161">Common_InputFunctions.Utility_DisplayArrayInTable(SourceData_PastureBeef.SourceData_PastureBeef_LiveweightGain_Data(), Table_SourceData_PastureBeef_LiveweightGain[[#Headers],[State]],0)</f>
        <v>0.8</v>
      </c>
      <c r="M161" s="20" cm="1">
        <f t="array" ref="M161">Common_InputFunctions.Utility_DisplayArrayInTable(SourceData_PastureBeef.SourceData_PastureBeef_LiveweightGain_Data(), Table_SourceData_PastureBeef_LiveweightGain[[#Headers],[State]],0)</f>
        <v>-0.22</v>
      </c>
    </row>
    <row r="162" spans="4:13" ht="20" customHeight="1" x14ac:dyDescent="0.25">
      <c r="D162" s="1" t="str" cm="1">
        <f t="array" ref="D162">Common_InputFunctions.Utility_DisplayArrayInTable(SourceData_PastureBeef.SourceData_PastureBeef_LiveweightGain_Data(), Table_SourceData_PastureBeef_LiveweightGain[[#Headers],[State]],0)</f>
        <v>South Australia</v>
      </c>
      <c r="E162" s="20" t="str" cm="1">
        <f t="array" ref="E162">Common_InputFunctions.Utility_DisplayArrayInTable(SourceData_PastureBeef.SourceData_PastureBeef_LiveweightGain_Data(), Table_SourceData_PastureBeef_LiveweightGain[[#Headers],[State]],0)</f>
        <v>n/a</v>
      </c>
      <c r="F162" s="20" t="str" cm="1">
        <f t="array" ref="F162">Common_InputFunctions.Utility_DisplayArrayInTable(SourceData_PastureBeef.SourceData_PastureBeef_LiveweightGain_Data(), Table_SourceData_PastureBeef_LiveweightGain[[#Headers],[State]],0)</f>
        <v>Winter</v>
      </c>
      <c r="G162" s="20" cm="1">
        <f t="array" ref="G162">Common_InputFunctions.Utility_DisplayArrayInTable(SourceData_PastureBeef.SourceData_PastureBeef_LiveweightGain_Data(), Table_SourceData_PastureBeef_LiveweightGain[[#Headers],[State]],0)</f>
        <v>0.88</v>
      </c>
      <c r="H162" s="20" cm="1">
        <f t="array" ref="H162">Common_InputFunctions.Utility_DisplayArrayInTable(SourceData_PastureBeef.SourceData_PastureBeef_LiveweightGain_Data(), Table_SourceData_PastureBeef_LiveweightGain[[#Headers],[State]],0)</f>
        <v>0</v>
      </c>
      <c r="I162" s="20" cm="1">
        <f t="array" ref="I162">Common_InputFunctions.Utility_DisplayArrayInTable(SourceData_PastureBeef.SourceData_PastureBeef_LiveweightGain_Data(), Table_SourceData_PastureBeef_LiveweightGain[[#Headers],[State]],0)</f>
        <v>0.77</v>
      </c>
      <c r="J162" s="20" cm="1">
        <f t="array" ref="J162">Common_InputFunctions.Utility_DisplayArrayInTable(SourceData_PastureBeef.SourceData_PastureBeef_LiveweightGain_Data(), Table_SourceData_PastureBeef_LiveweightGain[[#Headers],[State]],0)</f>
        <v>0.55000000000000004</v>
      </c>
      <c r="K162" s="20" cm="1">
        <f t="array" ref="K162">Common_InputFunctions.Utility_DisplayArrayInTable(SourceData_PastureBeef.SourceData_PastureBeef_LiveweightGain_Data(), Table_SourceData_PastureBeef_LiveweightGain[[#Headers],[State]],0)</f>
        <v>0</v>
      </c>
      <c r="L162" s="20" cm="1">
        <f t="array" ref="L162">Common_InputFunctions.Utility_DisplayArrayInTable(SourceData_PastureBeef.SourceData_PastureBeef_LiveweightGain_Data(), Table_SourceData_PastureBeef_LiveweightGain[[#Headers],[State]],0)</f>
        <v>0.82</v>
      </c>
      <c r="M162" s="20" cm="1">
        <f t="array" ref="M162">Common_InputFunctions.Utility_DisplayArrayInTable(SourceData_PastureBeef.SourceData_PastureBeef_LiveweightGain_Data(), Table_SourceData_PastureBeef_LiveweightGain[[#Headers],[State]],0)</f>
        <v>0</v>
      </c>
    </row>
    <row r="163" spans="4:13" ht="20" customHeight="1" x14ac:dyDescent="0.25">
      <c r="D163" s="1" t="str" cm="1">
        <f t="array" ref="D163">Common_InputFunctions.Utility_DisplayArrayInTable(SourceData_PastureBeef.SourceData_PastureBeef_LiveweightGain_Data(), Table_SourceData_PastureBeef_LiveweightGain[[#Headers],[State]],0)</f>
        <v>Tasmania</v>
      </c>
      <c r="E163" s="20" t="str" cm="1">
        <f t="array" ref="E163">Common_InputFunctions.Utility_DisplayArrayInTable(SourceData_PastureBeef.SourceData_PastureBeef_LiveweightGain_Data(), Table_SourceData_PastureBeef_LiveweightGain[[#Headers],[State]],0)</f>
        <v>n/a</v>
      </c>
      <c r="F163" s="20" t="str" cm="1">
        <f t="array" ref="F163">Common_InputFunctions.Utility_DisplayArrayInTable(SourceData_PastureBeef.SourceData_PastureBeef_LiveweightGain_Data(), Table_SourceData_PastureBeef_LiveweightGain[[#Headers],[State]],0)</f>
        <v>Spring</v>
      </c>
      <c r="G163" s="20" cm="1">
        <f t="array" ref="G163">Common_InputFunctions.Utility_DisplayArrayInTable(SourceData_PastureBeef.SourceData_PastureBeef_LiveweightGain_Data(), Table_SourceData_PastureBeef_LiveweightGain[[#Headers],[State]],0)</f>
        <v>1</v>
      </c>
      <c r="H163" s="20" cm="1">
        <f t="array" ref="H163">Common_InputFunctions.Utility_DisplayArrayInTable(SourceData_PastureBeef.SourceData_PastureBeef_LiveweightGain_Data(), Table_SourceData_PastureBeef_LiveweightGain[[#Headers],[State]],0)</f>
        <v>0.5</v>
      </c>
      <c r="I163" s="20" cm="1">
        <f t="array" ref="I163">Common_InputFunctions.Utility_DisplayArrayInTable(SourceData_PastureBeef.SourceData_PastureBeef_LiveweightGain_Data(), Table_SourceData_PastureBeef_LiveweightGain[[#Headers],[State]],0)</f>
        <v>1</v>
      </c>
      <c r="J163" s="20" cm="1">
        <f t="array" ref="J163">Common_InputFunctions.Utility_DisplayArrayInTable(SourceData_PastureBeef.SourceData_PastureBeef_LiveweightGain_Data(), Table_SourceData_PastureBeef_LiveweightGain[[#Headers],[State]],0)</f>
        <v>1</v>
      </c>
      <c r="K163" s="20" cm="1">
        <f t="array" ref="K163">Common_InputFunctions.Utility_DisplayArrayInTable(SourceData_PastureBeef.SourceData_PastureBeef_LiveweightGain_Data(), Table_SourceData_PastureBeef_LiveweightGain[[#Headers],[State]],0)</f>
        <v>-0.44</v>
      </c>
      <c r="L163" s="20" cm="1">
        <f t="array" ref="L163">Common_InputFunctions.Utility_DisplayArrayInTable(SourceData_PastureBeef.SourceData_PastureBeef_LiveweightGain_Data(), Table_SourceData_PastureBeef_LiveweightGain[[#Headers],[State]],0)</f>
        <v>1</v>
      </c>
      <c r="M163" s="20" cm="1">
        <f t="array" ref="M163">Common_InputFunctions.Utility_DisplayArrayInTable(SourceData_PastureBeef.SourceData_PastureBeef_LiveweightGain_Data(), Table_SourceData_PastureBeef_LiveweightGain[[#Headers],[State]],0)</f>
        <v>0.5</v>
      </c>
    </row>
    <row r="164" spans="4:13" ht="20" customHeight="1" x14ac:dyDescent="0.25">
      <c r="D164" s="1" t="str" cm="1">
        <f t="array" ref="D164">Common_InputFunctions.Utility_DisplayArrayInTable(SourceData_PastureBeef.SourceData_PastureBeef_LiveweightGain_Data(), Table_SourceData_PastureBeef_LiveweightGain[[#Headers],[State]],0)</f>
        <v>Tasmania</v>
      </c>
      <c r="E164" s="20" t="str" cm="1">
        <f t="array" ref="E164">Common_InputFunctions.Utility_DisplayArrayInTable(SourceData_PastureBeef.SourceData_PastureBeef_LiveweightGain_Data(), Table_SourceData_PastureBeef_LiveweightGain[[#Headers],[State]],0)</f>
        <v>n/a</v>
      </c>
      <c r="F164" s="20" t="str" cm="1">
        <f t="array" ref="F164">Common_InputFunctions.Utility_DisplayArrayInTable(SourceData_PastureBeef.SourceData_PastureBeef_LiveweightGain_Data(), Table_SourceData_PastureBeef_LiveweightGain[[#Headers],[State]],0)</f>
        <v>Summer</v>
      </c>
      <c r="G164" s="20" cm="1">
        <f t="array" ref="G164">Common_InputFunctions.Utility_DisplayArrayInTable(SourceData_PastureBeef.SourceData_PastureBeef_LiveweightGain_Data(), Table_SourceData_PastureBeef_LiveweightGain[[#Headers],[State]],0)</f>
        <v>0.82</v>
      </c>
      <c r="H164" s="20" cm="1">
        <f t="array" ref="H164">Common_InputFunctions.Utility_DisplayArrayInTable(SourceData_PastureBeef.SourceData_PastureBeef_LiveweightGain_Data(), Table_SourceData_PastureBeef_LiveweightGain[[#Headers],[State]],0)</f>
        <v>0.55000000000000004</v>
      </c>
      <c r="I164" s="20" cm="1">
        <f t="array" ref="I164">Common_InputFunctions.Utility_DisplayArrayInTable(SourceData_PastureBeef.SourceData_PastureBeef_LiveweightGain_Data(), Table_SourceData_PastureBeef_LiveweightGain[[#Headers],[State]],0)</f>
        <v>0.71</v>
      </c>
      <c r="J164" s="20" cm="1">
        <f t="array" ref="J164">Common_InputFunctions.Utility_DisplayArrayInTable(SourceData_PastureBeef.SourceData_PastureBeef_LiveweightGain_Data(), Table_SourceData_PastureBeef_LiveweightGain[[#Headers],[State]],0)</f>
        <v>0.55000000000000004</v>
      </c>
      <c r="K164" s="20" cm="1">
        <f t="array" ref="K164">Common_InputFunctions.Utility_DisplayArrayInTable(SourceData_PastureBeef.SourceData_PastureBeef_LiveweightGain_Data(), Table_SourceData_PastureBeef_LiveweightGain[[#Headers],[State]],0)</f>
        <v>0.99</v>
      </c>
      <c r="L164" s="20" cm="1">
        <f t="array" ref="L164">Common_InputFunctions.Utility_DisplayArrayInTable(SourceData_PastureBeef.SourceData_PastureBeef_LiveweightGain_Data(), Table_SourceData_PastureBeef_LiveweightGain[[#Headers],[State]],0)</f>
        <v>0.77</v>
      </c>
      <c r="M164" s="20" cm="1">
        <f t="array" ref="M164">Common_InputFunctions.Utility_DisplayArrayInTable(SourceData_PastureBeef.SourceData_PastureBeef_LiveweightGain_Data(), Table_SourceData_PastureBeef_LiveweightGain[[#Headers],[State]],0)</f>
        <v>0.5</v>
      </c>
    </row>
    <row r="165" spans="4:13" ht="20" customHeight="1" x14ac:dyDescent="0.25">
      <c r="D165" s="1" t="str" cm="1">
        <f t="array" ref="D165">Common_InputFunctions.Utility_DisplayArrayInTable(SourceData_PastureBeef.SourceData_PastureBeef_LiveweightGain_Data(), Table_SourceData_PastureBeef_LiveweightGain[[#Headers],[State]],0)</f>
        <v>Tasmania</v>
      </c>
      <c r="E165" s="20" t="str" cm="1">
        <f t="array" ref="E165">Common_InputFunctions.Utility_DisplayArrayInTable(SourceData_PastureBeef.SourceData_PastureBeef_LiveweightGain_Data(), Table_SourceData_PastureBeef_LiveweightGain[[#Headers],[State]],0)</f>
        <v>n/a</v>
      </c>
      <c r="F165" s="20" t="str" cm="1">
        <f t="array" ref="F165">Common_InputFunctions.Utility_DisplayArrayInTable(SourceData_PastureBeef.SourceData_PastureBeef_LiveweightGain_Data(), Table_SourceData_PastureBeef_LiveweightGain[[#Headers],[State]],0)</f>
        <v>Autumn</v>
      </c>
      <c r="G165" s="20" cm="1">
        <f t="array" ref="G165">Common_InputFunctions.Utility_DisplayArrayInTable(SourceData_PastureBeef.SourceData_PastureBeef_LiveweightGain_Data(), Table_SourceData_PastureBeef_LiveweightGain[[#Headers],[State]],0)</f>
        <v>0.77</v>
      </c>
      <c r="H165" s="20" cm="1">
        <f t="array" ref="H165">Common_InputFunctions.Utility_DisplayArrayInTable(SourceData_PastureBeef.SourceData_PastureBeef_LiveweightGain_Data(), Table_SourceData_PastureBeef_LiveweightGain[[#Headers],[State]],0)</f>
        <v>0.5</v>
      </c>
      <c r="I165" s="20" cm="1">
        <f t="array" ref="I165">Common_InputFunctions.Utility_DisplayArrayInTable(SourceData_PastureBeef.SourceData_PastureBeef_LiveweightGain_Data(), Table_SourceData_PastureBeef_LiveweightGain[[#Headers],[State]],0)</f>
        <v>0.55000000000000004</v>
      </c>
      <c r="J165" s="20" cm="1">
        <f t="array" ref="J165">Common_InputFunctions.Utility_DisplayArrayInTable(SourceData_PastureBeef.SourceData_PastureBeef_LiveweightGain_Data(), Table_SourceData_PastureBeef_LiveweightGain[[#Headers],[State]],0)</f>
        <v>0.11</v>
      </c>
      <c r="K165" s="20" cm="1">
        <f t="array" ref="K165">Common_InputFunctions.Utility_DisplayArrayInTable(SourceData_PastureBeef.SourceData_PastureBeef_LiveweightGain_Data(), Table_SourceData_PastureBeef_LiveweightGain[[#Headers],[State]],0)</f>
        <v>-0.33</v>
      </c>
      <c r="L165" s="20" cm="1">
        <f t="array" ref="L165">Common_InputFunctions.Utility_DisplayArrayInTable(SourceData_PastureBeef.SourceData_PastureBeef_LiveweightGain_Data(), Table_SourceData_PastureBeef_LiveweightGain[[#Headers],[State]],0)</f>
        <v>0.6</v>
      </c>
      <c r="M165" s="20" cm="1">
        <f t="array" ref="M165">Common_InputFunctions.Utility_DisplayArrayInTable(SourceData_PastureBeef.SourceData_PastureBeef_LiveweightGain_Data(), Table_SourceData_PastureBeef_LiveweightGain[[#Headers],[State]],0)</f>
        <v>0.33</v>
      </c>
    </row>
    <row r="166" spans="4:13" x14ac:dyDescent="0.25" ht="20" customHeight="1">
      <c r="D166" s="1" t="str" cm="1">
        <f t="array" ref="D166">Common_InputFunctions.Utility_DisplayArrayInTable(SourceData_PastureBeef.SourceData_PastureBeef_LiveweightGain_Data(), Table_SourceData_PastureBeef_LiveweightGain[[#Headers],[State]],0)</f>
        <v>Tasmania</v>
      </c>
      <c r="E166" s="20" t="str" cm="1">
        <f t="array" ref="E166">Common_InputFunctions.Utility_DisplayArrayInTable(SourceData_PastureBeef.SourceData_PastureBeef_LiveweightGain_Data(), Table_SourceData_PastureBeef_LiveweightGain[[#Headers],[State]],0)</f>
        <v>n/a</v>
      </c>
      <c r="F166" s="20" t="str" cm="1">
        <f t="array" ref="F166">Common_InputFunctions.Utility_DisplayArrayInTable(SourceData_PastureBeef.SourceData_PastureBeef_LiveweightGain_Data(), Table_SourceData_PastureBeef_LiveweightGain[[#Headers],[State]],0)</f>
        <v>Winter</v>
      </c>
      <c r="G166" s="20" cm="1">
        <f t="array" ref="G166">Common_InputFunctions.Utility_DisplayArrayInTable(SourceData_PastureBeef.SourceData_PastureBeef_LiveweightGain_Data(), Table_SourceData_PastureBeef_LiveweightGain[[#Headers],[State]],0)</f>
        <v>0.11</v>
      </c>
      <c r="H166" s="20" cm="1">
        <f t="array" ref="H166">Common_InputFunctions.Utility_DisplayArrayInTable(SourceData_PastureBeef.SourceData_PastureBeef_LiveweightGain_Data(), Table_SourceData_PastureBeef_LiveweightGain[[#Headers],[State]],0)</f>
        <v>-0.27</v>
      </c>
      <c r="I166" s="20" cm="1">
        <f t="array" ref="I166">Common_InputFunctions.Utility_DisplayArrayInTable(SourceData_PastureBeef.SourceData_PastureBeef_LiveweightGain_Data(), Table_SourceData_PastureBeef_LiveweightGain[[#Headers],[State]],0)</f>
        <v>0.11</v>
      </c>
      <c r="J166" s="20" cm="1">
        <f t="array" ref="J166">Common_InputFunctions.Utility_DisplayArrayInTable(SourceData_PastureBeef.SourceData_PastureBeef_LiveweightGain_Data(), Table_SourceData_PastureBeef_LiveweightGain[[#Headers],[State]],0)</f>
        <v>0.22</v>
      </c>
      <c r="K166" s="20" cm="1">
        <f t="array" ref="K166">Common_InputFunctions.Utility_DisplayArrayInTable(SourceData_PastureBeef.SourceData_PastureBeef_LiveweightGain_Data(), Table_SourceData_PastureBeef_LiveweightGain[[#Headers],[State]],0)</f>
        <v>-0.44</v>
      </c>
      <c r="L166" s="20" cm="1">
        <f t="array" ref="L166">Common_InputFunctions.Utility_DisplayArrayInTable(SourceData_PastureBeef.SourceData_PastureBeef_LiveweightGain_Data(), Table_SourceData_PastureBeef_LiveweightGain[[#Headers],[State]],0)</f>
        <v>0.16</v>
      </c>
      <c r="M166" s="20" cm="1">
        <f t="array" ref="M166">Common_InputFunctions.Utility_DisplayArrayInTable(SourceData_PastureBeef.SourceData_PastureBeef_LiveweightGain_Data(), Table_SourceData_PastureBeef_LiveweightGain[[#Headers],[State]],0)</f>
        <v>-0.22</v>
      </c>
    </row>
    <row r="167" spans="4:13" x14ac:dyDescent="0.25" ht="20" customHeight="1">
      <c r="D167" s="1" t="str" cm="1">
        <f t="array" ref="D167">Common_InputFunctions.Utility_DisplayArrayInTable(SourceData_PastureBeef.SourceData_PastureBeef_LiveweightGain_Data(), Table_SourceData_PastureBeef_LiveweightGain[[#Headers],[State]],0)</f>
        <v>Victoria</v>
      </c>
      <c r="E167" s="20" t="str" cm="1">
        <f t="array" ref="E167">Common_InputFunctions.Utility_DisplayArrayInTable(SourceData_PastureBeef.SourceData_PastureBeef_LiveweightGain_Data(), Table_SourceData_PastureBeef_LiveweightGain[[#Headers],[State]],0)</f>
        <v>n/a</v>
      </c>
      <c r="F167" s="20" t="str" cm="1">
        <f t="array" ref="F167">Common_InputFunctions.Utility_DisplayArrayInTable(SourceData_PastureBeef.SourceData_PastureBeef_LiveweightGain_Data(), Table_SourceData_PastureBeef_LiveweightGain[[#Headers],[State]],0)</f>
        <v>Spring</v>
      </c>
      <c r="G167" s="20" cm="1">
        <f t="array" ref="G167">Common_InputFunctions.Utility_DisplayArrayInTable(SourceData_PastureBeef.SourceData_PastureBeef_LiveweightGain_Data(), Table_SourceData_PastureBeef_LiveweightGain[[#Headers],[State]],0)</f>
        <v>1.1000000000000001</v>
      </c>
      <c r="H167" s="20" cm="1">
        <f t="array" ref="H167">Common_InputFunctions.Utility_DisplayArrayInTable(SourceData_PastureBeef.SourceData_PastureBeef_LiveweightGain_Data(), Table_SourceData_PastureBeef_LiveweightGain[[#Headers],[State]],0)</f>
        <v>1.1000000000000001</v>
      </c>
      <c r="I167" s="20" cm="1">
        <f t="array" ref="I167">Common_InputFunctions.Utility_DisplayArrayInTable(SourceData_PastureBeef.SourceData_PastureBeef_LiveweightGain_Data(), Table_SourceData_PastureBeef_LiveweightGain[[#Headers],[State]],0)</f>
        <v>1.1000000000000001</v>
      </c>
      <c r="J167" s="20" cm="1">
        <f t="array" ref="J167">Common_InputFunctions.Utility_DisplayArrayInTable(SourceData_PastureBeef.SourceData_PastureBeef_LiveweightGain_Data(), Table_SourceData_PastureBeef_LiveweightGain[[#Headers],[State]],0)</f>
        <v>0.99</v>
      </c>
      <c r="K167" s="20" cm="1">
        <f t="array" ref="K167">Common_InputFunctions.Utility_DisplayArrayInTable(SourceData_PastureBeef.SourceData_PastureBeef_LiveweightGain_Data(), Table_SourceData_PastureBeef_LiveweightGain[[#Headers],[State]],0)</f>
        <v>0.99</v>
      </c>
      <c r="L167" s="20" cm="1">
        <f t="array" ref="L167">Common_InputFunctions.Utility_DisplayArrayInTable(SourceData_PastureBeef.SourceData_PastureBeef_LiveweightGain_Data(), Table_SourceData_PastureBeef_LiveweightGain[[#Headers],[State]],0)</f>
        <v>1.1000000000000001</v>
      </c>
      <c r="M167" s="20" cm="1">
        <f t="array" ref="M167">Common_InputFunctions.Utility_DisplayArrayInTable(SourceData_PastureBeef.SourceData_PastureBeef_LiveweightGain_Data(), Table_SourceData_PastureBeef_LiveweightGain[[#Headers],[State]],0)</f>
        <v>0.77</v>
      </c>
    </row>
    <row r="168" spans="4:13" x14ac:dyDescent="0.25" ht="20" customHeight="1">
      <c r="D168" s="1" t="str" cm="1">
        <f t="array" ref="D168">Common_InputFunctions.Utility_DisplayArrayInTable(SourceData_PastureBeef.SourceData_PastureBeef_LiveweightGain_Data(), Table_SourceData_PastureBeef_LiveweightGain[[#Headers],[State]],0)</f>
        <v>Victoria</v>
      </c>
      <c r="E168" s="20" t="str" cm="1">
        <f t="array" ref="E168">Common_InputFunctions.Utility_DisplayArrayInTable(SourceData_PastureBeef.SourceData_PastureBeef_LiveweightGain_Data(), Table_SourceData_PastureBeef_LiveweightGain[[#Headers],[State]],0)</f>
        <v>n/a</v>
      </c>
      <c r="F168" s="20" t="str" cm="1">
        <f t="array" ref="F168">Common_InputFunctions.Utility_DisplayArrayInTable(SourceData_PastureBeef.SourceData_PastureBeef_LiveweightGain_Data(), Table_SourceData_PastureBeef_LiveweightGain[[#Headers],[State]],0)</f>
        <v>Summer</v>
      </c>
      <c r="G168" s="20" cm="1">
        <f t="array" ref="G168">Common_InputFunctions.Utility_DisplayArrayInTable(SourceData_PastureBeef.SourceData_PastureBeef_LiveweightGain_Data(), Table_SourceData_PastureBeef_LiveweightGain[[#Headers],[State]],0)</f>
        <v>0.33</v>
      </c>
      <c r="H168" s="20" cm="1">
        <f t="array" ref="H168">Common_InputFunctions.Utility_DisplayArrayInTable(SourceData_PastureBeef.SourceData_PastureBeef_LiveweightGain_Data(), Table_SourceData_PastureBeef_LiveweightGain[[#Headers],[State]],0)</f>
        <v>0.33</v>
      </c>
      <c r="I168" s="20" cm="1">
        <f t="array" ref="I168">Common_InputFunctions.Utility_DisplayArrayInTable(SourceData_PastureBeef.SourceData_PastureBeef_LiveweightGain_Data(), Table_SourceData_PastureBeef_LiveweightGain[[#Headers],[State]],0)</f>
        <v>0.22</v>
      </c>
      <c r="J168" s="20" cm="1">
        <f t="array" ref="J168">Common_InputFunctions.Utility_DisplayArrayInTable(SourceData_PastureBeef.SourceData_PastureBeef_LiveweightGain_Data(), Table_SourceData_PastureBeef_LiveweightGain[[#Headers],[State]],0)</f>
        <v>0.33</v>
      </c>
      <c r="K168" s="20" cm="1">
        <f t="array" ref="K168">Common_InputFunctions.Utility_DisplayArrayInTable(SourceData_PastureBeef.SourceData_PastureBeef_LiveweightGain_Data(), Table_SourceData_PastureBeef_LiveweightGain[[#Headers],[State]],0)</f>
        <v>-0.1</v>
      </c>
      <c r="L168" s="20" cm="1">
        <f t="array" ref="L168">Common_InputFunctions.Utility_DisplayArrayInTable(SourceData_PastureBeef.SourceData_PastureBeef_LiveweightGain_Data(), Table_SourceData_PastureBeef_LiveweightGain[[#Headers],[State]],0)</f>
        <v>0.33</v>
      </c>
      <c r="M168" s="20" cm="1">
        <f t="array" ref="M168">Common_InputFunctions.Utility_DisplayArrayInTable(SourceData_PastureBeef.SourceData_PastureBeef_LiveweightGain_Data(), Table_SourceData_PastureBeef_LiveweightGain[[#Headers],[State]],0)</f>
        <v>0.11</v>
      </c>
    </row>
    <row r="169" spans="4:13" x14ac:dyDescent="0.25" ht="20" customHeight="1">
      <c r="D169" s="1" t="str" cm="1">
        <f t="array" ref="D169">Common_InputFunctions.Utility_DisplayArrayInTable(SourceData_PastureBeef.SourceData_PastureBeef_LiveweightGain_Data(), Table_SourceData_PastureBeef_LiveweightGain[[#Headers],[State]],0)</f>
        <v>Victoria</v>
      </c>
      <c r="E169" s="20" t="str" cm="1">
        <f t="array" ref="E169">Common_InputFunctions.Utility_DisplayArrayInTable(SourceData_PastureBeef.SourceData_PastureBeef_LiveweightGain_Data(), Table_SourceData_PastureBeef_LiveweightGain[[#Headers],[State]],0)</f>
        <v>n/a</v>
      </c>
      <c r="F169" s="20" t="str" cm="1">
        <f t="array" ref="F169">Common_InputFunctions.Utility_DisplayArrayInTable(SourceData_PastureBeef.SourceData_PastureBeef_LiveweightGain_Data(), Table_SourceData_PastureBeef_LiveweightGain[[#Headers],[State]],0)</f>
        <v>Autumn</v>
      </c>
      <c r="G169" s="20" cm="1">
        <f t="array" ref="G169">Common_InputFunctions.Utility_DisplayArrayInTable(SourceData_PastureBeef.SourceData_PastureBeef_LiveweightGain_Data(), Table_SourceData_PastureBeef_LiveweightGain[[#Headers],[State]],0)</f>
        <v>0.5</v>
      </c>
      <c r="H169" s="20" cm="1">
        <f t="array" ref="H169">Common_InputFunctions.Utility_DisplayArrayInTable(SourceData_PastureBeef.SourceData_PastureBeef_LiveweightGain_Data(), Table_SourceData_PastureBeef_LiveweightGain[[#Headers],[State]],0)</f>
        <v>0.2</v>
      </c>
      <c r="I169" s="20" cm="1">
        <f t="array" ref="I169">Common_InputFunctions.Utility_DisplayArrayInTable(SourceData_PastureBeef.SourceData_PastureBeef_LiveweightGain_Data(), Table_SourceData_PastureBeef_LiveweightGain[[#Headers],[State]],0)</f>
        <v>0.55000000000000004</v>
      </c>
      <c r="J169" s="20" cm="1">
        <f t="array" ref="J169">Common_InputFunctions.Utility_DisplayArrayInTable(SourceData_PastureBeef.SourceData_PastureBeef_LiveweightGain_Data(), Table_SourceData_PastureBeef_LiveweightGain[[#Headers],[State]],0)</f>
        <v>0.44</v>
      </c>
      <c r="K169" s="20" cm="1">
        <f t="array" ref="K169">Common_InputFunctions.Utility_DisplayArrayInTable(SourceData_PastureBeef.SourceData_PastureBeef_LiveweightGain_Data(), Table_SourceData_PastureBeef_LiveweightGain[[#Headers],[State]],0)</f>
        <v>0.2</v>
      </c>
      <c r="L169" s="20" cm="1">
        <f t="array" ref="L169">Common_InputFunctions.Utility_DisplayArrayInTable(SourceData_PastureBeef.SourceData_PastureBeef_LiveweightGain_Data(), Table_SourceData_PastureBeef_LiveweightGain[[#Headers],[State]],0)</f>
        <v>0.55000000000000004</v>
      </c>
      <c r="M169" s="20" cm="1">
        <f t="array" ref="M169">Common_InputFunctions.Utility_DisplayArrayInTable(SourceData_PastureBeef.SourceData_PastureBeef_LiveweightGain_Data(), Table_SourceData_PastureBeef_LiveweightGain[[#Headers],[State]],0)</f>
        <v>0.2</v>
      </c>
    </row>
    <row r="170" spans="4:13" x14ac:dyDescent="0.25" ht="20" customHeight="1">
      <c r="D170" s="1" t="str" cm="1">
        <f t="array" ref="D170">Common_InputFunctions.Utility_DisplayArrayInTable(SourceData_PastureBeef.SourceData_PastureBeef_LiveweightGain_Data(), Table_SourceData_PastureBeef_LiveweightGain[[#Headers],[State]],0)</f>
        <v>Victoria</v>
      </c>
      <c r="E170" s="20" t="str" cm="1">
        <f t="array" ref="E170">Common_InputFunctions.Utility_DisplayArrayInTable(SourceData_PastureBeef.SourceData_PastureBeef_LiveweightGain_Data(), Table_SourceData_PastureBeef_LiveweightGain[[#Headers],[State]],0)</f>
        <v>n/a</v>
      </c>
      <c r="F170" s="20" t="str" cm="1">
        <f t="array" ref="F170">Common_InputFunctions.Utility_DisplayArrayInTable(SourceData_PastureBeef.SourceData_PastureBeef_LiveweightGain_Data(), Table_SourceData_PastureBeef_LiveweightGain[[#Headers],[State]],0)</f>
        <v>Winter</v>
      </c>
      <c r="G170" s="20" cm="1">
        <f t="array" ref="G170">Common_InputFunctions.Utility_DisplayArrayInTable(SourceData_PastureBeef.SourceData_PastureBeef_LiveweightGain_Data(), Table_SourceData_PastureBeef_LiveweightGain[[#Headers],[State]],0)</f>
        <v>0.55000000000000004</v>
      </c>
      <c r="H170" s="20" cm="1">
        <f t="array" ref="H170">Common_InputFunctions.Utility_DisplayArrayInTable(SourceData_PastureBeef.SourceData_PastureBeef_LiveweightGain_Data(), Table_SourceData_PastureBeef_LiveweightGain[[#Headers],[State]],0)</f>
        <v>0.22</v>
      </c>
      <c r="I170" s="20" cm="1">
        <f t="array" ref="I170">Common_InputFunctions.Utility_DisplayArrayInTable(SourceData_PastureBeef.SourceData_PastureBeef_LiveweightGain_Data(), Table_SourceData_PastureBeef_LiveweightGain[[#Headers],[State]],0)</f>
        <v>0.49</v>
      </c>
      <c r="J170" s="20" cm="1">
        <f t="array" ref="J170">Common_InputFunctions.Utility_DisplayArrayInTable(SourceData_PastureBeef.SourceData_PastureBeef_LiveweightGain_Data(), Table_SourceData_PastureBeef_LiveweightGain[[#Headers],[State]],0)</f>
        <v>0.22</v>
      </c>
      <c r="K170" s="20" cm="1">
        <f t="array" ref="K170">Common_InputFunctions.Utility_DisplayArrayInTable(SourceData_PastureBeef.SourceData_PastureBeef_LiveweightGain_Data(), Table_SourceData_PastureBeef_LiveweightGain[[#Headers],[State]],0)</f>
        <v>0.22</v>
      </c>
      <c r="L170" s="20" cm="1">
        <f t="array" ref="L170">Common_InputFunctions.Utility_DisplayArrayInTable(SourceData_PastureBeef.SourceData_PastureBeef_LiveweightGain_Data(), Table_SourceData_PastureBeef_LiveweightGain[[#Headers],[State]],0)</f>
        <v>0.49</v>
      </c>
      <c r="M170" s="20" cm="1">
        <f t="array" ref="M170">Common_InputFunctions.Utility_DisplayArrayInTable(SourceData_PastureBeef.SourceData_PastureBeef_LiveweightGain_Data(), Table_SourceData_PastureBeef_LiveweightGain[[#Headers],[State]],0)</f>
        <v>0.33</v>
      </c>
    </row>
    <row r="171" spans="4:13" x14ac:dyDescent="0.25" ht="20" customHeight="1">
      <c r="D171" s="1" t="str" cm="1">
        <f t="array" ref="D171">Common_InputFunctions.Utility_DisplayArrayInTable(SourceData_PastureBeef.SourceData_PastureBeef_LiveweightGain_Data(), Table_SourceData_PastureBeef_LiveweightGain[[#Headers],[State]],0)</f>
        <v>Western Australia</v>
      </c>
      <c r="E171" s="20" t="str" cm="1">
        <f t="array" ref="E171">Common_InputFunctions.Utility_DisplayArrayInTable(SourceData_PastureBeef.SourceData_PastureBeef_LiveweightGain_Data(), Table_SourceData_PastureBeef_LiveweightGain[[#Headers],[State]],0)</f>
        <v>South West</v>
      </c>
      <c r="F171" s="20" t="str" cm="1">
        <f t="array" ref="F171">Common_InputFunctions.Utility_DisplayArrayInTable(SourceData_PastureBeef.SourceData_PastureBeef_LiveweightGain_Data(), Table_SourceData_PastureBeef_LiveweightGain[[#Headers],[State]],0)</f>
        <v>Spring</v>
      </c>
      <c r="G171" s="20" cm="1">
        <f t="array" ref="G171">Common_InputFunctions.Utility_DisplayArrayInTable(SourceData_PastureBeef.SourceData_PastureBeef_LiveweightGain_Data(), Table_SourceData_PastureBeef_LiveweightGain[[#Headers],[State]],0)</f>
        <v>1.64</v>
      </c>
      <c r="H171" s="20" cm="1">
        <f t="array" ref="H171">Common_InputFunctions.Utility_DisplayArrayInTable(SourceData_PastureBeef.SourceData_PastureBeef_LiveweightGain_Data(), Table_SourceData_PastureBeef_LiveweightGain[[#Headers],[State]],0)</f>
        <v>1.1000000000000001</v>
      </c>
      <c r="I171" s="20" cm="1">
        <f t="array" ref="I171">Common_InputFunctions.Utility_DisplayArrayInTable(SourceData_PastureBeef.SourceData_PastureBeef_LiveweightGain_Data(), Table_SourceData_PastureBeef_LiveweightGain[[#Headers],[State]],0)</f>
        <v>1.21</v>
      </c>
      <c r="J171" s="20" cm="1">
        <f t="array" ref="J171">Common_InputFunctions.Utility_DisplayArrayInTable(SourceData_PastureBeef.SourceData_PastureBeef_LiveweightGain_Data(), Table_SourceData_PastureBeef_LiveweightGain[[#Headers],[State]],0)</f>
        <v>0.99</v>
      </c>
      <c r="K171" s="20" cm="1">
        <f t="array" ref="K171">Common_InputFunctions.Utility_DisplayArrayInTable(SourceData_PastureBeef.SourceData_PastureBeef_LiveweightGain_Data(), Table_SourceData_PastureBeef_LiveweightGain[[#Headers],[State]],0)</f>
        <v>0.66</v>
      </c>
      <c r="L171" s="20" cm="1">
        <f t="array" ref="L171">Common_InputFunctions.Utility_DisplayArrayInTable(SourceData_PastureBeef.SourceData_PastureBeef_LiveweightGain_Data(), Table_SourceData_PastureBeef_LiveweightGain[[#Headers],[State]],0)</f>
        <v>1.42</v>
      </c>
      <c r="M171" s="20" cm="1">
        <f t="array" ref="M171">Common_InputFunctions.Utility_DisplayArrayInTable(SourceData_PastureBeef.SourceData_PastureBeef_LiveweightGain_Data(), Table_SourceData_PastureBeef_LiveweightGain[[#Headers],[State]],0)</f>
        <v>1.1000000000000001</v>
      </c>
    </row>
    <row r="172" spans="4:13" x14ac:dyDescent="0.25" ht="20" customHeight="1">
      <c r="D172" s="1" t="str" cm="1">
        <f t="array" ref="D172">Common_InputFunctions.Utility_DisplayArrayInTable(SourceData_PastureBeef.SourceData_PastureBeef_LiveweightGain_Data(), Table_SourceData_PastureBeef_LiveweightGain[[#Headers],[State]],0)</f>
        <v>Western Australia</v>
      </c>
      <c r="E172" s="20" t="str" cm="1">
        <f t="array" ref="E172">Common_InputFunctions.Utility_DisplayArrayInTable(SourceData_PastureBeef.SourceData_PastureBeef_LiveweightGain_Data(), Table_SourceData_PastureBeef_LiveweightGain[[#Headers],[State]],0)</f>
        <v>South West</v>
      </c>
      <c r="F172" s="20" t="str" cm="1">
        <f t="array" ref="F172">Common_InputFunctions.Utility_DisplayArrayInTable(SourceData_PastureBeef.SourceData_PastureBeef_LiveweightGain_Data(), Table_SourceData_PastureBeef_LiveweightGain[[#Headers],[State]],0)</f>
        <v>Summer</v>
      </c>
      <c r="G172" s="20" cm="1">
        <f t="array" ref="G172">Common_InputFunctions.Utility_DisplayArrayInTable(SourceData_PastureBeef.SourceData_PastureBeef_LiveweightGain_Data(), Table_SourceData_PastureBeef_LiveweightGain[[#Headers],[State]],0)</f>
        <v>0.44</v>
      </c>
      <c r="H172" s="20" cm="1">
        <f t="array" ref="H172">Common_InputFunctions.Utility_DisplayArrayInTable(SourceData_PastureBeef.SourceData_PastureBeef_LiveweightGain_Data(), Table_SourceData_PastureBeef_LiveweightGain[[#Headers],[State]],0)</f>
        <v>-0.22</v>
      </c>
      <c r="I172" s="20" cm="1">
        <f t="array" ref="I172">Common_InputFunctions.Utility_DisplayArrayInTable(SourceData_PastureBeef.SourceData_PastureBeef_LiveweightGain_Data(), Table_SourceData_PastureBeef_LiveweightGain[[#Headers],[State]],0)</f>
        <v>0.44</v>
      </c>
      <c r="J172" s="20" cm="1">
        <f t="array" ref="J172">Common_InputFunctions.Utility_DisplayArrayInTable(SourceData_PastureBeef.SourceData_PastureBeef_LiveweightGain_Data(), Table_SourceData_PastureBeef_LiveweightGain[[#Headers],[State]],0)</f>
        <v>0.33</v>
      </c>
      <c r="K172" s="20" cm="1">
        <f t="array" ref="K172">Common_InputFunctions.Utility_DisplayArrayInTable(SourceData_PastureBeef.SourceData_PastureBeef_LiveweightGain_Data(), Table_SourceData_PastureBeef_LiveweightGain[[#Headers],[State]],0)</f>
        <v>-0.22</v>
      </c>
      <c r="L172" s="20" cm="1">
        <f t="array" ref="L172">Common_InputFunctions.Utility_DisplayArrayInTable(SourceData_PastureBeef.SourceData_PastureBeef_LiveweightGain_Data(), Table_SourceData_PastureBeef_LiveweightGain[[#Headers],[State]],0)</f>
        <v>0.44</v>
      </c>
      <c r="M172" s="20" cm="1">
        <f t="array" ref="M172">Common_InputFunctions.Utility_DisplayArrayInTable(SourceData_PastureBeef.SourceData_PastureBeef_LiveweightGain_Data(), Table_SourceData_PastureBeef_LiveweightGain[[#Headers],[State]],0)</f>
        <v>-0.11</v>
      </c>
    </row>
    <row r="173" spans="4:13" x14ac:dyDescent="0.25" ht="20" customHeight="1">
      <c r="D173" s="1" t="str" cm="1">
        <f t="array" ref="D173">Common_InputFunctions.Utility_DisplayArrayInTable(SourceData_PastureBeef.SourceData_PastureBeef_LiveweightGain_Data(), Table_SourceData_PastureBeef_LiveweightGain[[#Headers],[State]],0)</f>
        <v>Western Australia</v>
      </c>
      <c r="E173" s="20" t="str" cm="1">
        <f t="array" ref="E173">Common_InputFunctions.Utility_DisplayArrayInTable(SourceData_PastureBeef.SourceData_PastureBeef_LiveweightGain_Data(), Table_SourceData_PastureBeef_LiveweightGain[[#Headers],[State]],0)</f>
        <v>South West</v>
      </c>
      <c r="F173" s="20" t="str" cm="1">
        <f t="array" ref="F173">Common_InputFunctions.Utility_DisplayArrayInTable(SourceData_PastureBeef.SourceData_PastureBeef_LiveweightGain_Data(), Table_SourceData_PastureBeef_LiveweightGain[[#Headers],[State]],0)</f>
        <v>Autumn</v>
      </c>
      <c r="G173" s="20" cm="1">
        <f t="array" ref="G173">Common_InputFunctions.Utility_DisplayArrayInTable(SourceData_PastureBeef.SourceData_PastureBeef_LiveweightGain_Data(), Table_SourceData_PastureBeef_LiveweightGain[[#Headers],[State]],0)</f>
        <v>0.6</v>
      </c>
      <c r="H173" s="20" cm="1">
        <f t="array" ref="H173">Common_InputFunctions.Utility_DisplayArrayInTable(SourceData_PastureBeef.SourceData_PastureBeef_LiveweightGain_Data(), Table_SourceData_PastureBeef_LiveweightGain[[#Headers],[State]],0)</f>
        <v>0</v>
      </c>
      <c r="I173" s="20" cm="1">
        <f t="array" ref="I173">Common_InputFunctions.Utility_DisplayArrayInTable(SourceData_PastureBeef.SourceData_PastureBeef_LiveweightGain_Data(), Table_SourceData_PastureBeef_LiveweightGain[[#Headers],[State]],0)</f>
        <v>0.6</v>
      </c>
      <c r="J173" s="20" cm="1">
        <f t="array" ref="J173">Common_InputFunctions.Utility_DisplayArrayInTable(SourceData_PastureBeef.SourceData_PastureBeef_LiveweightGain_Data(), Table_SourceData_PastureBeef_LiveweightGain[[#Headers],[State]],0)</f>
        <v>0.22</v>
      </c>
      <c r="K173" s="20" cm="1">
        <f t="array" ref="K173">Common_InputFunctions.Utility_DisplayArrayInTable(SourceData_PastureBeef.SourceData_PastureBeef_LiveweightGain_Data(), Table_SourceData_PastureBeef_LiveweightGain[[#Headers],[State]],0)</f>
        <v>-0.55000000000000004</v>
      </c>
      <c r="L173" s="20" cm="1">
        <f t="array" ref="L173">Common_InputFunctions.Utility_DisplayArrayInTable(SourceData_PastureBeef.SourceData_PastureBeef_LiveweightGain_Data(), Table_SourceData_PastureBeef_LiveweightGain[[#Headers],[State]],0)</f>
        <v>0.6</v>
      </c>
      <c r="M173" s="20" cm="1">
        <f t="array" ref="M173">Common_InputFunctions.Utility_DisplayArrayInTable(SourceData_PastureBeef.SourceData_PastureBeef_LiveweightGain_Data(), Table_SourceData_PastureBeef_LiveweightGain[[#Headers],[State]],0)</f>
        <v>0</v>
      </c>
    </row>
    <row r="174" spans="4:13" x14ac:dyDescent="0.25" ht="20" customHeight="1">
      <c r="D174" s="1" t="str" cm="1">
        <f t="array" ref="D174">Common_InputFunctions.Utility_DisplayArrayInTable(SourceData_PastureBeef.SourceData_PastureBeef_LiveweightGain_Data(), Table_SourceData_PastureBeef_LiveweightGain[[#Headers],[State]],0)</f>
        <v>Western Australia</v>
      </c>
      <c r="E174" s="20" t="str" cm="1">
        <f t="array" ref="E174">Common_InputFunctions.Utility_DisplayArrayInTable(SourceData_PastureBeef.SourceData_PastureBeef_LiveweightGain_Data(), Table_SourceData_PastureBeef_LiveweightGain[[#Headers],[State]],0)</f>
        <v>South West</v>
      </c>
      <c r="F174" s="20" t="str" cm="1">
        <f t="array" ref="F174">Common_InputFunctions.Utility_DisplayArrayInTable(SourceData_PastureBeef.SourceData_PastureBeef_LiveweightGain_Data(), Table_SourceData_PastureBeef_LiveweightGain[[#Headers],[State]],0)</f>
        <v>Winter</v>
      </c>
      <c r="G174" s="20" cm="1">
        <f t="array" ref="G174">Common_InputFunctions.Utility_DisplayArrayInTable(SourceData_PastureBeef.SourceData_PastureBeef_LiveweightGain_Data(), Table_SourceData_PastureBeef_LiveweightGain[[#Headers],[State]],0)</f>
        <v>0.99</v>
      </c>
      <c r="H174" s="20" cm="1">
        <f t="array" ref="H174">Common_InputFunctions.Utility_DisplayArrayInTable(SourceData_PastureBeef.SourceData_PastureBeef_LiveweightGain_Data(), Table_SourceData_PastureBeef_LiveweightGain[[#Headers],[State]],0)</f>
        <v>0.22</v>
      </c>
      <c r="I174" s="20" cm="1">
        <f t="array" ref="I174">Common_InputFunctions.Utility_DisplayArrayInTable(SourceData_PastureBeef.SourceData_PastureBeef_LiveweightGain_Data(), Table_SourceData_PastureBeef_LiveweightGain[[#Headers],[State]],0)</f>
        <v>0.77</v>
      </c>
      <c r="J174" s="20" cm="1">
        <f t="array" ref="J174">Common_InputFunctions.Utility_DisplayArrayInTable(SourceData_PastureBeef.SourceData_PastureBeef_LiveweightGain_Data(), Table_SourceData_PastureBeef_LiveweightGain[[#Headers],[State]],0)</f>
        <v>0.11</v>
      </c>
      <c r="K174" s="20" cm="1">
        <f t="array" ref="K174">Common_InputFunctions.Utility_DisplayArrayInTable(SourceData_PastureBeef.SourceData_PastureBeef_LiveweightGain_Data(), Table_SourceData_PastureBeef_LiveweightGain[[#Headers],[State]],0)</f>
        <v>0.11</v>
      </c>
      <c r="L174" s="20" cm="1">
        <f t="array" ref="L174">Common_InputFunctions.Utility_DisplayArrayInTable(SourceData_PastureBeef.SourceData_PastureBeef_LiveweightGain_Data(), Table_SourceData_PastureBeef_LiveweightGain[[#Headers],[State]],0)</f>
        <v>0.77</v>
      </c>
      <c r="M174" s="20" cm="1">
        <f t="array" ref="M174">Common_InputFunctions.Utility_DisplayArrayInTable(SourceData_PastureBeef.SourceData_PastureBeef_LiveweightGain_Data(), Table_SourceData_PastureBeef_LiveweightGain[[#Headers],[State]],0)</f>
        <v>0.44</v>
      </c>
    </row>
    <row r="175" spans="4:13" x14ac:dyDescent="0.25" ht="20" customHeight="1">
      <c r="D175" s="1" t="str" cm="1">
        <f t="array" ref="D175">Common_InputFunctions.Utility_DisplayArrayInTable(SourceData_PastureBeef.SourceData_PastureBeef_LiveweightGain_Data(), Table_SourceData_PastureBeef_LiveweightGain[[#Headers],[State]],0)</f>
        <v>Western Australia</v>
      </c>
      <c r="E175" s="20" t="str" cm="1">
        <f t="array" ref="E175">Common_InputFunctions.Utility_DisplayArrayInTable(SourceData_PastureBeef.SourceData_PastureBeef_LiveweightGain_Data(), Table_SourceData_PastureBeef_LiveweightGain[[#Headers],[State]],0)</f>
        <v>Pilbara</v>
      </c>
      <c r="F175" s="20" t="str" cm="1">
        <f t="array" ref="F175">Common_InputFunctions.Utility_DisplayArrayInTable(SourceData_PastureBeef.SourceData_PastureBeef_LiveweightGain_Data(), Table_SourceData_PastureBeef_LiveweightGain[[#Headers],[State]],0)</f>
        <v>Spring</v>
      </c>
      <c r="G175" s="20" cm="1">
        <f t="array" ref="G175">Common_InputFunctions.Utility_DisplayArrayInTable(SourceData_PastureBeef.SourceData_PastureBeef_LiveweightGain_Data(), Table_SourceData_PastureBeef_LiveweightGain[[#Headers],[State]],0)</f>
        <v>0.7</v>
      </c>
      <c r="H175" s="20" cm="1">
        <f t="array" ref="H175">Common_InputFunctions.Utility_DisplayArrayInTable(SourceData_PastureBeef.SourceData_PastureBeef_LiveweightGain_Data(), Table_SourceData_PastureBeef_LiveweightGain[[#Headers],[State]],0)</f>
        <v>-0.55000000000000004</v>
      </c>
      <c r="I175" s="20" cm="1">
        <f t="array" ref="I175">Common_InputFunctions.Utility_DisplayArrayInTable(SourceData_PastureBeef.SourceData_PastureBeef_LiveweightGain_Data(), Table_SourceData_PastureBeef_LiveweightGain[[#Headers],[State]],0)</f>
        <v>0.7</v>
      </c>
      <c r="J175" s="20" cm="1">
        <f t="array" ref="J175">Common_InputFunctions.Utility_DisplayArrayInTable(SourceData_PastureBeef.SourceData_PastureBeef_LiveweightGain_Data(), Table_SourceData_PastureBeef_LiveweightGain[[#Headers],[State]],0)</f>
        <v>0.22</v>
      </c>
      <c r="K175" s="20" cm="1">
        <f t="array" ref="K175">Common_InputFunctions.Utility_DisplayArrayInTable(SourceData_PastureBeef.SourceData_PastureBeef_LiveweightGain_Data(), Table_SourceData_PastureBeef_LiveweightGain[[#Headers],[State]],0)</f>
        <v>-0.22</v>
      </c>
      <c r="L175" s="20" cm="1">
        <f t="array" ref="L175">Common_InputFunctions.Utility_DisplayArrayInTable(SourceData_PastureBeef.SourceData_PastureBeef_LiveweightGain_Data(), Table_SourceData_PastureBeef_LiveweightGain[[#Headers],[State]],0)</f>
        <v>0.7</v>
      </c>
      <c r="M175" s="20" cm="1">
        <f t="array" ref="M175">Common_InputFunctions.Utility_DisplayArrayInTable(SourceData_PastureBeef.SourceData_PastureBeef_LiveweightGain_Data(), Table_SourceData_PastureBeef_LiveweightGain[[#Headers],[State]],0)</f>
        <v>-0.22</v>
      </c>
    </row>
    <row r="176" spans="4:13" x14ac:dyDescent="0.25" ht="20" customHeight="1">
      <c r="D176" s="1" t="str" cm="1">
        <f t="array" ref="D176">Common_InputFunctions.Utility_DisplayArrayInTable(SourceData_PastureBeef.SourceData_PastureBeef_LiveweightGain_Data(), Table_SourceData_PastureBeef_LiveweightGain[[#Headers],[State]],0)</f>
        <v>Western Australia</v>
      </c>
      <c r="E176" s="20" t="str" cm="1">
        <f t="array" ref="E176">Common_InputFunctions.Utility_DisplayArrayInTable(SourceData_PastureBeef.SourceData_PastureBeef_LiveweightGain_Data(), Table_SourceData_PastureBeef_LiveweightGain[[#Headers],[State]],0)</f>
        <v>Pilbara</v>
      </c>
      <c r="F176" s="20" t="str" cm="1">
        <f t="array" ref="F176">Common_InputFunctions.Utility_DisplayArrayInTable(SourceData_PastureBeef.SourceData_PastureBeef_LiveweightGain_Data(), Table_SourceData_PastureBeef_LiveweightGain[[#Headers],[State]],0)</f>
        <v>Summer</v>
      </c>
      <c r="G176" s="20" cm="1">
        <f t="array" ref="G176">Common_InputFunctions.Utility_DisplayArrayInTable(SourceData_PastureBeef.SourceData_PastureBeef_LiveweightGain_Data(), Table_SourceData_PastureBeef_LiveweightGain[[#Headers],[State]],0)</f>
        <v>0.77</v>
      </c>
      <c r="H176" s="20" cm="1">
        <f t="array" ref="H176">Common_InputFunctions.Utility_DisplayArrayInTable(SourceData_PastureBeef.SourceData_PastureBeef_LiveweightGain_Data(), Table_SourceData_PastureBeef_LiveweightGain[[#Headers],[State]],0)</f>
        <v>0.55000000000000004</v>
      </c>
      <c r="I176" s="20" cm="1">
        <f t="array" ref="I176">Common_InputFunctions.Utility_DisplayArrayInTable(SourceData_PastureBeef.SourceData_PastureBeef_LiveweightGain_Data(), Table_SourceData_PastureBeef_LiveweightGain[[#Headers],[State]],0)</f>
        <v>0.77</v>
      </c>
      <c r="J176" s="20" cm="1">
        <f t="array" ref="J176">Common_InputFunctions.Utility_DisplayArrayInTable(SourceData_PastureBeef.SourceData_PastureBeef_LiveweightGain_Data(), Table_SourceData_PastureBeef_LiveweightGain[[#Headers],[State]],0)</f>
        <v>0.66</v>
      </c>
      <c r="K176" s="20" cm="1">
        <f t="array" ref="K176">Common_InputFunctions.Utility_DisplayArrayInTable(SourceData_PastureBeef.SourceData_PastureBeef_LiveweightGain_Data(), Table_SourceData_PastureBeef_LiveweightGain[[#Headers],[State]],0)</f>
        <v>0.55000000000000004</v>
      </c>
      <c r="L176" s="20" cm="1">
        <f t="array" ref="L176">Common_InputFunctions.Utility_DisplayArrayInTable(SourceData_PastureBeef.SourceData_PastureBeef_LiveweightGain_Data(), Table_SourceData_PastureBeef_LiveweightGain[[#Headers],[State]],0)</f>
        <v>0.77</v>
      </c>
      <c r="M176" s="20" cm="1">
        <f t="array" ref="M176">Common_InputFunctions.Utility_DisplayArrayInTable(SourceData_PastureBeef.SourceData_PastureBeef_LiveweightGain_Data(), Table_SourceData_PastureBeef_LiveweightGain[[#Headers],[State]],0)</f>
        <v>0.33</v>
      </c>
    </row>
    <row r="177" spans="4:16" x14ac:dyDescent="0.25" ht="20" customHeight="1">
      <c r="D177" s="1" t="str" cm="1">
        <f t="array" ref="D177">Common_InputFunctions.Utility_DisplayArrayInTable(SourceData_PastureBeef.SourceData_PastureBeef_LiveweightGain_Data(), Table_SourceData_PastureBeef_LiveweightGain[[#Headers],[State]],0)</f>
        <v>Western Australia</v>
      </c>
      <c r="E177" s="20" t="str" cm="1">
        <f t="array" ref="E177">Common_InputFunctions.Utility_DisplayArrayInTable(SourceData_PastureBeef.SourceData_PastureBeef_LiveweightGain_Data(), Table_SourceData_PastureBeef_LiveweightGain[[#Headers],[State]],0)</f>
        <v>Pilbara</v>
      </c>
      <c r="F177" s="20" t="str" cm="1">
        <f t="array" ref="F177">Common_InputFunctions.Utility_DisplayArrayInTable(SourceData_PastureBeef.SourceData_PastureBeef_LiveweightGain_Data(), Table_SourceData_PastureBeef_LiveweightGain[[#Headers],[State]],0)</f>
        <v>Autumn</v>
      </c>
      <c r="G177" s="20" cm="1">
        <f t="array" ref="G177">Common_InputFunctions.Utility_DisplayArrayInTable(SourceData_PastureBeef.SourceData_PastureBeef_LiveweightGain_Data(), Table_SourceData_PastureBeef_LiveweightGain[[#Headers],[State]],0)</f>
        <v>0.88</v>
      </c>
      <c r="H177" s="20" cm="1">
        <f t="array" ref="H177">Common_InputFunctions.Utility_DisplayArrayInTable(SourceData_PastureBeef.SourceData_PastureBeef_LiveweightGain_Data(), Table_SourceData_PastureBeef_LiveweightGain[[#Headers],[State]],0)</f>
        <v>0.55000000000000004</v>
      </c>
      <c r="I177" s="20" cm="1">
        <f t="array" ref="I177">Common_InputFunctions.Utility_DisplayArrayInTable(SourceData_PastureBeef.SourceData_PastureBeef_LiveweightGain_Data(), Table_SourceData_PastureBeef_LiveweightGain[[#Headers],[State]],0)</f>
        <v>0.88</v>
      </c>
      <c r="J177" s="20" cm="1">
        <f t="array" ref="J177">Common_InputFunctions.Utility_DisplayArrayInTable(SourceData_PastureBeef.SourceData_PastureBeef_LiveweightGain_Data(), Table_SourceData_PastureBeef_LiveweightGain[[#Headers],[State]],0)</f>
        <v>0.22</v>
      </c>
      <c r="K177" s="20" cm="1">
        <f t="array" ref="K177">Common_InputFunctions.Utility_DisplayArrayInTable(SourceData_PastureBeef.SourceData_PastureBeef_LiveweightGain_Data(), Table_SourceData_PastureBeef_LiveweightGain[[#Headers],[State]],0)</f>
        <v>0.22</v>
      </c>
      <c r="L177" s="20" cm="1">
        <f t="array" ref="L177">Common_InputFunctions.Utility_DisplayArrayInTable(SourceData_PastureBeef.SourceData_PastureBeef_LiveweightGain_Data(), Table_SourceData_PastureBeef_LiveweightGain[[#Headers],[State]],0)</f>
        <v>0.88</v>
      </c>
      <c r="M177" s="20" cm="1">
        <f t="array" ref="M177">Common_InputFunctions.Utility_DisplayArrayInTable(SourceData_PastureBeef.SourceData_PastureBeef_LiveweightGain_Data(), Table_SourceData_PastureBeef_LiveweightGain[[#Headers],[State]],0)</f>
        <v>0.22</v>
      </c>
    </row>
    <row r="178" spans="4:16" x14ac:dyDescent="0.25" ht="20" customHeight="1">
      <c r="D178" s="1" t="str" cm="1">
        <f t="array" ref="D178">Common_InputFunctions.Utility_DisplayArrayInTable(SourceData_PastureBeef.SourceData_PastureBeef_LiveweightGain_Data(), Table_SourceData_PastureBeef_LiveweightGain[[#Headers],[State]],0)</f>
        <v>Western Australia</v>
      </c>
      <c r="E178" s="20" t="str" cm="1">
        <f t="array" ref="E178">Common_InputFunctions.Utility_DisplayArrayInTable(SourceData_PastureBeef.SourceData_PastureBeef_LiveweightGain_Data(), Table_SourceData_PastureBeef_LiveweightGain[[#Headers],[State]],0)</f>
        <v>Pilbara</v>
      </c>
      <c r="F178" s="20" t="str" cm="1">
        <f t="array" ref="F178">Common_InputFunctions.Utility_DisplayArrayInTable(SourceData_PastureBeef.SourceData_PastureBeef_LiveweightGain_Data(), Table_SourceData_PastureBeef_LiveweightGain[[#Headers],[State]],0)</f>
        <v>Winter</v>
      </c>
      <c r="G178" s="20" cm="1">
        <f t="array" ref="G178">Common_InputFunctions.Utility_DisplayArrayInTable(SourceData_PastureBeef.SourceData_PastureBeef_LiveweightGain_Data(), Table_SourceData_PastureBeef_LiveweightGain[[#Headers],[State]],0)</f>
        <v>0.22</v>
      </c>
      <c r="H178" s="20" cm="1">
        <f t="array" ref="H178">Common_InputFunctions.Utility_DisplayArrayInTable(SourceData_PastureBeef.SourceData_PastureBeef_LiveweightGain_Data(), Table_SourceData_PastureBeef_LiveweightGain[[#Headers],[State]],0)</f>
        <v>-0.55000000000000004</v>
      </c>
      <c r="I178" s="20" cm="1">
        <f t="array" ref="I178">Common_InputFunctions.Utility_DisplayArrayInTable(SourceData_PastureBeef.SourceData_PastureBeef_LiveweightGain_Data(), Table_SourceData_PastureBeef_LiveweightGain[[#Headers],[State]],0)</f>
        <v>0.22</v>
      </c>
      <c r="J178" s="20" cm="1">
        <f t="array" ref="J178">Common_InputFunctions.Utility_DisplayArrayInTable(SourceData_PastureBeef.SourceData_PastureBeef_LiveweightGain_Data(), Table_SourceData_PastureBeef_LiveweightGain[[#Headers],[State]],0)</f>
        <v>0.11</v>
      </c>
      <c r="K178" s="20" cm="1">
        <f t="array" ref="K178">Common_InputFunctions.Utility_DisplayArrayInTable(SourceData_PastureBeef.SourceData_PastureBeef_LiveweightGain_Data(), Table_SourceData_PastureBeef_LiveweightGain[[#Headers],[State]],0)</f>
        <v>-0.22</v>
      </c>
      <c r="L178" s="20" cm="1">
        <f t="array" ref="L178">Common_InputFunctions.Utility_DisplayArrayInTable(SourceData_PastureBeef.SourceData_PastureBeef_LiveweightGain_Data(), Table_SourceData_PastureBeef_LiveweightGain[[#Headers],[State]],0)</f>
        <v>0.22</v>
      </c>
      <c r="M178" s="20" cm="1">
        <f t="array" ref="M178">Common_InputFunctions.Utility_DisplayArrayInTable(SourceData_PastureBeef.SourceData_PastureBeef_LiveweightGain_Data(), Table_SourceData_PastureBeef_LiveweightGain[[#Headers],[State]],0)</f>
        <v>-0.33</v>
      </c>
    </row>
    <row r="179" spans="4:16" x14ac:dyDescent="0.25" ht="20" customHeight="1">
      <c r="D179" s="1" t="str" cm="1">
        <f t="array" ref="D179">Common_InputFunctions.Utility_DisplayArrayInTable(SourceData_PastureBeef.SourceData_PastureBeef_LiveweightGain_Data(), Table_SourceData_PastureBeef_LiveweightGain[[#Headers],[State]],0)</f>
        <v>Western Australia</v>
      </c>
      <c r="E179" s="20" t="str" cm="1">
        <f t="array" ref="E179">Common_InputFunctions.Utility_DisplayArrayInTable(SourceData_PastureBeef.SourceData_PastureBeef_LiveweightGain_Data(), Table_SourceData_PastureBeef_LiveweightGain[[#Headers],[State]],0)</f>
        <v>Kimberley</v>
      </c>
      <c r="F179" s="20" t="str" cm="1">
        <f t="array" ref="F179">Common_InputFunctions.Utility_DisplayArrayInTable(SourceData_PastureBeef.SourceData_PastureBeef_LiveweightGain_Data(), Table_SourceData_PastureBeef_LiveweightGain[[#Headers],[State]],0)</f>
        <v>Spring</v>
      </c>
      <c r="G179" s="20" cm="1">
        <f t="array" ref="G179">Common_InputFunctions.Utility_DisplayArrayInTable(SourceData_PastureBeef.SourceData_PastureBeef_LiveweightGain_Data(), Table_SourceData_PastureBeef_LiveweightGain[[#Headers],[State]],0)</f>
        <v>0.22</v>
      </c>
      <c r="H179" s="20" cm="1">
        <f t="array" ref="H179">Common_InputFunctions.Utility_DisplayArrayInTable(SourceData_PastureBeef.SourceData_PastureBeef_LiveweightGain_Data(), Table_SourceData_PastureBeef_LiveweightGain[[#Headers],[State]],0)</f>
        <v>-0.55000000000000004</v>
      </c>
      <c r="I179" s="20" cm="1">
        <f t="array" ref="I179">Common_InputFunctions.Utility_DisplayArrayInTable(SourceData_PastureBeef.SourceData_PastureBeef_LiveweightGain_Data(), Table_SourceData_PastureBeef_LiveweightGain[[#Headers],[State]],0)</f>
        <v>0.33</v>
      </c>
      <c r="J179" s="20" cm="1">
        <f t="array" ref="J179">Common_InputFunctions.Utility_DisplayArrayInTable(SourceData_PastureBeef.SourceData_PastureBeef_LiveweightGain_Data(), Table_SourceData_PastureBeef_LiveweightGain[[#Headers],[State]],0)</f>
        <v>0.22</v>
      </c>
      <c r="K179" s="20" cm="1">
        <f t="array" ref="K179">Common_InputFunctions.Utility_DisplayArrayInTable(SourceData_PastureBeef.SourceData_PastureBeef_LiveweightGain_Data(), Table_SourceData_PastureBeef_LiveweightGain[[#Headers],[State]],0)</f>
        <v>-0.33</v>
      </c>
      <c r="L179" s="20" cm="1">
        <f t="array" ref="L179">Common_InputFunctions.Utility_DisplayArrayInTable(SourceData_PastureBeef.SourceData_PastureBeef_LiveweightGain_Data(), Table_SourceData_PastureBeef_LiveweightGain[[#Headers],[State]],0)</f>
        <v>0.22</v>
      </c>
      <c r="M179" s="20" cm="1">
        <f t="array" ref="M179">Common_InputFunctions.Utility_DisplayArrayInTable(SourceData_PastureBeef.SourceData_PastureBeef_LiveweightGain_Data(), Table_SourceData_PastureBeef_LiveweightGain[[#Headers],[State]],0)</f>
        <v>-0.55000000000000004</v>
      </c>
    </row>
    <row r="180" spans="4:16" x14ac:dyDescent="0.25" ht="20" customHeight="1">
      <c r="D180" s="1" t="str" cm="1">
        <f t="array" ref="D180">Common_InputFunctions.Utility_DisplayArrayInTable(SourceData_PastureBeef.SourceData_PastureBeef_LiveweightGain_Data(), Table_SourceData_PastureBeef_LiveweightGain[[#Headers],[State]],0)</f>
        <v>Western Australia</v>
      </c>
      <c r="E180" s="20" t="str" cm="1">
        <f t="array" ref="E180">Common_InputFunctions.Utility_DisplayArrayInTable(SourceData_PastureBeef.SourceData_PastureBeef_LiveweightGain_Data(), Table_SourceData_PastureBeef_LiveweightGain[[#Headers],[State]],0)</f>
        <v>Kimberley</v>
      </c>
      <c r="F180" s="20" t="str" cm="1">
        <f t="array" ref="F180">Common_InputFunctions.Utility_DisplayArrayInTable(SourceData_PastureBeef.SourceData_PastureBeef_LiveweightGain_Data(), Table_SourceData_PastureBeef_LiveweightGain[[#Headers],[State]],0)</f>
        <v>Summer</v>
      </c>
      <c r="G180" s="20" cm="1">
        <f t="array" ref="G180">Common_InputFunctions.Utility_DisplayArrayInTable(SourceData_PastureBeef.SourceData_PastureBeef_LiveweightGain_Data(), Table_SourceData_PastureBeef_LiveweightGain[[#Headers],[State]],0)</f>
        <v>0.8</v>
      </c>
      <c r="H180" s="20" cm="1">
        <f t="array" ref="H180">Common_InputFunctions.Utility_DisplayArrayInTable(SourceData_PastureBeef.SourceData_PastureBeef_LiveweightGain_Data(), Table_SourceData_PastureBeef_LiveweightGain[[#Headers],[State]],0)</f>
        <v>0.55000000000000004</v>
      </c>
      <c r="I180" s="20" cm="1">
        <f t="array" ref="I180">Common_InputFunctions.Utility_DisplayArrayInTable(SourceData_PastureBeef.SourceData_PastureBeef_LiveweightGain_Data(), Table_SourceData_PastureBeef_LiveweightGain[[#Headers],[State]],0)</f>
        <v>0.7</v>
      </c>
      <c r="J180" s="20" cm="1">
        <f t="array" ref="J180">Common_InputFunctions.Utility_DisplayArrayInTable(SourceData_PastureBeef.SourceData_PastureBeef_LiveweightGain_Data(), Table_SourceData_PastureBeef_LiveweightGain[[#Headers],[State]],0)</f>
        <v>0.44</v>
      </c>
      <c r="K180" s="20" cm="1">
        <f t="array" ref="K180">Common_InputFunctions.Utility_DisplayArrayInTable(SourceData_PastureBeef.SourceData_PastureBeef_LiveweightGain_Data(), Table_SourceData_PastureBeef_LiveweightGain[[#Headers],[State]],0)</f>
        <v>0.66</v>
      </c>
      <c r="L180" s="20" cm="1">
        <f t="array" ref="L180">Common_InputFunctions.Utility_DisplayArrayInTable(SourceData_PastureBeef.SourceData_PastureBeef_LiveweightGain_Data(), Table_SourceData_PastureBeef_LiveweightGain[[#Headers],[State]],0)</f>
        <v>0.8</v>
      </c>
      <c r="M180" s="20" cm="1">
        <f t="array" ref="M180">Common_InputFunctions.Utility_DisplayArrayInTable(SourceData_PastureBeef.SourceData_PastureBeef_LiveweightGain_Data(), Table_SourceData_PastureBeef_LiveweightGain[[#Headers],[State]],0)</f>
        <v>0.55000000000000004</v>
      </c>
    </row>
    <row r="181" spans="4:16" x14ac:dyDescent="0.25" ht="20" customHeight="1">
      <c r="D181" s="1" t="str" cm="1">
        <f t="array" ref="D181">Common_InputFunctions.Utility_DisplayArrayInTable(SourceData_PastureBeef.SourceData_PastureBeef_LiveweightGain_Data(), Table_SourceData_PastureBeef_LiveweightGain[[#Headers],[State]],0)</f>
        <v>Western Australia</v>
      </c>
      <c r="E181" s="20" t="str" cm="1">
        <f t="array" ref="E181">Common_InputFunctions.Utility_DisplayArrayInTable(SourceData_PastureBeef.SourceData_PastureBeef_LiveweightGain_Data(), Table_SourceData_PastureBeef_LiveweightGain[[#Headers],[State]],0)</f>
        <v>Kimberley</v>
      </c>
      <c r="F181" s="20" t="str" cm="1">
        <f t="array" ref="F181">Common_InputFunctions.Utility_DisplayArrayInTable(SourceData_PastureBeef.SourceData_PastureBeef_LiveweightGain_Data(), Table_SourceData_PastureBeef_LiveweightGain[[#Headers],[State]],0)</f>
        <v>Autumn</v>
      </c>
      <c r="G181" s="20" cm="1">
        <f t="array" ref="G181">Common_InputFunctions.Utility_DisplayArrayInTable(SourceData_PastureBeef.SourceData_PastureBeef_LiveweightGain_Data(), Table_SourceData_PastureBeef_LiveweightGain[[#Headers],[State]],0)</f>
        <v>0.66</v>
      </c>
      <c r="H181" s="20" cm="1">
        <f t="array" ref="H181">Common_InputFunctions.Utility_DisplayArrayInTable(SourceData_PastureBeef.SourceData_PastureBeef_LiveweightGain_Data(), Table_SourceData_PastureBeef_LiveweightGain[[#Headers],[State]],0)</f>
        <v>0.55000000000000004</v>
      </c>
      <c r="I181" s="20" cm="1">
        <f t="array" ref="I181">Common_InputFunctions.Utility_DisplayArrayInTable(SourceData_PastureBeef.SourceData_PastureBeef_LiveweightGain_Data(), Table_SourceData_PastureBeef_LiveweightGain[[#Headers],[State]],0)</f>
        <v>0.55000000000000004</v>
      </c>
      <c r="J181" s="20" cm="1">
        <f t="array" ref="J181">Common_InputFunctions.Utility_DisplayArrayInTable(SourceData_PastureBeef.SourceData_PastureBeef_LiveweightGain_Data(), Table_SourceData_PastureBeef_LiveweightGain[[#Headers],[State]],0)</f>
        <v>0.55000000000000004</v>
      </c>
      <c r="K181" s="20" cm="1">
        <f t="array" ref="K181">Common_InputFunctions.Utility_DisplayArrayInTable(SourceData_PastureBeef.SourceData_PastureBeef_LiveweightGain_Data(), Table_SourceData_PastureBeef_LiveweightGain[[#Headers],[State]],0)</f>
        <v>0.11</v>
      </c>
      <c r="L181" s="20" cm="1">
        <f t="array" ref="L181">Common_InputFunctions.Utility_DisplayArrayInTable(SourceData_PastureBeef.SourceData_PastureBeef_LiveweightGain_Data(), Table_SourceData_PastureBeef_LiveweightGain[[#Headers],[State]],0)</f>
        <v>0.66</v>
      </c>
      <c r="M181" s="20" cm="1">
        <f t="array" ref="M181">Common_InputFunctions.Utility_DisplayArrayInTable(SourceData_PastureBeef.SourceData_PastureBeef_LiveweightGain_Data(), Table_SourceData_PastureBeef_LiveweightGain[[#Headers],[State]],0)</f>
        <v>0.55000000000000004</v>
      </c>
    </row>
    <row r="182" spans="4:16" x14ac:dyDescent="0.25" ht="20" customHeight="1">
      <c r="D182" s="1" t="str" cm="1">
        <f t="array" ref="D182">Common_InputFunctions.Utility_DisplayArrayInTable(SourceData_PastureBeef.SourceData_PastureBeef_LiveweightGain_Data(), Table_SourceData_PastureBeef_LiveweightGain[[#Headers],[State]],0)</f>
        <v>Western Australia</v>
      </c>
      <c r="E182" s="20" t="str" cm="1">
        <f t="array" ref="E182">Common_InputFunctions.Utility_DisplayArrayInTable(SourceData_PastureBeef.SourceData_PastureBeef_LiveweightGain_Data(), Table_SourceData_PastureBeef_LiveweightGain[[#Headers],[State]],0)</f>
        <v>Kimberley</v>
      </c>
      <c r="F182" s="20" t="str" cm="1">
        <f t="array" ref="F182">Common_InputFunctions.Utility_DisplayArrayInTable(SourceData_PastureBeef.SourceData_PastureBeef_LiveweightGain_Data(), Table_SourceData_PastureBeef_LiveweightGain[[#Headers],[State]],0)</f>
        <v>Winter</v>
      </c>
      <c r="G182" s="20" cm="1">
        <f t="array" ref="G182">Common_InputFunctions.Utility_DisplayArrayInTable(SourceData_PastureBeef.SourceData_PastureBeef_LiveweightGain_Data(), Table_SourceData_PastureBeef_LiveweightGain[[#Headers],[State]],0)</f>
        <v>0.33</v>
      </c>
      <c r="H182" s="20" cm="1">
        <f t="array" ref="H182">Common_InputFunctions.Utility_DisplayArrayInTable(SourceData_PastureBeef.SourceData_PastureBeef_LiveweightGain_Data(), Table_SourceData_PastureBeef_LiveweightGain[[#Headers],[State]],0)</f>
        <v>-0.55000000000000004</v>
      </c>
      <c r="I182" s="20" cm="1">
        <f t="array" ref="I182">Common_InputFunctions.Utility_DisplayArrayInTable(SourceData_PastureBeef.SourceData_PastureBeef_LiveweightGain_Data(), Table_SourceData_PastureBeef_LiveweightGain[[#Headers],[State]],0)</f>
        <v>0.11</v>
      </c>
      <c r="J182" s="20" cm="1">
        <f t="array" ref="J182">Common_InputFunctions.Utility_DisplayArrayInTable(SourceData_PastureBeef.SourceData_PastureBeef_LiveweightGain_Data(), Table_SourceData_PastureBeef_LiveweightGain[[#Headers],[State]],0)</f>
        <v>0.11</v>
      </c>
      <c r="K182" s="20" cm="1">
        <f t="array" ref="K182">Common_InputFunctions.Utility_DisplayArrayInTable(SourceData_PastureBeef.SourceData_PastureBeef_LiveweightGain_Data(), Table_SourceData_PastureBeef_LiveweightGain[[#Headers],[State]],0)</f>
        <v>-0.44</v>
      </c>
      <c r="L182" s="20" cm="1">
        <f t="array" ref="L182">Common_InputFunctions.Utility_DisplayArrayInTable(SourceData_PastureBeef.SourceData_PastureBeef_LiveweightGain_Data(), Table_SourceData_PastureBeef_LiveweightGain[[#Headers],[State]],0)</f>
        <v>0.33</v>
      </c>
      <c r="M182" s="20" cm="1">
        <f t="array" ref="M182">Common_InputFunctions.Utility_DisplayArrayInTable(SourceData_PastureBeef.SourceData_PastureBeef_LiveweightGain_Data(), Table_SourceData_PastureBeef_LiveweightGain[[#Headers],[State]],0)</f>
        <v>-0.55000000000000004</v>
      </c>
    </row>
    <row r="183" spans="4:16" x14ac:dyDescent="0.25" ht="20" customHeight="1">
      <c r="M183" s="1"/>
    </row>
    <row r="184" spans="4:16" x14ac:dyDescent="0.25" ht="20" customHeight="1">
      <c r="M184" s="1"/>
    </row>
    <row r="185" spans="4:16" ht="20" x14ac:dyDescent="0.25" customHeight="1">
      <c r="D185" s="2" t="str" cm="1">
        <f t="array" ref="D185">SourceData_PastureBeef.SourceData_PastureBeef_LiveweightGainNTQLD_Title()</f>
        <v>Beef pasture cattle - Liveweight gain (kg) (LWGjkl) for NT and QLD</v>
      </c>
      <c r="M185" s="1"/>
    </row>
    <row r="186" spans="4:16" x14ac:dyDescent="0.25" ht="20" customHeight="1">
      <c r="D186" s="17" t="str" cm="1">
        <f t="array" ref="D186">SourceData_PastureBeef.SourceData_PastureBeef_LiveweightGainNTQLD_Source()</f>
        <v>VEERG 2026: Table A.1.2.4</v>
      </c>
      <c r="M186" s="1"/>
    </row>
    <row r="187" spans="4:16" x14ac:dyDescent="0.25" ht="20" customHeight="1">
      <c r="D187" s="1" t="str" cm="1">
        <f t="array" ref="D187">SourceData_PastureBeef.SourceData_PastureBeef_LiveweightGainNTQLD_Variable()</f>
        <v>LWGjkl</v>
      </c>
      <c r="M187" s="1"/>
    </row>
    <row r="188" spans="4:16" x14ac:dyDescent="0.25" ht="20" customHeight="1">
      <c r="D188" s="9" t="str" cm="1">
        <f t="array" ref="D188">SourceData_PastureBeef.SourceData_PastureBeef_LiveweightGainNTQLD_Unit()</f>
        <v>kg</v>
      </c>
      <c r="M188" s="1"/>
    </row>
    <row r="189" spans="4:16" x14ac:dyDescent="0.25" ht="20" customHeight="1">
      <c r="D189" s="20" t="s">
        <v>105</v>
      </c>
      <c r="E189" s="20" t="s">
        <v>490</v>
      </c>
      <c r="F189" s="20" t="s">
        <v>76</v>
      </c>
      <c r="G189" s="20" t="s">
        <v>539</v>
      </c>
      <c r="H189" s="20" t="s">
        <v>540</v>
      </c>
      <c r="I189" s="20" t="s">
        <v>550</v>
      </c>
      <c r="J189" s="20" t="s">
        <v>511</v>
      </c>
      <c r="K189" s="20" t="s">
        <v>553</v>
      </c>
      <c r="L189" s="20" t="s">
        <v>554</v>
      </c>
      <c r="M189" s="20" t="s">
        <v>545</v>
      </c>
      <c r="N189" s="20" t="s">
        <v>546</v>
      </c>
      <c r="O189" s="20" t="s">
        <v>547</v>
      </c>
      <c r="P189" s="20" t="s">
        <v>548</v>
      </c>
    </row>
    <row r="190" spans="4:16" x14ac:dyDescent="0.25" ht="20" customHeight="1">
      <c r="D190" s="20" t="str" cm="1">
        <f t="array" ref="D190">Common_InputFunctions.Utility_DisplayArrayInTable(SourceData_PastureBeef.SourceData_PastureBeef_LiveweightGainNTQLD_Data(),Table_SourceData_PastureBeef_LiveweightGainNTQLD[[#Headers],[State]],0)</f>
        <v>Northern Territory</v>
      </c>
      <c r="E190" s="20" t="str" cm="1">
        <f t="array" ref="E190">Common_InputFunctions.Utility_DisplayArrayInTable(SourceData_PastureBeef.SourceData_PastureBeef_LiveweightGainNTQLD_Data(),Table_SourceData_PastureBeef_LiveweightGainNTQLD[[#Headers],[State]],0)</f>
        <v>Alice Springs</v>
      </c>
      <c r="F190" s="20" t="str" cm="1">
        <f t="array" ref="F190">Common_InputFunctions.Utility_DisplayArrayInTable(SourceData_PastureBeef.SourceData_PastureBeef_LiveweightGainNTQLD_Data(),Table_SourceData_PastureBeef_LiveweightGainNTQLD[[#Headers],[State]],0)</f>
        <v>Spring</v>
      </c>
      <c r="G190" s="20" cm="1">
        <f t="array" ref="G190">Common_InputFunctions.Utility_DisplayArrayInTable(SourceData_PastureBeef.SourceData_PastureBeef_LiveweightGainNTQLD_Data(),Table_SourceData_PastureBeef_LiveweightGainNTQLD[[#Headers],[State]],0)</f>
        <v>0.22</v>
      </c>
      <c r="H190" s="20" cm="1">
        <f t="array" ref="H190">Common_InputFunctions.Utility_DisplayArrayInTable(SourceData_PastureBeef.SourceData_PastureBeef_LiveweightGainNTQLD_Data(),Table_SourceData_PastureBeef_LiveweightGainNTQLD[[#Headers],[State]],0)</f>
        <v>-0.23</v>
      </c>
      <c r="I190" s="20" cm="1">
        <f t="array" ref="I190">Common_InputFunctions.Utility_DisplayArrayInTable(SourceData_PastureBeef.SourceData_PastureBeef_LiveweightGainNTQLD_Data(),Table_SourceData_PastureBeef_LiveweightGainNTQLD[[#Headers],[State]],0)</f>
        <v>0.25</v>
      </c>
      <c r="J190" s="20" cm="1">
        <f t="array" ref="J190">Common_InputFunctions.Utility_DisplayArrayInTable(SourceData_PastureBeef.SourceData_PastureBeef_LiveweightGainNTQLD_Data(),Table_SourceData_PastureBeef_LiveweightGainNTQLD[[#Headers],[State]],0)</f>
        <v>0.17</v>
      </c>
      <c r="K190" s="20" cm="1">
        <f t="array" ref="K190">Common_InputFunctions.Utility_DisplayArrayInTable(SourceData_PastureBeef.SourceData_PastureBeef_LiveweightGainNTQLD_Data(),Table_SourceData_PastureBeef_LiveweightGainNTQLD[[#Headers],[State]],0)</f>
        <v>0.18</v>
      </c>
      <c r="L190" s="20" cm="1">
        <f t="array" ref="L190">Common_InputFunctions.Utility_DisplayArrayInTable(SourceData_PastureBeef.SourceData_PastureBeef_LiveweightGainNTQLD_Data(),Table_SourceData_PastureBeef_LiveweightGainNTQLD[[#Headers],[State]],0)</f>
        <v>-0.28000000000000003</v>
      </c>
      <c r="M190" s="20" cm="1">
        <f t="array" ref="M190">Common_InputFunctions.Utility_DisplayArrayInTable(SourceData_PastureBeef.SourceData_PastureBeef_LiveweightGainNTQLD_Data(),Table_SourceData_PastureBeef_LiveweightGainNTQLD[[#Headers],[State]],0)</f>
        <v>0.32</v>
      </c>
      <c r="N190" s="20" cm="1">
        <f t="array" ref="N190">Common_InputFunctions.Utility_DisplayArrayInTable(SourceData_PastureBeef.SourceData_PastureBeef_LiveweightGainNTQLD_Data(),Table_SourceData_PastureBeef_LiveweightGainNTQLD[[#Headers],[State]],0)</f>
        <v>0.24</v>
      </c>
      <c r="O190" s="20" cm="1">
        <f t="array" ref="O190">Common_InputFunctions.Utility_DisplayArrayInTable(SourceData_PastureBeef.SourceData_PastureBeef_LiveweightGainNTQLD_Data(),Table_SourceData_PastureBeef_LiveweightGainNTQLD[[#Headers],[State]],0)</f>
        <v>0.25</v>
      </c>
      <c r="P190" s="20" cm="1">
        <f t="array" ref="P190">Common_InputFunctions.Utility_DisplayArrayInTable(SourceData_PastureBeef.SourceData_PastureBeef_LiveweightGainNTQLD_Data(),Table_SourceData_PastureBeef_LiveweightGainNTQLD[[#Headers],[State]],0)</f>
        <v>-0.05</v>
      </c>
    </row>
    <row r="191" spans="4:16" x14ac:dyDescent="0.25" ht="20" customHeight="1">
      <c r="D191" s="1" t="str" cm="1">
        <f t="array" ref="D191">Common_InputFunctions.Utility_DisplayArrayInTable(SourceData_PastureBeef.SourceData_PastureBeef_LiveweightGainNTQLD_Data(),Table_SourceData_PastureBeef_LiveweightGainNTQLD[[#Headers],[State]],0)</f>
        <v>Northern Territory</v>
      </c>
      <c r="E191" s="20" t="str" cm="1">
        <f t="array" ref="E191">Common_InputFunctions.Utility_DisplayArrayInTable(SourceData_PastureBeef.SourceData_PastureBeef_LiveweightGainNTQLD_Data(),Table_SourceData_PastureBeef_LiveweightGainNTQLD[[#Headers],[State]],0)</f>
        <v>Alice Springs</v>
      </c>
      <c r="F191" s="20" t="str" cm="1">
        <f t="array" ref="F191">Common_InputFunctions.Utility_DisplayArrayInTable(SourceData_PastureBeef.SourceData_PastureBeef_LiveweightGainNTQLD_Data(),Table_SourceData_PastureBeef_LiveweightGainNTQLD[[#Headers],[State]],0)</f>
        <v>Summer</v>
      </c>
      <c r="G191" s="20" cm="1">
        <f t="array" ref="G191">Common_InputFunctions.Utility_DisplayArrayInTable(SourceData_PastureBeef.SourceData_PastureBeef_LiveweightGainNTQLD_Data(),Table_SourceData_PastureBeef_LiveweightGainNTQLD[[#Headers],[State]],0)</f>
        <v>0.66</v>
      </c>
      <c r="H191" s="20" cm="1">
        <f t="array" ref="H191">Common_InputFunctions.Utility_DisplayArrayInTable(SourceData_PastureBeef.SourceData_PastureBeef_LiveweightGainNTQLD_Data(),Table_SourceData_PastureBeef_LiveweightGainNTQLD[[#Headers],[State]],0)</f>
        <v>0.2</v>
      </c>
      <c r="I191" s="20" cm="1">
        <f t="array" ref="I191">Common_InputFunctions.Utility_DisplayArrayInTable(SourceData_PastureBeef.SourceData_PastureBeef_LiveweightGainNTQLD_Data(),Table_SourceData_PastureBeef_LiveweightGainNTQLD[[#Headers],[State]],0)</f>
        <v>0.62</v>
      </c>
      <c r="J191" s="20" cm="1">
        <f t="array" ref="J191">Common_InputFunctions.Utility_DisplayArrayInTable(SourceData_PastureBeef.SourceData_PastureBeef_LiveweightGainNTQLD_Data(),Table_SourceData_PastureBeef_LiveweightGainNTQLD[[#Headers],[State]],0)</f>
        <v>0.54</v>
      </c>
      <c r="K191" s="20" cm="1">
        <f t="array" ref="K191">Common_InputFunctions.Utility_DisplayArrayInTable(SourceData_PastureBeef.SourceData_PastureBeef_LiveweightGainNTQLD_Data(),Table_SourceData_PastureBeef_LiveweightGainNTQLD[[#Headers],[State]],0)</f>
        <v>0.38</v>
      </c>
      <c r="L191" s="20" cm="1">
        <f t="array" ref="L191">Common_InputFunctions.Utility_DisplayArrayInTable(SourceData_PastureBeef.SourceData_PastureBeef_LiveweightGainNTQLD_Data(),Table_SourceData_PastureBeef_LiveweightGainNTQLD[[#Headers],[State]],0)</f>
        <v>0.27</v>
      </c>
      <c r="M191" s="20" cm="1">
        <f t="array" ref="M191">Common_InputFunctions.Utility_DisplayArrayInTable(SourceData_PastureBeef.SourceData_PastureBeef_LiveweightGainNTQLD_Data(),Table_SourceData_PastureBeef_LiveweightGainNTQLD[[#Headers],[State]],0)</f>
        <v>0.75</v>
      </c>
      <c r="N191" s="20" cm="1">
        <f t="array" ref="N191">Common_InputFunctions.Utility_DisplayArrayInTable(SourceData_PastureBeef.SourceData_PastureBeef_LiveweightGainNTQLD_Data(),Table_SourceData_PastureBeef_LiveweightGainNTQLD[[#Headers],[State]],0)</f>
        <v>0.64</v>
      </c>
      <c r="O191" s="20" cm="1">
        <f t="array" ref="O191">Common_InputFunctions.Utility_DisplayArrayInTable(SourceData_PastureBeef.SourceData_PastureBeef_LiveweightGainNTQLD_Data(),Table_SourceData_PastureBeef_LiveweightGainNTQLD[[#Headers],[State]],0)</f>
        <v>0.55000000000000004</v>
      </c>
      <c r="P191" s="20" cm="1">
        <f t="array" ref="P191">Common_InputFunctions.Utility_DisplayArrayInTable(SourceData_PastureBeef.SourceData_PastureBeef_LiveweightGainNTQLD_Data(),Table_SourceData_PastureBeef_LiveweightGainNTQLD[[#Headers],[State]],0)</f>
        <v>0.48</v>
      </c>
    </row>
    <row r="192" spans="4:16" x14ac:dyDescent="0.25" ht="20" customHeight="1">
      <c r="D192" s="1" t="str" cm="1">
        <f t="array" ref="D192">Common_InputFunctions.Utility_DisplayArrayInTable(SourceData_PastureBeef.SourceData_PastureBeef_LiveweightGainNTQLD_Data(),Table_SourceData_PastureBeef_LiveweightGainNTQLD[[#Headers],[State]],0)</f>
        <v>Northern Territory</v>
      </c>
      <c r="E192" s="20" t="str" cm="1">
        <f t="array" ref="E192">Common_InputFunctions.Utility_DisplayArrayInTable(SourceData_PastureBeef.SourceData_PastureBeef_LiveweightGainNTQLD_Data(),Table_SourceData_PastureBeef_LiveweightGainNTQLD[[#Headers],[State]],0)</f>
        <v>Alice Springs</v>
      </c>
      <c r="F192" s="20" t="str" cm="1">
        <f t="array" ref="F192">Common_InputFunctions.Utility_DisplayArrayInTable(SourceData_PastureBeef.SourceData_PastureBeef_LiveweightGainNTQLD_Data(),Table_SourceData_PastureBeef_LiveweightGainNTQLD[[#Headers],[State]],0)</f>
        <v>Autumn</v>
      </c>
      <c r="G192" s="20" cm="1">
        <f t="array" ref="G192">Common_InputFunctions.Utility_DisplayArrayInTable(SourceData_PastureBeef.SourceData_PastureBeef_LiveweightGainNTQLD_Data(),Table_SourceData_PastureBeef_LiveweightGainNTQLD[[#Headers],[State]],0)</f>
        <v>0.49</v>
      </c>
      <c r="H192" s="20" cm="1">
        <f t="array" ref="H192">Common_InputFunctions.Utility_DisplayArrayInTable(SourceData_PastureBeef.SourceData_PastureBeef_LiveweightGainNTQLD_Data(),Table_SourceData_PastureBeef_LiveweightGainNTQLD[[#Headers],[State]],0)</f>
        <v>0.13</v>
      </c>
      <c r="I192" s="20" cm="1">
        <f t="array" ref="I192">Common_InputFunctions.Utility_DisplayArrayInTable(SourceData_PastureBeef.SourceData_PastureBeef_LiveweightGainNTQLD_Data(),Table_SourceData_PastureBeef_LiveweightGainNTQLD[[#Headers],[State]],0)</f>
        <v>0.54</v>
      </c>
      <c r="J192" s="20" cm="1">
        <f t="array" ref="J192">Common_InputFunctions.Utility_DisplayArrayInTable(SourceData_PastureBeef.SourceData_PastureBeef_LiveweightGainNTQLD_Data(),Table_SourceData_PastureBeef_LiveweightGainNTQLD[[#Headers],[State]],0)</f>
        <v>0.45</v>
      </c>
      <c r="K192" s="20" cm="1">
        <f t="array" ref="K192">Common_InputFunctions.Utility_DisplayArrayInTable(SourceData_PastureBeef.SourceData_PastureBeef_LiveweightGainNTQLD_Data(),Table_SourceData_PastureBeef_LiveweightGainNTQLD[[#Headers],[State]],0)</f>
        <v>0.35</v>
      </c>
      <c r="L192" s="20" cm="1">
        <f t="array" ref="L192">Common_InputFunctions.Utility_DisplayArrayInTable(SourceData_PastureBeef.SourceData_PastureBeef_LiveweightGainNTQLD_Data(),Table_SourceData_PastureBeef_LiveweightGainNTQLD[[#Headers],[State]],0)</f>
        <v>0.15</v>
      </c>
      <c r="M192" s="20" cm="1">
        <f t="array" ref="M192">Common_InputFunctions.Utility_DisplayArrayInTable(SourceData_PastureBeef.SourceData_PastureBeef_LiveweightGainNTQLD_Data(),Table_SourceData_PastureBeef_LiveweightGainNTQLD[[#Headers],[State]],0)</f>
        <v>0.63</v>
      </c>
      <c r="N192" s="20" cm="1">
        <f t="array" ref="N192">Common_InputFunctions.Utility_DisplayArrayInTable(SourceData_PastureBeef.SourceData_PastureBeef_LiveweightGainNTQLD_Data(),Table_SourceData_PastureBeef_LiveweightGainNTQLD[[#Headers],[State]],0)</f>
        <v>0.54</v>
      </c>
      <c r="O192" s="20" cm="1">
        <f t="array" ref="O192">Common_InputFunctions.Utility_DisplayArrayInTable(SourceData_PastureBeef.SourceData_PastureBeef_LiveweightGainNTQLD_Data(),Table_SourceData_PastureBeef_LiveweightGainNTQLD[[#Headers],[State]],0)</f>
        <v>0.42</v>
      </c>
      <c r="P192" s="20" cm="1">
        <f t="array" ref="P192">Common_InputFunctions.Utility_DisplayArrayInTable(SourceData_PastureBeef.SourceData_PastureBeef_LiveweightGainNTQLD_Data(),Table_SourceData_PastureBeef_LiveweightGainNTQLD[[#Headers],[State]],0)</f>
        <v>0.26</v>
      </c>
    </row>
    <row r="193" spans="4:16" x14ac:dyDescent="0.25" ht="20" customHeight="1">
      <c r="D193" s="1" t="str" cm="1">
        <f t="array" ref="D193">Common_InputFunctions.Utility_DisplayArrayInTable(SourceData_PastureBeef.SourceData_PastureBeef_LiveweightGainNTQLD_Data(),Table_SourceData_PastureBeef_LiveweightGainNTQLD[[#Headers],[State]],0)</f>
        <v>Northern Territory</v>
      </c>
      <c r="E193" s="20" t="str" cm="1">
        <f t="array" ref="E193">Common_InputFunctions.Utility_DisplayArrayInTable(SourceData_PastureBeef.SourceData_PastureBeef_LiveweightGainNTQLD_Data(),Table_SourceData_PastureBeef_LiveweightGainNTQLD[[#Headers],[State]],0)</f>
        <v>Alice Springs</v>
      </c>
      <c r="F193" s="20" t="str" cm="1">
        <f t="array" ref="F193">Common_InputFunctions.Utility_DisplayArrayInTable(SourceData_PastureBeef.SourceData_PastureBeef_LiveweightGainNTQLD_Data(),Table_SourceData_PastureBeef_LiveweightGainNTQLD[[#Headers],[State]],0)</f>
        <v>Winter</v>
      </c>
      <c r="G193" s="20" cm="1">
        <f t="array" ref="G193">Common_InputFunctions.Utility_DisplayArrayInTable(SourceData_PastureBeef.SourceData_PastureBeef_LiveweightGainNTQLD_Data(),Table_SourceData_PastureBeef_LiveweightGainNTQLD[[#Headers],[State]],0)</f>
        <v>0.27</v>
      </c>
      <c r="H193" s="20" cm="1">
        <f t="array" ref="H193">Common_InputFunctions.Utility_DisplayArrayInTable(SourceData_PastureBeef.SourceData_PastureBeef_LiveweightGainNTQLD_Data(),Table_SourceData_PastureBeef_LiveweightGainNTQLD[[#Headers],[State]],0)</f>
        <v>-0.8</v>
      </c>
      <c r="I193" s="20" cm="1">
        <f t="array" ref="I193">Common_InputFunctions.Utility_DisplayArrayInTable(SourceData_PastureBeef.SourceData_PastureBeef_LiveweightGainNTQLD_Data(),Table_SourceData_PastureBeef_LiveweightGainNTQLD[[#Headers],[State]],0)</f>
        <v>0.22</v>
      </c>
      <c r="J193" s="20" cm="1">
        <f t="array" ref="J193">Common_InputFunctions.Utility_DisplayArrayInTable(SourceData_PastureBeef.SourceData_PastureBeef_LiveweightGainNTQLD_Data(),Table_SourceData_PastureBeef_LiveweightGainNTQLD[[#Headers],[State]],0)</f>
        <v>0.09</v>
      </c>
      <c r="K193" s="20" cm="1">
        <f t="array" ref="K193">Common_InputFunctions.Utility_DisplayArrayInTable(SourceData_PastureBeef.SourceData_PastureBeef_LiveweightGainNTQLD_Data(),Table_SourceData_PastureBeef_LiveweightGainNTQLD[[#Headers],[State]],0)</f>
        <v>0.12</v>
      </c>
      <c r="L193" s="20" cm="1">
        <f t="array" ref="L193">Common_InputFunctions.Utility_DisplayArrayInTable(SourceData_PastureBeef.SourceData_PastureBeef_LiveweightGainNTQLD_Data(),Table_SourceData_PastureBeef_LiveweightGainNTQLD[[#Headers],[State]],0)</f>
        <v>0.02</v>
      </c>
      <c r="M193" s="20" cm="1">
        <f t="array" ref="M193">Common_InputFunctions.Utility_DisplayArrayInTable(SourceData_PastureBeef.SourceData_PastureBeef_LiveweightGainNTQLD_Data(),Table_SourceData_PastureBeef_LiveweightGainNTQLD[[#Headers],[State]],0)</f>
        <v>0.25</v>
      </c>
      <c r="N193" s="20" cm="1">
        <f t="array" ref="N193">Common_InputFunctions.Utility_DisplayArrayInTable(SourceData_PastureBeef.SourceData_PastureBeef_LiveweightGainNTQLD_Data(),Table_SourceData_PastureBeef_LiveweightGainNTQLD[[#Headers],[State]],0)</f>
        <v>0.18</v>
      </c>
      <c r="O193" s="20" cm="1">
        <f t="array" ref="O193">Common_InputFunctions.Utility_DisplayArrayInTable(SourceData_PastureBeef.SourceData_PastureBeef_LiveweightGainNTQLD_Data(),Table_SourceData_PastureBeef_LiveweightGainNTQLD[[#Headers],[State]],0)</f>
        <v>0.12</v>
      </c>
      <c r="P193" s="20" cm="1">
        <f t="array" ref="P193">Common_InputFunctions.Utility_DisplayArrayInTable(SourceData_PastureBeef.SourceData_PastureBeef_LiveweightGainNTQLD_Data(),Table_SourceData_PastureBeef_LiveweightGainNTQLD[[#Headers],[State]],0)</f>
        <v>0.03</v>
      </c>
    </row>
    <row r="194" spans="4:16" x14ac:dyDescent="0.25" ht="20" customHeight="1">
      <c r="D194" s="1" t="str" cm="1">
        <f t="array" ref="D194">Common_InputFunctions.Utility_DisplayArrayInTable(SourceData_PastureBeef.SourceData_PastureBeef_LiveweightGainNTQLD_Data(),Table_SourceData_PastureBeef_LiveweightGainNTQLD[[#Headers],[State]],0)</f>
        <v>Northern Territory</v>
      </c>
      <c r="E194" s="20" t="str" cm="1">
        <f t="array" ref="E194">Common_InputFunctions.Utility_DisplayArrayInTable(SourceData_PastureBeef.SourceData_PastureBeef_LiveweightGainNTQLD_Data(),Table_SourceData_PastureBeef_LiveweightGainNTQLD[[#Headers],[State]],0)</f>
        <v>Barkly</v>
      </c>
      <c r="F194" s="20" t="str" cm="1">
        <f t="array" ref="F194">Common_InputFunctions.Utility_DisplayArrayInTable(SourceData_PastureBeef.SourceData_PastureBeef_LiveweightGainNTQLD_Data(),Table_SourceData_PastureBeef_LiveweightGainNTQLD[[#Headers],[State]],0)</f>
        <v>Spring</v>
      </c>
      <c r="G194" s="20" cm="1">
        <f t="array" ref="G194">Common_InputFunctions.Utility_DisplayArrayInTable(SourceData_PastureBeef.SourceData_PastureBeef_LiveweightGainNTQLD_Data(),Table_SourceData_PastureBeef_LiveweightGainNTQLD[[#Headers],[State]],0)</f>
        <v>0.22</v>
      </c>
      <c r="H194" s="20" cm="1">
        <f t="array" ref="H194">Common_InputFunctions.Utility_DisplayArrayInTable(SourceData_PastureBeef.SourceData_PastureBeef_LiveweightGainNTQLD_Data(),Table_SourceData_PastureBeef_LiveweightGainNTQLD[[#Headers],[State]],0)</f>
        <v>-0.44</v>
      </c>
      <c r="I194" s="20" cm="1">
        <f t="array" ref="I194">Common_InputFunctions.Utility_DisplayArrayInTable(SourceData_PastureBeef.SourceData_PastureBeef_LiveweightGainNTQLD_Data(),Table_SourceData_PastureBeef_LiveweightGainNTQLD[[#Headers],[State]],0)</f>
        <v>0.2</v>
      </c>
      <c r="J194" s="20" cm="1">
        <f t="array" ref="J194">Common_InputFunctions.Utility_DisplayArrayInTable(SourceData_PastureBeef.SourceData_PastureBeef_LiveweightGainNTQLD_Data(),Table_SourceData_PastureBeef_LiveweightGainNTQLD[[#Headers],[State]],0)</f>
        <v>0.21</v>
      </c>
      <c r="K194" s="20" cm="1">
        <f t="array" ref="K194">Common_InputFunctions.Utility_DisplayArrayInTable(SourceData_PastureBeef.SourceData_PastureBeef_LiveweightGainNTQLD_Data(),Table_SourceData_PastureBeef_LiveweightGainNTQLD[[#Headers],[State]],0)</f>
        <v>0.18</v>
      </c>
      <c r="L194" s="20" cm="1">
        <f t="array" ref="L194">Common_InputFunctions.Utility_DisplayArrayInTable(SourceData_PastureBeef.SourceData_PastureBeef_LiveweightGainNTQLD_Data(),Table_SourceData_PastureBeef_LiveweightGainNTQLD[[#Headers],[State]],0)</f>
        <v>0.01</v>
      </c>
      <c r="M194" s="20" cm="1">
        <f t="array" ref="M194">Common_InputFunctions.Utility_DisplayArrayInTable(SourceData_PastureBeef.SourceData_PastureBeef_LiveweightGainNTQLD_Data(),Table_SourceData_PastureBeef_LiveweightGainNTQLD[[#Headers],[State]],0)</f>
        <v>0.12</v>
      </c>
      <c r="N194" s="20" cm="1">
        <f t="array" ref="N194">Common_InputFunctions.Utility_DisplayArrayInTable(SourceData_PastureBeef.SourceData_PastureBeef_LiveweightGainNTQLD_Data(),Table_SourceData_PastureBeef_LiveweightGainNTQLD[[#Headers],[State]],0)</f>
        <v>0.09</v>
      </c>
      <c r="O194" s="20" t="str" cm="1">
        <f t="array" ref="O194">Common_InputFunctions.Utility_DisplayArrayInTable(SourceData_PastureBeef.SourceData_PastureBeef_LiveweightGainNTQLD_Data(),Table_SourceData_PastureBeef_LiveweightGainNTQLD[[#Headers],[State]],0)</f>
        <v>NO</v>
      </c>
      <c r="P194" s="20" t="str" cm="1">
        <f t="array" ref="P194">Common_InputFunctions.Utility_DisplayArrayInTable(SourceData_PastureBeef.SourceData_PastureBeef_LiveweightGainNTQLD_Data(),Table_SourceData_PastureBeef_LiveweightGainNTQLD[[#Headers],[State]],0)</f>
        <v>NO</v>
      </c>
    </row>
    <row r="195" spans="4:16" x14ac:dyDescent="0.25" ht="20" customHeight="1">
      <c r="D195" s="1" t="str" cm="1">
        <f t="array" ref="D195">Common_InputFunctions.Utility_DisplayArrayInTable(SourceData_PastureBeef.SourceData_PastureBeef_LiveweightGainNTQLD_Data(),Table_SourceData_PastureBeef_LiveweightGainNTQLD[[#Headers],[State]],0)</f>
        <v>Northern Territory</v>
      </c>
      <c r="E195" s="20" t="str" cm="1">
        <f t="array" ref="E195">Common_InputFunctions.Utility_DisplayArrayInTable(SourceData_PastureBeef.SourceData_PastureBeef_LiveweightGainNTQLD_Data(),Table_SourceData_PastureBeef_LiveweightGainNTQLD[[#Headers],[State]],0)</f>
        <v>Barkly</v>
      </c>
      <c r="F195" s="20" t="str" cm="1">
        <f t="array" ref="F195">Common_InputFunctions.Utility_DisplayArrayInTable(SourceData_PastureBeef.SourceData_PastureBeef_LiveweightGainNTQLD_Data(),Table_SourceData_PastureBeef_LiveweightGainNTQLD[[#Headers],[State]],0)</f>
        <v>Summer</v>
      </c>
      <c r="G195" s="20" cm="1">
        <f t="array" ref="G195">Common_InputFunctions.Utility_DisplayArrayInTable(SourceData_PastureBeef.SourceData_PastureBeef_LiveweightGainNTQLD_Data(),Table_SourceData_PastureBeef_LiveweightGainNTQLD[[#Headers],[State]],0)</f>
        <v>0.66</v>
      </c>
      <c r="H195" s="20" cm="1">
        <f t="array" ref="H195">Common_InputFunctions.Utility_DisplayArrayInTable(SourceData_PastureBeef.SourceData_PastureBeef_LiveweightGainNTQLD_Data(),Table_SourceData_PastureBeef_LiveweightGainNTQLD[[#Headers],[State]],0)</f>
        <v>0.22</v>
      </c>
      <c r="I195" s="20" cm="1">
        <f t="array" ref="I195">Common_InputFunctions.Utility_DisplayArrayInTable(SourceData_PastureBeef.SourceData_PastureBeef_LiveweightGainNTQLD_Data(),Table_SourceData_PastureBeef_LiveweightGainNTQLD[[#Headers],[State]],0)</f>
        <v>0.68</v>
      </c>
      <c r="J195" s="20" cm="1">
        <f t="array" ref="J195">Common_InputFunctions.Utility_DisplayArrayInTable(SourceData_PastureBeef.SourceData_PastureBeef_LiveweightGainNTQLD_Data(),Table_SourceData_PastureBeef_LiveweightGainNTQLD[[#Headers],[State]],0)</f>
        <v>0.22</v>
      </c>
      <c r="K195" s="20" cm="1">
        <f t="array" ref="K195">Common_InputFunctions.Utility_DisplayArrayInTable(SourceData_PastureBeef.SourceData_PastureBeef_LiveweightGainNTQLD_Data(),Table_SourceData_PastureBeef_LiveweightGainNTQLD[[#Headers],[State]],0)</f>
        <v>0.24</v>
      </c>
      <c r="L195" s="20" cm="1">
        <f t="array" ref="L195">Common_InputFunctions.Utility_DisplayArrayInTable(SourceData_PastureBeef.SourceData_PastureBeef_LiveweightGainNTQLD_Data(),Table_SourceData_PastureBeef_LiveweightGainNTQLD[[#Headers],[State]],0)</f>
        <v>0.25</v>
      </c>
      <c r="M195" s="20" cm="1">
        <f t="array" ref="M195">Common_InputFunctions.Utility_DisplayArrayInTable(SourceData_PastureBeef.SourceData_PastureBeef_LiveweightGainNTQLD_Data(),Table_SourceData_PastureBeef_LiveweightGainNTQLD[[#Headers],[State]],0)</f>
        <v>0.64</v>
      </c>
      <c r="N195" s="20" cm="1">
        <f t="array" ref="N195">Common_InputFunctions.Utility_DisplayArrayInTable(SourceData_PastureBeef.SourceData_PastureBeef_LiveweightGainNTQLD_Data(),Table_SourceData_PastureBeef_LiveweightGainNTQLD[[#Headers],[State]],0)</f>
        <v>0.37</v>
      </c>
      <c r="O195" s="20" t="str" cm="1">
        <f t="array" ref="O195">Common_InputFunctions.Utility_DisplayArrayInTable(SourceData_PastureBeef.SourceData_PastureBeef_LiveweightGainNTQLD_Data(),Table_SourceData_PastureBeef_LiveweightGainNTQLD[[#Headers],[State]],0)</f>
        <v>NO</v>
      </c>
      <c r="P195" s="20" t="str" cm="1">
        <f t="array" ref="P195">Common_InputFunctions.Utility_DisplayArrayInTable(SourceData_PastureBeef.SourceData_PastureBeef_LiveweightGainNTQLD_Data(),Table_SourceData_PastureBeef_LiveweightGainNTQLD[[#Headers],[State]],0)</f>
        <v>NO</v>
      </c>
    </row>
    <row r="196" spans="4:16" x14ac:dyDescent="0.25" ht="20" customHeight="1">
      <c r="D196" s="1" t="str" cm="1">
        <f t="array" ref="D196">Common_InputFunctions.Utility_DisplayArrayInTable(SourceData_PastureBeef.SourceData_PastureBeef_LiveweightGainNTQLD_Data(),Table_SourceData_PastureBeef_LiveweightGainNTQLD[[#Headers],[State]],0)</f>
        <v>Northern Territory</v>
      </c>
      <c r="E196" s="20" t="str" cm="1">
        <f t="array" ref="E196">Common_InputFunctions.Utility_DisplayArrayInTable(SourceData_PastureBeef.SourceData_PastureBeef_LiveweightGainNTQLD_Data(),Table_SourceData_PastureBeef_LiveweightGainNTQLD[[#Headers],[State]],0)</f>
        <v>Barkly</v>
      </c>
      <c r="F196" s="20" t="str" cm="1">
        <f t="array" ref="F196">Common_InputFunctions.Utility_DisplayArrayInTable(SourceData_PastureBeef.SourceData_PastureBeef_LiveweightGainNTQLD_Data(),Table_SourceData_PastureBeef_LiveweightGainNTQLD[[#Headers],[State]],0)</f>
        <v>Autumn</v>
      </c>
      <c r="G196" s="20" cm="1">
        <f t="array" ref="G196">Common_InputFunctions.Utility_DisplayArrayInTable(SourceData_PastureBeef.SourceData_PastureBeef_LiveweightGainNTQLD_Data(),Table_SourceData_PastureBeef_LiveweightGainNTQLD[[#Headers],[State]],0)</f>
        <v>0.49</v>
      </c>
      <c r="H196" s="20" cm="1">
        <f t="array" ref="H196">Common_InputFunctions.Utility_DisplayArrayInTable(SourceData_PastureBeef.SourceData_PastureBeef_LiveweightGainNTQLD_Data(),Table_SourceData_PastureBeef_LiveweightGainNTQLD[[#Headers],[State]],0)</f>
        <v>0.05</v>
      </c>
      <c r="I196" s="20" cm="1">
        <f t="array" ref="I196">Common_InputFunctions.Utility_DisplayArrayInTable(SourceData_PastureBeef.SourceData_PastureBeef_LiveweightGainNTQLD_Data(),Table_SourceData_PastureBeef_LiveweightGainNTQLD[[#Headers],[State]],0)</f>
        <v>0.64</v>
      </c>
      <c r="J196" s="20" cm="1">
        <f t="array" ref="J196">Common_InputFunctions.Utility_DisplayArrayInTable(SourceData_PastureBeef.SourceData_PastureBeef_LiveweightGainNTQLD_Data(),Table_SourceData_PastureBeef_LiveweightGainNTQLD[[#Headers],[State]],0)</f>
        <v>0.25</v>
      </c>
      <c r="K196" s="20" cm="1">
        <f t="array" ref="K196">Common_InputFunctions.Utility_DisplayArrayInTable(SourceData_PastureBeef.SourceData_PastureBeef_LiveweightGainNTQLD_Data(),Table_SourceData_PastureBeef_LiveweightGainNTQLD[[#Headers],[State]],0)</f>
        <v>0.28999999999999998</v>
      </c>
      <c r="L196" s="20" cm="1">
        <f t="array" ref="L196">Common_InputFunctions.Utility_DisplayArrayInTable(SourceData_PastureBeef.SourceData_PastureBeef_LiveweightGainNTQLD_Data(),Table_SourceData_PastureBeef_LiveweightGainNTQLD[[#Headers],[State]],0)</f>
        <v>0.12</v>
      </c>
      <c r="M196" s="20" cm="1">
        <f t="array" ref="M196">Common_InputFunctions.Utility_DisplayArrayInTable(SourceData_PastureBeef.SourceData_PastureBeef_LiveweightGainNTQLD_Data(),Table_SourceData_PastureBeef_LiveweightGainNTQLD[[#Headers],[State]],0)</f>
        <v>0.56999999999999995</v>
      </c>
      <c r="N196" s="20" cm="1">
        <f t="array" ref="N196">Common_InputFunctions.Utility_DisplayArrayInTable(SourceData_PastureBeef.SourceData_PastureBeef_LiveweightGainNTQLD_Data(),Table_SourceData_PastureBeef_LiveweightGainNTQLD[[#Headers],[State]],0)</f>
        <v>0.49</v>
      </c>
      <c r="O196" s="20" t="str" cm="1">
        <f t="array" ref="O196">Common_InputFunctions.Utility_DisplayArrayInTable(SourceData_PastureBeef.SourceData_PastureBeef_LiveweightGainNTQLD_Data(),Table_SourceData_PastureBeef_LiveweightGainNTQLD[[#Headers],[State]],0)</f>
        <v>NO</v>
      </c>
      <c r="P196" s="20" t="str" cm="1">
        <f t="array" ref="P196">Common_InputFunctions.Utility_DisplayArrayInTable(SourceData_PastureBeef.SourceData_PastureBeef_LiveweightGainNTQLD_Data(),Table_SourceData_PastureBeef_LiveweightGainNTQLD[[#Headers],[State]],0)</f>
        <v>NO</v>
      </c>
    </row>
    <row r="197" spans="4:16" x14ac:dyDescent="0.25" ht="20" customHeight="1">
      <c r="D197" s="1" t="str" cm="1">
        <f t="array" ref="D197">Common_InputFunctions.Utility_DisplayArrayInTable(SourceData_PastureBeef.SourceData_PastureBeef_LiveweightGainNTQLD_Data(),Table_SourceData_PastureBeef_LiveweightGainNTQLD[[#Headers],[State]],0)</f>
        <v>Northern Territory</v>
      </c>
      <c r="E197" s="20" t="str" cm="1">
        <f t="array" ref="E197">Common_InputFunctions.Utility_DisplayArrayInTable(SourceData_PastureBeef.SourceData_PastureBeef_LiveweightGainNTQLD_Data(),Table_SourceData_PastureBeef_LiveweightGainNTQLD[[#Headers],[State]],0)</f>
        <v>Barkly</v>
      </c>
      <c r="F197" s="20" t="str" cm="1">
        <f t="array" ref="F197">Common_InputFunctions.Utility_DisplayArrayInTable(SourceData_PastureBeef.SourceData_PastureBeef_LiveweightGainNTQLD_Data(),Table_SourceData_PastureBeef_LiveweightGainNTQLD[[#Headers],[State]],0)</f>
        <v>Winter</v>
      </c>
      <c r="G197" s="20" cm="1">
        <f t="array" ref="G197">Common_InputFunctions.Utility_DisplayArrayInTable(SourceData_PastureBeef.SourceData_PastureBeef_LiveweightGainNTQLD_Data(),Table_SourceData_PastureBeef_LiveweightGainNTQLD[[#Headers],[State]],0)</f>
        <v>0.27</v>
      </c>
      <c r="H197" s="20" cm="1">
        <f t="array" ref="H197">Common_InputFunctions.Utility_DisplayArrayInTable(SourceData_PastureBeef.SourceData_PastureBeef_LiveweightGainNTQLD_Data(),Table_SourceData_PastureBeef_LiveweightGainNTQLD[[#Headers],[State]],0)</f>
        <v>-0.27</v>
      </c>
      <c r="I197" s="20" cm="1">
        <f t="array" ref="I197">Common_InputFunctions.Utility_DisplayArrayInTable(SourceData_PastureBeef.SourceData_PastureBeef_LiveweightGainNTQLD_Data(),Table_SourceData_PastureBeef_LiveweightGainNTQLD[[#Headers],[State]],0)</f>
        <v>0.31</v>
      </c>
      <c r="J197" s="20" cm="1">
        <f t="array" ref="J197">Common_InputFunctions.Utility_DisplayArrayInTable(SourceData_PastureBeef.SourceData_PastureBeef_LiveweightGainNTQLD_Data(),Table_SourceData_PastureBeef_LiveweightGainNTQLD[[#Headers],[State]],0)</f>
        <v>0.28999999999999998</v>
      </c>
      <c r="K197" s="20" cm="1">
        <f t="array" ref="K197">Common_InputFunctions.Utility_DisplayArrayInTable(SourceData_PastureBeef.SourceData_PastureBeef_LiveweightGainNTQLD_Data(),Table_SourceData_PastureBeef_LiveweightGainNTQLD[[#Headers],[State]],0)</f>
        <v>0.19</v>
      </c>
      <c r="L197" s="20" cm="1">
        <f t="array" ref="L197">Common_InputFunctions.Utility_DisplayArrayInTable(SourceData_PastureBeef.SourceData_PastureBeef_LiveweightGainNTQLD_Data(),Table_SourceData_PastureBeef_LiveweightGainNTQLD[[#Headers],[State]],0)</f>
        <v>0.04</v>
      </c>
      <c r="M197" s="20" cm="1">
        <f t="array" ref="M197">Common_InputFunctions.Utility_DisplayArrayInTable(SourceData_PastureBeef.SourceData_PastureBeef_LiveweightGainNTQLD_Data(),Table_SourceData_PastureBeef_LiveweightGainNTQLD[[#Headers],[State]],0)</f>
        <v>0.26</v>
      </c>
      <c r="N197" s="20" cm="1">
        <f t="array" ref="N197">Common_InputFunctions.Utility_DisplayArrayInTable(SourceData_PastureBeef.SourceData_PastureBeef_LiveweightGainNTQLD_Data(),Table_SourceData_PastureBeef_LiveweightGainNTQLD[[#Headers],[State]],0)</f>
        <v>0.28000000000000003</v>
      </c>
      <c r="O197" s="20" t="str" cm="1">
        <f t="array" ref="O197">Common_InputFunctions.Utility_DisplayArrayInTable(SourceData_PastureBeef.SourceData_PastureBeef_LiveweightGainNTQLD_Data(),Table_SourceData_PastureBeef_LiveweightGainNTQLD[[#Headers],[State]],0)</f>
        <v>NO</v>
      </c>
      <c r="P197" s="20" t="str" cm="1">
        <f t="array" ref="P197">Common_InputFunctions.Utility_DisplayArrayInTable(SourceData_PastureBeef.SourceData_PastureBeef_LiveweightGainNTQLD_Data(),Table_SourceData_PastureBeef_LiveweightGainNTQLD[[#Headers],[State]],0)</f>
        <v>NO</v>
      </c>
    </row>
    <row r="198" spans="4:16" x14ac:dyDescent="0.25" ht="20" customHeight="1">
      <c r="D198" s="1" t="str" cm="1">
        <f t="array" ref="D198">Common_InputFunctions.Utility_DisplayArrayInTable(SourceData_PastureBeef.SourceData_PastureBeef_LiveweightGainNTQLD_Data(),Table_SourceData_PastureBeef_LiveweightGainNTQLD[[#Headers],[State]],0)</f>
        <v>Northern Territory</v>
      </c>
      <c r="E198" s="20" t="str" cm="1">
        <f t="array" ref="E198">Common_InputFunctions.Utility_DisplayArrayInTable(SourceData_PastureBeef.SourceData_PastureBeef_LiveweightGainNTQLD_Data(),Table_SourceData_PastureBeef_LiveweightGainNTQLD[[#Headers],[State]],0)</f>
        <v>Northern</v>
      </c>
      <c r="F198" s="20" t="str" cm="1">
        <f t="array" ref="F198">Common_InputFunctions.Utility_DisplayArrayInTable(SourceData_PastureBeef.SourceData_PastureBeef_LiveweightGainNTQLD_Data(),Table_SourceData_PastureBeef_LiveweightGainNTQLD[[#Headers],[State]],0)</f>
        <v>Spring</v>
      </c>
      <c r="G198" s="20" cm="1">
        <f t="array" ref="G198">Common_InputFunctions.Utility_DisplayArrayInTable(SourceData_PastureBeef.SourceData_PastureBeef_LiveweightGainNTQLD_Data(),Table_SourceData_PastureBeef_LiveweightGainNTQLD[[#Headers],[State]],0)</f>
        <v>0.22</v>
      </c>
      <c r="H198" s="20" cm="1">
        <f t="array" ref="H198">Common_InputFunctions.Utility_DisplayArrayInTable(SourceData_PastureBeef.SourceData_PastureBeef_LiveweightGainNTQLD_Data(),Table_SourceData_PastureBeef_LiveweightGainNTQLD[[#Headers],[State]],0)</f>
        <v>-0.44</v>
      </c>
      <c r="I198" s="20" cm="1">
        <f t="array" ref="I198">Common_InputFunctions.Utility_DisplayArrayInTable(SourceData_PastureBeef.SourceData_PastureBeef_LiveweightGainNTQLD_Data(),Table_SourceData_PastureBeef_LiveweightGainNTQLD[[#Headers],[State]],0)</f>
        <v>0</v>
      </c>
      <c r="J198" s="20" cm="1">
        <f t="array" ref="J198">Common_InputFunctions.Utility_DisplayArrayInTable(SourceData_PastureBeef.SourceData_PastureBeef_LiveweightGainNTQLD_Data(),Table_SourceData_PastureBeef_LiveweightGainNTQLD[[#Headers],[State]],0)</f>
        <v>0.15</v>
      </c>
      <c r="K198" s="20" cm="1">
        <f t="array" ref="K198">Common_InputFunctions.Utility_DisplayArrayInTable(SourceData_PastureBeef.SourceData_PastureBeef_LiveweightGainNTQLD_Data(),Table_SourceData_PastureBeef_LiveweightGainNTQLD[[#Headers],[State]],0)</f>
        <v>0.08</v>
      </c>
      <c r="L198" s="20" cm="1">
        <f t="array" ref="L198">Common_InputFunctions.Utility_DisplayArrayInTable(SourceData_PastureBeef.SourceData_PastureBeef_LiveweightGainNTQLD_Data(),Table_SourceData_PastureBeef_LiveweightGainNTQLD[[#Headers],[State]],0)</f>
        <v>0.17</v>
      </c>
      <c r="M198" s="20" cm="1">
        <f t="array" ref="M198">Common_InputFunctions.Utility_DisplayArrayInTable(SourceData_PastureBeef.SourceData_PastureBeef_LiveweightGainNTQLD_Data(),Table_SourceData_PastureBeef_LiveweightGainNTQLD[[#Headers],[State]],0)</f>
        <v>0.06</v>
      </c>
      <c r="N198" s="20" cm="1">
        <f t="array" ref="N198">Common_InputFunctions.Utility_DisplayArrayInTable(SourceData_PastureBeef.SourceData_PastureBeef_LiveweightGainNTQLD_Data(),Table_SourceData_PastureBeef_LiveweightGainNTQLD[[#Headers],[State]],0)</f>
        <v>0.02</v>
      </c>
      <c r="O198" s="20" cm="1">
        <f t="array" ref="O198">Common_InputFunctions.Utility_DisplayArrayInTable(SourceData_PastureBeef.SourceData_PastureBeef_LiveweightGainNTQLD_Data(),Table_SourceData_PastureBeef_LiveweightGainNTQLD[[#Headers],[State]],0)</f>
        <v>-0.14000000000000001</v>
      </c>
      <c r="P198" s="20" t="str" cm="1">
        <f t="array" ref="P198">Common_InputFunctions.Utility_DisplayArrayInTable(SourceData_PastureBeef.SourceData_PastureBeef_LiveweightGainNTQLD_Data(),Table_SourceData_PastureBeef_LiveweightGainNTQLD[[#Headers],[State]],0)</f>
        <v>NO</v>
      </c>
    </row>
    <row r="199" spans="4:16" x14ac:dyDescent="0.25" ht="20" customHeight="1">
      <c r="D199" s="1" t="str" cm="1">
        <f t="array" ref="D199">Common_InputFunctions.Utility_DisplayArrayInTable(SourceData_PastureBeef.SourceData_PastureBeef_LiveweightGainNTQLD_Data(),Table_SourceData_PastureBeef_LiveweightGainNTQLD[[#Headers],[State]],0)</f>
        <v>Northern Territory</v>
      </c>
      <c r="E199" s="20" t="str" cm="1">
        <f t="array" ref="E199">Common_InputFunctions.Utility_DisplayArrayInTable(SourceData_PastureBeef.SourceData_PastureBeef_LiveweightGainNTQLD_Data(),Table_SourceData_PastureBeef_LiveweightGainNTQLD[[#Headers],[State]],0)</f>
        <v>Northern</v>
      </c>
      <c r="F199" s="20" t="str" cm="1">
        <f t="array" ref="F199">Common_InputFunctions.Utility_DisplayArrayInTable(SourceData_PastureBeef.SourceData_PastureBeef_LiveweightGainNTQLD_Data(),Table_SourceData_PastureBeef_LiveweightGainNTQLD[[#Headers],[State]],0)</f>
        <v>Summer</v>
      </c>
      <c r="G199" s="20" cm="1">
        <f t="array" ref="G199">Common_InputFunctions.Utility_DisplayArrayInTable(SourceData_PastureBeef.SourceData_PastureBeef_LiveweightGainNTQLD_Data(),Table_SourceData_PastureBeef_LiveweightGainNTQLD[[#Headers],[State]],0)</f>
        <v>0.66</v>
      </c>
      <c r="H199" s="20" cm="1">
        <f t="array" ref="H199">Common_InputFunctions.Utility_DisplayArrayInTable(SourceData_PastureBeef.SourceData_PastureBeef_LiveweightGainNTQLD_Data(),Table_SourceData_PastureBeef_LiveweightGainNTQLD[[#Headers],[State]],0)</f>
        <v>0.22</v>
      </c>
      <c r="I199" s="20" cm="1">
        <f t="array" ref="I199">Common_InputFunctions.Utility_DisplayArrayInTable(SourceData_PastureBeef.SourceData_PastureBeef_LiveweightGainNTQLD_Data(),Table_SourceData_PastureBeef_LiveweightGainNTQLD[[#Headers],[State]],0)</f>
        <v>0.79</v>
      </c>
      <c r="J199" s="20" cm="1">
        <f t="array" ref="J199">Common_InputFunctions.Utility_DisplayArrayInTable(SourceData_PastureBeef.SourceData_PastureBeef_LiveweightGainNTQLD_Data(),Table_SourceData_PastureBeef_LiveweightGainNTQLD[[#Headers],[State]],0)</f>
        <v>0.4</v>
      </c>
      <c r="K199" s="20" cm="1">
        <f t="array" ref="K199">Common_InputFunctions.Utility_DisplayArrayInTable(SourceData_PastureBeef.SourceData_PastureBeef_LiveweightGainNTQLD_Data(),Table_SourceData_PastureBeef_LiveweightGainNTQLD[[#Headers],[State]],0)</f>
        <v>0.38</v>
      </c>
      <c r="L199" s="20" cm="1">
        <f t="array" ref="L199">Common_InputFunctions.Utility_DisplayArrayInTable(SourceData_PastureBeef.SourceData_PastureBeef_LiveweightGainNTQLD_Data(),Table_SourceData_PastureBeef_LiveweightGainNTQLD[[#Headers],[State]],0)</f>
        <v>0.27</v>
      </c>
      <c r="M199" s="20" cm="1">
        <f t="array" ref="M199">Common_InputFunctions.Utility_DisplayArrayInTable(SourceData_PastureBeef.SourceData_PastureBeef_LiveweightGainNTQLD_Data(),Table_SourceData_PastureBeef_LiveweightGainNTQLD[[#Headers],[State]],0)</f>
        <v>0.8</v>
      </c>
      <c r="N199" s="20" cm="1">
        <f t="array" ref="N199">Common_InputFunctions.Utility_DisplayArrayInTable(SourceData_PastureBeef.SourceData_PastureBeef_LiveweightGainNTQLD_Data(),Table_SourceData_PastureBeef_LiveweightGainNTQLD[[#Headers],[State]],0)</f>
        <v>0.16</v>
      </c>
      <c r="O199" s="20" cm="1">
        <f t="array" ref="O199">Common_InputFunctions.Utility_DisplayArrayInTable(SourceData_PastureBeef.SourceData_PastureBeef_LiveweightGainNTQLD_Data(),Table_SourceData_PastureBeef_LiveweightGainNTQLD[[#Headers],[State]],0)</f>
        <v>0.3</v>
      </c>
      <c r="P199" s="20" t="str" cm="1">
        <f t="array" ref="P199">Common_InputFunctions.Utility_DisplayArrayInTable(SourceData_PastureBeef.SourceData_PastureBeef_LiveweightGainNTQLD_Data(),Table_SourceData_PastureBeef_LiveweightGainNTQLD[[#Headers],[State]],0)</f>
        <v>NO</v>
      </c>
    </row>
    <row r="200" spans="4:16" x14ac:dyDescent="0.25" ht="20" customHeight="1">
      <c r="D200" s="1" t="str" cm="1">
        <f t="array" ref="D200">Common_InputFunctions.Utility_DisplayArrayInTable(SourceData_PastureBeef.SourceData_PastureBeef_LiveweightGainNTQLD_Data(),Table_SourceData_PastureBeef_LiveweightGainNTQLD[[#Headers],[State]],0)</f>
        <v>Northern Territory</v>
      </c>
      <c r="E200" s="20" t="str" cm="1">
        <f t="array" ref="E200">Common_InputFunctions.Utility_DisplayArrayInTable(SourceData_PastureBeef.SourceData_PastureBeef_LiveweightGainNTQLD_Data(),Table_SourceData_PastureBeef_LiveweightGainNTQLD[[#Headers],[State]],0)</f>
        <v>Northern</v>
      </c>
      <c r="F200" s="20" t="str" cm="1">
        <f t="array" ref="F200">Common_InputFunctions.Utility_DisplayArrayInTable(SourceData_PastureBeef.SourceData_PastureBeef_LiveweightGainNTQLD_Data(),Table_SourceData_PastureBeef_LiveweightGainNTQLD[[#Headers],[State]],0)</f>
        <v>Autumn</v>
      </c>
      <c r="G200" s="20" cm="1">
        <f t="array" ref="G200">Common_InputFunctions.Utility_DisplayArrayInTable(SourceData_PastureBeef.SourceData_PastureBeef_LiveweightGainNTQLD_Data(),Table_SourceData_PastureBeef_LiveweightGainNTQLD[[#Headers],[State]],0)</f>
        <v>0.49</v>
      </c>
      <c r="H200" s="20" cm="1">
        <f t="array" ref="H200">Common_InputFunctions.Utility_DisplayArrayInTable(SourceData_PastureBeef.SourceData_PastureBeef_LiveweightGainNTQLD_Data(),Table_SourceData_PastureBeef_LiveweightGainNTQLD[[#Headers],[State]],0)</f>
        <v>0.05</v>
      </c>
      <c r="I200" s="20" cm="1">
        <f t="array" ref="I200">Common_InputFunctions.Utility_DisplayArrayInTable(SourceData_PastureBeef.SourceData_PastureBeef_LiveweightGainNTQLD_Data(),Table_SourceData_PastureBeef_LiveweightGainNTQLD[[#Headers],[State]],0)</f>
        <v>0.55000000000000004</v>
      </c>
      <c r="J200" s="20" cm="1">
        <f t="array" ref="J200">Common_InputFunctions.Utility_DisplayArrayInTable(SourceData_PastureBeef.SourceData_PastureBeef_LiveweightGainNTQLD_Data(),Table_SourceData_PastureBeef_LiveweightGainNTQLD[[#Headers],[State]],0)</f>
        <v>0.38</v>
      </c>
      <c r="K200" s="20" cm="1">
        <f t="array" ref="K200">Common_InputFunctions.Utility_DisplayArrayInTable(SourceData_PastureBeef.SourceData_PastureBeef_LiveweightGainNTQLD_Data(),Table_SourceData_PastureBeef_LiveweightGainNTQLD[[#Headers],[State]],0)</f>
        <v>0.36</v>
      </c>
      <c r="L200" s="20" cm="1">
        <f t="array" ref="L200">Common_InputFunctions.Utility_DisplayArrayInTable(SourceData_PastureBeef.SourceData_PastureBeef_LiveweightGainNTQLD_Data(),Table_SourceData_PastureBeef_LiveweightGainNTQLD[[#Headers],[State]],0)</f>
        <v>0.06</v>
      </c>
      <c r="M200" s="20" cm="1">
        <f t="array" ref="M200">Common_InputFunctions.Utility_DisplayArrayInTable(SourceData_PastureBeef.SourceData_PastureBeef_LiveweightGainNTQLD_Data(),Table_SourceData_PastureBeef_LiveweightGainNTQLD[[#Headers],[State]],0)</f>
        <v>0.57999999999999996</v>
      </c>
      <c r="N200" s="20" cm="1">
        <f t="array" ref="N200">Common_InputFunctions.Utility_DisplayArrayInTable(SourceData_PastureBeef.SourceData_PastureBeef_LiveweightGainNTQLD_Data(),Table_SourceData_PastureBeef_LiveweightGainNTQLD[[#Headers],[State]],0)</f>
        <v>0.23</v>
      </c>
      <c r="O200" s="20" cm="1">
        <f t="array" ref="O200">Common_InputFunctions.Utility_DisplayArrayInTable(SourceData_PastureBeef.SourceData_PastureBeef_LiveweightGainNTQLD_Data(),Table_SourceData_PastureBeef_LiveweightGainNTQLD[[#Headers],[State]],0)</f>
        <v>0.4</v>
      </c>
      <c r="P200" s="20" t="str" cm="1">
        <f t="array" ref="P200">Common_InputFunctions.Utility_DisplayArrayInTable(SourceData_PastureBeef.SourceData_PastureBeef_LiveweightGainNTQLD_Data(),Table_SourceData_PastureBeef_LiveweightGainNTQLD[[#Headers],[State]],0)</f>
        <v>NO</v>
      </c>
    </row>
    <row r="201" spans="4:16" x14ac:dyDescent="0.25" ht="20" customHeight="1">
      <c r="D201" s="1" t="str" cm="1">
        <f t="array" ref="D201">Common_InputFunctions.Utility_DisplayArrayInTable(SourceData_PastureBeef.SourceData_PastureBeef_LiveweightGainNTQLD_Data(),Table_SourceData_PastureBeef_LiveweightGainNTQLD[[#Headers],[State]],0)</f>
        <v>Northern Territory</v>
      </c>
      <c r="E201" s="20" t="str" cm="1">
        <f t="array" ref="E201">Common_InputFunctions.Utility_DisplayArrayInTable(SourceData_PastureBeef.SourceData_PastureBeef_LiveweightGainNTQLD_Data(),Table_SourceData_PastureBeef_LiveweightGainNTQLD[[#Headers],[State]],0)</f>
        <v>Northern</v>
      </c>
      <c r="F201" s="20" t="str" cm="1">
        <f t="array" ref="F201">Common_InputFunctions.Utility_DisplayArrayInTable(SourceData_PastureBeef.SourceData_PastureBeef_LiveweightGainNTQLD_Data(),Table_SourceData_PastureBeef_LiveweightGainNTQLD[[#Headers],[State]],0)</f>
        <v>Winter</v>
      </c>
      <c r="G201" s="20" cm="1">
        <f t="array" ref="G201">Common_InputFunctions.Utility_DisplayArrayInTable(SourceData_PastureBeef.SourceData_PastureBeef_LiveweightGainNTQLD_Data(),Table_SourceData_PastureBeef_LiveweightGainNTQLD[[#Headers],[State]],0)</f>
        <v>0.27</v>
      </c>
      <c r="H201" s="20" cm="1">
        <f t="array" ref="H201">Common_InputFunctions.Utility_DisplayArrayInTable(SourceData_PastureBeef.SourceData_PastureBeef_LiveweightGainNTQLD_Data(),Table_SourceData_PastureBeef_LiveweightGainNTQLD[[#Headers],[State]],0)</f>
        <v>-0.27</v>
      </c>
      <c r="I201" s="20" cm="1">
        <f t="array" ref="I201">Common_InputFunctions.Utility_DisplayArrayInTable(SourceData_PastureBeef.SourceData_PastureBeef_LiveweightGainNTQLD_Data(),Table_SourceData_PastureBeef_LiveweightGainNTQLD[[#Headers],[State]],0)</f>
        <v>0.02</v>
      </c>
      <c r="J201" s="20" cm="1">
        <f t="array" ref="J201">Common_InputFunctions.Utility_DisplayArrayInTable(SourceData_PastureBeef.SourceData_PastureBeef_LiveweightGainNTQLD_Data(),Table_SourceData_PastureBeef_LiveweightGainNTQLD[[#Headers],[State]],0)</f>
        <v>0.09</v>
      </c>
      <c r="K201" s="20" cm="1">
        <f t="array" ref="K201">Common_InputFunctions.Utility_DisplayArrayInTable(SourceData_PastureBeef.SourceData_PastureBeef_LiveweightGainNTQLD_Data(),Table_SourceData_PastureBeef_LiveweightGainNTQLD[[#Headers],[State]],0)</f>
        <v>0.16</v>
      </c>
      <c r="L201" s="20" cm="1">
        <f t="array" ref="L201">Common_InputFunctions.Utility_DisplayArrayInTable(SourceData_PastureBeef.SourceData_PastureBeef_LiveweightGainNTQLD_Data(),Table_SourceData_PastureBeef_LiveweightGainNTQLD[[#Headers],[State]],0)</f>
        <v>-0.04</v>
      </c>
      <c r="M201" s="20" cm="1">
        <f t="array" ref="M201">Common_InputFunctions.Utility_DisplayArrayInTable(SourceData_PastureBeef.SourceData_PastureBeef_LiveweightGainNTQLD_Data(),Table_SourceData_PastureBeef_LiveweightGainNTQLD[[#Headers],[State]],0)</f>
        <v>0.21</v>
      </c>
      <c r="N201" s="20" cm="1">
        <f t="array" ref="N201">Common_InputFunctions.Utility_DisplayArrayInTable(SourceData_PastureBeef.SourceData_PastureBeef_LiveweightGainNTQLD_Data(),Table_SourceData_PastureBeef_LiveweightGainNTQLD[[#Headers],[State]],0)</f>
        <v>0.03</v>
      </c>
      <c r="O201" s="20" cm="1">
        <f t="array" ref="O201">Common_InputFunctions.Utility_DisplayArrayInTable(SourceData_PastureBeef.SourceData_PastureBeef_LiveweightGainNTQLD_Data(),Table_SourceData_PastureBeef_LiveweightGainNTQLD[[#Headers],[State]],0)</f>
        <v>0.11</v>
      </c>
      <c r="P201" s="20" t="str" cm="1">
        <f t="array" ref="P201">Common_InputFunctions.Utility_DisplayArrayInTable(SourceData_PastureBeef.SourceData_PastureBeef_LiveweightGainNTQLD_Data(),Table_SourceData_PastureBeef_LiveweightGainNTQLD[[#Headers],[State]],0)</f>
        <v>NO</v>
      </c>
    </row>
    <row r="202" spans="4:16" x14ac:dyDescent="0.25" ht="20" customHeight="1">
      <c r="D202" s="1" t="str" cm="1">
        <f t="array" ref="D202">Common_InputFunctions.Utility_DisplayArrayInTable(SourceData_PastureBeef.SourceData_PastureBeef_LiveweightGainNTQLD_Data(),Table_SourceData_PastureBeef_LiveweightGainNTQLD[[#Headers],[State]],0)</f>
        <v>Queensland</v>
      </c>
      <c r="E202" s="20" t="str" cm="1">
        <f t="array" ref="E202">Common_InputFunctions.Utility_DisplayArrayInTable(SourceData_PastureBeef.SourceData_PastureBeef_LiveweightGainNTQLD_Data(),Table_SourceData_PastureBeef_LiveweightGainNTQLD[[#Headers],[State]],0)</f>
        <v>High</v>
      </c>
      <c r="F202" s="20" t="str" cm="1">
        <f t="array" ref="F202">Common_InputFunctions.Utility_DisplayArrayInTable(SourceData_PastureBeef.SourceData_PastureBeef_LiveweightGainNTQLD_Data(),Table_SourceData_PastureBeef_LiveweightGainNTQLD[[#Headers],[State]],0)</f>
        <v>Spring</v>
      </c>
      <c r="G202" s="20" cm="1">
        <f t="array" ref="G202">Common_InputFunctions.Utility_DisplayArrayInTable(SourceData_PastureBeef.SourceData_PastureBeef_LiveweightGainNTQLD_Data(),Table_SourceData_PastureBeef_LiveweightGainNTQLD[[#Headers],[State]],0)</f>
        <v>0.27</v>
      </c>
      <c r="H202" s="20" cm="1">
        <f t="array" ref="H202">Common_InputFunctions.Utility_DisplayArrayInTable(SourceData_PastureBeef.SourceData_PastureBeef_LiveweightGainNTQLD_Data(),Table_SourceData_PastureBeef_LiveweightGainNTQLD[[#Headers],[State]],0)</f>
        <v>-0.19</v>
      </c>
      <c r="I202" s="20" cm="1">
        <f t="array" ref="I202">Common_InputFunctions.Utility_DisplayArrayInTable(SourceData_PastureBeef.SourceData_PastureBeef_LiveweightGainNTQLD_Data(),Table_SourceData_PastureBeef_LiveweightGainNTQLD[[#Headers],[State]],0)</f>
        <v>0.38</v>
      </c>
      <c r="J202" s="20" cm="1">
        <f t="array" ref="J202">Common_InputFunctions.Utility_DisplayArrayInTable(SourceData_PastureBeef.SourceData_PastureBeef_LiveweightGainNTQLD_Data(),Table_SourceData_PastureBeef_LiveweightGainNTQLD[[#Headers],[State]],0)</f>
        <v>0.25</v>
      </c>
      <c r="K202" s="20" cm="1">
        <f t="array" ref="K202">Common_InputFunctions.Utility_DisplayArrayInTable(SourceData_PastureBeef.SourceData_PastureBeef_LiveweightGainNTQLD_Data(),Table_SourceData_PastureBeef_LiveweightGainNTQLD[[#Headers],[State]],0)</f>
        <v>7.0000000000000007E-2</v>
      </c>
      <c r="L202" s="20" cm="1">
        <f t="array" ref="L202">Common_InputFunctions.Utility_DisplayArrayInTable(SourceData_PastureBeef.SourceData_PastureBeef_LiveweightGainNTQLD_Data(),Table_SourceData_PastureBeef_LiveweightGainNTQLD[[#Headers],[State]],0)</f>
        <v>0.05</v>
      </c>
      <c r="M202" s="20" cm="1">
        <f t="array" ref="M202">Common_InputFunctions.Utility_DisplayArrayInTable(SourceData_PastureBeef.SourceData_PastureBeef_LiveweightGainNTQLD_Data(),Table_SourceData_PastureBeef_LiveweightGainNTQLD[[#Headers],[State]],0)</f>
        <v>0.52</v>
      </c>
      <c r="N202" s="20" cm="1">
        <f t="array" ref="N202">Common_InputFunctions.Utility_DisplayArrayInTable(SourceData_PastureBeef.SourceData_PastureBeef_LiveweightGainNTQLD_Data(),Table_SourceData_PastureBeef_LiveweightGainNTQLD[[#Headers],[State]],0)</f>
        <v>0.55000000000000004</v>
      </c>
      <c r="O202" s="20" cm="1">
        <f t="array" ref="O202">Common_InputFunctions.Utility_DisplayArrayInTable(SourceData_PastureBeef.SourceData_PastureBeef_LiveweightGainNTQLD_Data(),Table_SourceData_PastureBeef_LiveweightGainNTQLD[[#Headers],[State]],0)</f>
        <v>0.19</v>
      </c>
      <c r="P202" s="20" cm="1">
        <f t="array" ref="P202">Common_InputFunctions.Utility_DisplayArrayInTable(SourceData_PastureBeef.SourceData_PastureBeef_LiveweightGainNTQLD_Data(),Table_SourceData_PastureBeef_LiveweightGainNTQLD[[#Headers],[State]],0)</f>
        <v>0.6</v>
      </c>
    </row>
    <row r="203" spans="4:16" x14ac:dyDescent="0.25" ht="20" customHeight="1">
      <c r="D203" s="1" t="str" cm="1">
        <f t="array" ref="D203">Common_InputFunctions.Utility_DisplayArrayInTable(SourceData_PastureBeef.SourceData_PastureBeef_LiveweightGainNTQLD_Data(),Table_SourceData_PastureBeef_LiveweightGainNTQLD[[#Headers],[State]],0)</f>
        <v>Queensland</v>
      </c>
      <c r="E203" s="20" t="str" cm="1">
        <f t="array" ref="E203">Common_InputFunctions.Utility_DisplayArrayInTable(SourceData_PastureBeef.SourceData_PastureBeef_LiveweightGainNTQLD_Data(),Table_SourceData_PastureBeef_LiveweightGainNTQLD[[#Headers],[State]],0)</f>
        <v>High</v>
      </c>
      <c r="F203" s="20" t="str" cm="1">
        <f t="array" ref="F203">Common_InputFunctions.Utility_DisplayArrayInTable(SourceData_PastureBeef.SourceData_PastureBeef_LiveweightGainNTQLD_Data(),Table_SourceData_PastureBeef_LiveweightGainNTQLD[[#Headers],[State]],0)</f>
        <v>Summer</v>
      </c>
      <c r="G203" s="20" cm="1">
        <f t="array" ref="G203">Common_InputFunctions.Utility_DisplayArrayInTable(SourceData_PastureBeef.SourceData_PastureBeef_LiveweightGainNTQLD_Data(),Table_SourceData_PastureBeef_LiveweightGainNTQLD[[#Headers],[State]],0)</f>
        <v>0.16</v>
      </c>
      <c r="H203" s="20" cm="1">
        <f t="array" ref="H203">Common_InputFunctions.Utility_DisplayArrayInTable(SourceData_PastureBeef.SourceData_PastureBeef_LiveweightGainNTQLD_Data(),Table_SourceData_PastureBeef_LiveweightGainNTQLD[[#Headers],[State]],0)</f>
        <v>0.16</v>
      </c>
      <c r="I203" s="20" cm="1">
        <f t="array" ref="I203">Common_InputFunctions.Utility_DisplayArrayInTable(SourceData_PastureBeef.SourceData_PastureBeef_LiveweightGainNTQLD_Data(),Table_SourceData_PastureBeef_LiveweightGainNTQLD[[#Headers],[State]],0)</f>
        <v>0.8</v>
      </c>
      <c r="J203" s="20" cm="1">
        <f t="array" ref="J203">Common_InputFunctions.Utility_DisplayArrayInTable(SourceData_PastureBeef.SourceData_PastureBeef_LiveweightGainNTQLD_Data(),Table_SourceData_PastureBeef_LiveweightGainNTQLD[[#Headers],[State]],0)</f>
        <v>0.56999999999999995</v>
      </c>
      <c r="K203" s="20" cm="1">
        <f t="array" ref="K203">Common_InputFunctions.Utility_DisplayArrayInTable(SourceData_PastureBeef.SourceData_PastureBeef_LiveweightGainNTQLD_Data(),Table_SourceData_PastureBeef_LiveweightGainNTQLD[[#Headers],[State]],0)</f>
        <v>0.76</v>
      </c>
      <c r="L203" s="20" cm="1">
        <f t="array" ref="L203">Common_InputFunctions.Utility_DisplayArrayInTable(SourceData_PastureBeef.SourceData_PastureBeef_LiveweightGainNTQLD_Data(),Table_SourceData_PastureBeef_LiveweightGainNTQLD[[#Headers],[State]],0)</f>
        <v>0.49</v>
      </c>
      <c r="M203" s="20" cm="1">
        <f t="array" ref="M203">Common_InputFunctions.Utility_DisplayArrayInTable(SourceData_PastureBeef.SourceData_PastureBeef_LiveweightGainNTQLD_Data(),Table_SourceData_PastureBeef_LiveweightGainNTQLD[[#Headers],[State]],0)</f>
        <v>0.84</v>
      </c>
      <c r="N203" s="20" cm="1">
        <f t="array" ref="N203">Common_InputFunctions.Utility_DisplayArrayInTable(SourceData_PastureBeef.SourceData_PastureBeef_LiveweightGainNTQLD_Data(),Table_SourceData_PastureBeef_LiveweightGainNTQLD[[#Headers],[State]],0)</f>
        <v>0.51</v>
      </c>
      <c r="O203" s="20" cm="1">
        <f t="array" ref="O203">Common_InputFunctions.Utility_DisplayArrayInTable(SourceData_PastureBeef.SourceData_PastureBeef_LiveweightGainNTQLD_Data(),Table_SourceData_PastureBeef_LiveweightGainNTQLD[[#Headers],[State]],0)</f>
        <v>0.36</v>
      </c>
      <c r="P203" s="20" cm="1">
        <f t="array" ref="P203">Common_InputFunctions.Utility_DisplayArrayInTable(SourceData_PastureBeef.SourceData_PastureBeef_LiveweightGainNTQLD_Data(),Table_SourceData_PastureBeef_LiveweightGainNTQLD[[#Headers],[State]],0)</f>
        <v>0.17</v>
      </c>
    </row>
    <row r="204" spans="4:16" x14ac:dyDescent="0.25" ht="20" customHeight="1">
      <c r="D204" s="1" t="str" cm="1">
        <f t="array" ref="D204">Common_InputFunctions.Utility_DisplayArrayInTable(SourceData_PastureBeef.SourceData_PastureBeef_LiveweightGainNTQLD_Data(),Table_SourceData_PastureBeef_LiveweightGainNTQLD[[#Headers],[State]],0)</f>
        <v>Queensland</v>
      </c>
      <c r="E204" s="20" t="str" cm="1">
        <f t="array" ref="E204">Common_InputFunctions.Utility_DisplayArrayInTable(SourceData_PastureBeef.SourceData_PastureBeef_LiveweightGainNTQLD_Data(),Table_SourceData_PastureBeef_LiveweightGainNTQLD[[#Headers],[State]],0)</f>
        <v>High</v>
      </c>
      <c r="F204" s="20" t="str" cm="1">
        <f t="array" ref="F204">Common_InputFunctions.Utility_DisplayArrayInTable(SourceData_PastureBeef.SourceData_PastureBeef_LiveweightGainNTQLD_Data(),Table_SourceData_PastureBeef_LiveweightGainNTQLD[[#Headers],[State]],0)</f>
        <v>Autumn</v>
      </c>
      <c r="G204" s="20" cm="1">
        <f t="array" ref="G204">Common_InputFunctions.Utility_DisplayArrayInTable(SourceData_PastureBeef.SourceData_PastureBeef_LiveweightGainNTQLD_Data(),Table_SourceData_PastureBeef_LiveweightGainNTQLD[[#Headers],[State]],0)</f>
        <v>0.45</v>
      </c>
      <c r="H204" s="20" cm="1">
        <f t="array" ref="H204">Common_InputFunctions.Utility_DisplayArrayInTable(SourceData_PastureBeef.SourceData_PastureBeef_LiveweightGainNTQLD_Data(),Table_SourceData_PastureBeef_LiveweightGainNTQLD[[#Headers],[State]],0)</f>
        <v>0.1</v>
      </c>
      <c r="I204" s="20" cm="1">
        <f t="array" ref="I204">Common_InputFunctions.Utility_DisplayArrayInTable(SourceData_PastureBeef.SourceData_PastureBeef_LiveweightGainNTQLD_Data(),Table_SourceData_PastureBeef_LiveweightGainNTQLD[[#Headers],[State]],0)</f>
        <v>0.49</v>
      </c>
      <c r="J204" s="20" cm="1">
        <f t="array" ref="J204">Common_InputFunctions.Utility_DisplayArrayInTable(SourceData_PastureBeef.SourceData_PastureBeef_LiveweightGainNTQLD_Data(),Table_SourceData_PastureBeef_LiveweightGainNTQLD[[#Headers],[State]],0)</f>
        <v>0.41</v>
      </c>
      <c r="K204" s="20" cm="1">
        <f t="array" ref="K204">Common_InputFunctions.Utility_DisplayArrayInTable(SourceData_PastureBeef.SourceData_PastureBeef_LiveweightGainNTQLD_Data(),Table_SourceData_PastureBeef_LiveweightGainNTQLD[[#Headers],[State]],0)</f>
        <v>0.4</v>
      </c>
      <c r="L204" s="20" cm="1">
        <f t="array" ref="L204">Common_InputFunctions.Utility_DisplayArrayInTable(SourceData_PastureBeef.SourceData_PastureBeef_LiveweightGainNTQLD_Data(),Table_SourceData_PastureBeef_LiveweightGainNTQLD[[#Headers],[State]],0)</f>
        <v>0.17</v>
      </c>
      <c r="M204" s="20" cm="1">
        <f t="array" ref="M204">Common_InputFunctions.Utility_DisplayArrayInTable(SourceData_PastureBeef.SourceData_PastureBeef_LiveweightGainNTQLD_Data(),Table_SourceData_PastureBeef_LiveweightGainNTQLD[[#Headers],[State]],0)</f>
        <v>0.54</v>
      </c>
      <c r="N204" s="20" cm="1">
        <f t="array" ref="N204">Common_InputFunctions.Utility_DisplayArrayInTable(SourceData_PastureBeef.SourceData_PastureBeef_LiveweightGainNTQLD_Data(),Table_SourceData_PastureBeef_LiveweightGainNTQLD[[#Headers],[State]],0)</f>
        <v>0.64</v>
      </c>
      <c r="O204" s="20" cm="1">
        <f t="array" ref="O204">Common_InputFunctions.Utility_DisplayArrayInTable(SourceData_PastureBeef.SourceData_PastureBeef_LiveweightGainNTQLD_Data(),Table_SourceData_PastureBeef_LiveweightGainNTQLD[[#Headers],[State]],0)</f>
        <v>-0.05</v>
      </c>
      <c r="P204" s="20" cm="1">
        <f t="array" ref="P204">Common_InputFunctions.Utility_DisplayArrayInTable(SourceData_PastureBeef.SourceData_PastureBeef_LiveweightGainNTQLD_Data(),Table_SourceData_PastureBeef_LiveweightGainNTQLD[[#Headers],[State]],0)</f>
        <v>0.32</v>
      </c>
    </row>
    <row r="205" spans="4:16" x14ac:dyDescent="0.25" ht="20" customHeight="1">
      <c r="D205" s="1" t="str" cm="1">
        <f t="array" ref="D205">Common_InputFunctions.Utility_DisplayArrayInTable(SourceData_PastureBeef.SourceData_PastureBeef_LiveweightGainNTQLD_Data(),Table_SourceData_PastureBeef_LiveweightGainNTQLD[[#Headers],[State]],0)</f>
        <v>Queensland</v>
      </c>
      <c r="E205" s="20" t="str" cm="1">
        <f t="array" ref="E205">Common_InputFunctions.Utility_DisplayArrayInTable(SourceData_PastureBeef.SourceData_PastureBeef_LiveweightGainNTQLD_Data(),Table_SourceData_PastureBeef_LiveweightGainNTQLD[[#Headers],[State]],0)</f>
        <v>High</v>
      </c>
      <c r="F205" s="20" t="str" cm="1">
        <f t="array" ref="F205">Common_InputFunctions.Utility_DisplayArrayInTable(SourceData_PastureBeef.SourceData_PastureBeef_LiveweightGainNTQLD_Data(),Table_SourceData_PastureBeef_LiveweightGainNTQLD[[#Headers],[State]],0)</f>
        <v>Winter</v>
      </c>
      <c r="G205" s="20" cm="1">
        <f t="array" ref="G205">Common_InputFunctions.Utility_DisplayArrayInTable(SourceData_PastureBeef.SourceData_PastureBeef_LiveweightGainNTQLD_Data(),Table_SourceData_PastureBeef_LiveweightGainNTQLD[[#Headers],[State]],0)</f>
        <v>0.51</v>
      </c>
      <c r="H205" s="20" cm="1">
        <f t="array" ref="H205">Common_InputFunctions.Utility_DisplayArrayInTable(SourceData_PastureBeef.SourceData_PastureBeef_LiveweightGainNTQLD_Data(),Table_SourceData_PastureBeef_LiveweightGainNTQLD[[#Headers],[State]],0)</f>
        <v>-7.0000000000000007E-2</v>
      </c>
      <c r="I205" s="20" cm="1">
        <f t="array" ref="I205">Common_InputFunctions.Utility_DisplayArrayInTable(SourceData_PastureBeef.SourceData_PastureBeef_LiveweightGainNTQLD_Data(),Table_SourceData_PastureBeef_LiveweightGainNTQLD[[#Headers],[State]],0)</f>
        <v>0.13</v>
      </c>
      <c r="J205" s="20" cm="1">
        <f t="array" ref="J205">Common_InputFunctions.Utility_DisplayArrayInTable(SourceData_PastureBeef.SourceData_PastureBeef_LiveweightGainNTQLD_Data(),Table_SourceData_PastureBeef_LiveweightGainNTQLD[[#Headers],[State]],0)</f>
        <v>-0.09</v>
      </c>
      <c r="K205" s="20" cm="1">
        <f t="array" ref="K205">Common_InputFunctions.Utility_DisplayArrayInTable(SourceData_PastureBeef.SourceData_PastureBeef_LiveweightGainNTQLD_Data(),Table_SourceData_PastureBeef_LiveweightGainNTQLD[[#Headers],[State]],0)</f>
        <v>-0.13</v>
      </c>
      <c r="L205" s="20" cm="1">
        <f t="array" ref="L205">Common_InputFunctions.Utility_DisplayArrayInTable(SourceData_PastureBeef.SourceData_PastureBeef_LiveweightGainNTQLD_Data(),Table_SourceData_PastureBeef_LiveweightGainNTQLD[[#Headers],[State]],0)</f>
        <v>7.0000000000000007E-2</v>
      </c>
      <c r="M205" s="20" cm="1">
        <f t="array" ref="M205">Common_InputFunctions.Utility_DisplayArrayInTable(SourceData_PastureBeef.SourceData_PastureBeef_LiveweightGainNTQLD_Data(),Table_SourceData_PastureBeef_LiveweightGainNTQLD[[#Headers],[State]],0)</f>
        <v>0.25</v>
      </c>
      <c r="N205" s="20" cm="1">
        <f t="array" ref="N205">Common_InputFunctions.Utility_DisplayArrayInTable(SourceData_PastureBeef.SourceData_PastureBeef_LiveweightGainNTQLD_Data(),Table_SourceData_PastureBeef_LiveweightGainNTQLD[[#Headers],[State]],0)</f>
        <v>0.71</v>
      </c>
      <c r="O205" s="20" cm="1">
        <f t="array" ref="O205">Common_InputFunctions.Utility_DisplayArrayInTable(SourceData_PastureBeef.SourceData_PastureBeef_LiveweightGainNTQLD_Data(),Table_SourceData_PastureBeef_LiveweightGainNTQLD[[#Headers],[State]],0)</f>
        <v>0.17</v>
      </c>
      <c r="P205" s="20" cm="1">
        <f t="array" ref="P205">Common_InputFunctions.Utility_DisplayArrayInTable(SourceData_PastureBeef.SourceData_PastureBeef_LiveweightGainNTQLD_Data(),Table_SourceData_PastureBeef_LiveweightGainNTQLD[[#Headers],[State]],0)</f>
        <v>0.43</v>
      </c>
    </row>
    <row r="206" spans="4:16" x14ac:dyDescent="0.25" ht="20" customHeight="1">
      <c r="D206" s="1" t="str" cm="1">
        <f t="array" ref="D206">Common_InputFunctions.Utility_DisplayArrayInTable(SourceData_PastureBeef.SourceData_PastureBeef_LiveweightGainNTQLD_Data(),Table_SourceData_PastureBeef_LiveweightGainNTQLD[[#Headers],[State]],0)</f>
        <v>Queensland</v>
      </c>
      <c r="E206" s="20" t="str" cm="1">
        <f t="array" ref="E206">Common_InputFunctions.Utility_DisplayArrayInTable(SourceData_PastureBeef.SourceData_PastureBeef_LiveweightGainNTQLD_Data(),Table_SourceData_PastureBeef_LiveweightGainNTQLD[[#Headers],[State]],0)</f>
        <v>Moderate/High</v>
      </c>
      <c r="F206" s="20" t="str" cm="1">
        <f t="array" ref="F206">Common_InputFunctions.Utility_DisplayArrayInTable(SourceData_PastureBeef.SourceData_PastureBeef_LiveweightGainNTQLD_Data(),Table_SourceData_PastureBeef_LiveweightGainNTQLD[[#Headers],[State]],0)</f>
        <v>Spring</v>
      </c>
      <c r="G206" s="20" cm="1">
        <f t="array" ref="G206">Common_InputFunctions.Utility_DisplayArrayInTable(SourceData_PastureBeef.SourceData_PastureBeef_LiveweightGainNTQLD_Data(),Table_SourceData_PastureBeef_LiveweightGainNTQLD[[#Headers],[State]],0)</f>
        <v>-0.12</v>
      </c>
      <c r="H206" s="20" cm="1">
        <f t="array" ref="H206">Common_InputFunctions.Utility_DisplayArrayInTable(SourceData_PastureBeef.SourceData_PastureBeef_LiveweightGainNTQLD_Data(),Table_SourceData_PastureBeef_LiveweightGainNTQLD[[#Headers],[State]],0)</f>
        <v>-0.19</v>
      </c>
      <c r="I206" s="20" cm="1">
        <f t="array" ref="I206">Common_InputFunctions.Utility_DisplayArrayInTable(SourceData_PastureBeef.SourceData_PastureBeef_LiveweightGainNTQLD_Data(),Table_SourceData_PastureBeef_LiveweightGainNTQLD[[#Headers],[State]],0)</f>
        <v>0.41</v>
      </c>
      <c r="J206" s="20" cm="1">
        <f t="array" ref="J206">Common_InputFunctions.Utility_DisplayArrayInTable(SourceData_PastureBeef.SourceData_PastureBeef_LiveweightGainNTQLD_Data(),Table_SourceData_PastureBeef_LiveweightGainNTQLD[[#Headers],[State]],0)</f>
        <v>0.09</v>
      </c>
      <c r="K206" s="20" cm="1">
        <f t="array" ref="K206">Common_InputFunctions.Utility_DisplayArrayInTable(SourceData_PastureBeef.SourceData_PastureBeef_LiveweightGainNTQLD_Data(),Table_SourceData_PastureBeef_LiveweightGainNTQLD[[#Headers],[State]],0)</f>
        <v>0.41</v>
      </c>
      <c r="L206" s="20" cm="1">
        <f t="array" ref="L206">Common_InputFunctions.Utility_DisplayArrayInTable(SourceData_PastureBeef.SourceData_PastureBeef_LiveweightGainNTQLD_Data(),Table_SourceData_PastureBeef_LiveweightGainNTQLD[[#Headers],[State]],0)</f>
        <v>-0.19</v>
      </c>
      <c r="M206" s="20" cm="1">
        <f t="array" ref="M206">Common_InputFunctions.Utility_DisplayArrayInTable(SourceData_PastureBeef.SourceData_PastureBeef_LiveweightGainNTQLD_Data(),Table_SourceData_PastureBeef_LiveweightGainNTQLD[[#Headers],[State]],0)</f>
        <v>7.0000000000000007E-2</v>
      </c>
      <c r="N206" s="20" cm="1">
        <f t="array" ref="N206">Common_InputFunctions.Utility_DisplayArrayInTable(SourceData_PastureBeef.SourceData_PastureBeef_LiveweightGainNTQLD_Data(),Table_SourceData_PastureBeef_LiveweightGainNTQLD[[#Headers],[State]],0)</f>
        <v>1.07</v>
      </c>
      <c r="O206" s="20" cm="1">
        <f t="array" ref="O206">Common_InputFunctions.Utility_DisplayArrayInTable(SourceData_PastureBeef.SourceData_PastureBeef_LiveweightGainNTQLD_Data(),Table_SourceData_PastureBeef_LiveweightGainNTQLD[[#Headers],[State]],0)</f>
        <v>-0.08</v>
      </c>
      <c r="P206" s="20" cm="1">
        <f t="array" ref="P206">Common_InputFunctions.Utility_DisplayArrayInTable(SourceData_PastureBeef.SourceData_PastureBeef_LiveweightGainNTQLD_Data(),Table_SourceData_PastureBeef_LiveweightGainNTQLD[[#Headers],[State]],0)</f>
        <v>0</v>
      </c>
    </row>
    <row r="207" spans="4:16" x14ac:dyDescent="0.25" ht="20" customHeight="1">
      <c r="D207" s="1" t="str" cm="1">
        <f t="array" ref="D207">Common_InputFunctions.Utility_DisplayArrayInTable(SourceData_PastureBeef.SourceData_PastureBeef_LiveweightGainNTQLD_Data(),Table_SourceData_PastureBeef_LiveweightGainNTQLD[[#Headers],[State]],0)</f>
        <v>Queensland</v>
      </c>
      <c r="E207" s="20" t="str" cm="1">
        <f t="array" ref="E207">Common_InputFunctions.Utility_DisplayArrayInTable(SourceData_PastureBeef.SourceData_PastureBeef_LiveweightGainNTQLD_Data(),Table_SourceData_PastureBeef_LiveweightGainNTQLD[[#Headers],[State]],0)</f>
        <v>Moderate/High</v>
      </c>
      <c r="F207" s="20" t="str" cm="1">
        <f t="array" ref="F207">Common_InputFunctions.Utility_DisplayArrayInTable(SourceData_PastureBeef.SourceData_PastureBeef_LiveweightGainNTQLD_Data(),Table_SourceData_PastureBeef_LiveweightGainNTQLD[[#Headers],[State]],0)</f>
        <v>Summer</v>
      </c>
      <c r="G207" s="20" cm="1">
        <f t="array" ref="G207">Common_InputFunctions.Utility_DisplayArrayInTable(SourceData_PastureBeef.SourceData_PastureBeef_LiveweightGainNTQLD_Data(),Table_SourceData_PastureBeef_LiveweightGainNTQLD[[#Headers],[State]],0)</f>
        <v>0.65</v>
      </c>
      <c r="H207" s="20" cm="1">
        <f t="array" ref="H207">Common_InputFunctions.Utility_DisplayArrayInTable(SourceData_PastureBeef.SourceData_PastureBeef_LiveweightGainNTQLD_Data(),Table_SourceData_PastureBeef_LiveweightGainNTQLD[[#Headers],[State]],0)</f>
        <v>0.19</v>
      </c>
      <c r="I207" s="20" cm="1">
        <f t="array" ref="I207">Common_InputFunctions.Utility_DisplayArrayInTable(SourceData_PastureBeef.SourceData_PastureBeef_LiveweightGainNTQLD_Data(),Table_SourceData_PastureBeef_LiveweightGainNTQLD[[#Headers],[State]],0)</f>
        <v>0.65</v>
      </c>
      <c r="J207" s="20" cm="1">
        <f t="array" ref="J207">Common_InputFunctions.Utility_DisplayArrayInTable(SourceData_PastureBeef.SourceData_PastureBeef_LiveweightGainNTQLD_Data(),Table_SourceData_PastureBeef_LiveweightGainNTQLD[[#Headers],[State]],0)</f>
        <v>0.51</v>
      </c>
      <c r="K207" s="20" cm="1">
        <f t="array" ref="K207">Common_InputFunctions.Utility_DisplayArrayInTable(SourceData_PastureBeef.SourceData_PastureBeef_LiveweightGainNTQLD_Data(),Table_SourceData_PastureBeef_LiveweightGainNTQLD[[#Headers],[State]],0)</f>
        <v>0.18</v>
      </c>
      <c r="L207" s="20" cm="1">
        <f t="array" ref="L207">Common_InputFunctions.Utility_DisplayArrayInTable(SourceData_PastureBeef.SourceData_PastureBeef_LiveweightGainNTQLD_Data(),Table_SourceData_PastureBeef_LiveweightGainNTQLD[[#Headers],[State]],0)</f>
        <v>0.63</v>
      </c>
      <c r="M207" s="20" cm="1">
        <f t="array" ref="M207">Common_InputFunctions.Utility_DisplayArrayInTable(SourceData_PastureBeef.SourceData_PastureBeef_LiveweightGainNTQLD_Data(),Table_SourceData_PastureBeef_LiveweightGainNTQLD[[#Headers],[State]],0)</f>
        <v>1.3</v>
      </c>
      <c r="N207" s="20" cm="1">
        <f t="array" ref="N207">Common_InputFunctions.Utility_DisplayArrayInTable(SourceData_PastureBeef.SourceData_PastureBeef_LiveweightGainNTQLD_Data(),Table_SourceData_PastureBeef_LiveweightGainNTQLD[[#Headers],[State]],0)</f>
        <v>0.48</v>
      </c>
      <c r="O207" s="20" cm="1">
        <f t="array" ref="O207">Common_InputFunctions.Utility_DisplayArrayInTable(SourceData_PastureBeef.SourceData_PastureBeef_LiveweightGainNTQLD_Data(),Table_SourceData_PastureBeef_LiveweightGainNTQLD[[#Headers],[State]],0)</f>
        <v>1.1200000000000001</v>
      </c>
      <c r="P207" s="20" cm="1">
        <f t="array" ref="P207">Common_InputFunctions.Utility_DisplayArrayInTable(SourceData_PastureBeef.SourceData_PastureBeef_LiveweightGainNTQLD_Data(),Table_SourceData_PastureBeef_LiveweightGainNTQLD[[#Headers],[State]],0)</f>
        <v>0.38</v>
      </c>
    </row>
    <row r="208" spans="4:16" x14ac:dyDescent="0.25" ht="20" customHeight="1">
      <c r="D208" s="1" t="str" cm="1">
        <f t="array" ref="D208">Common_InputFunctions.Utility_DisplayArrayInTable(SourceData_PastureBeef.SourceData_PastureBeef_LiveweightGainNTQLD_Data(),Table_SourceData_PastureBeef_LiveweightGainNTQLD[[#Headers],[State]],0)</f>
        <v>Queensland</v>
      </c>
      <c r="E208" s="20" t="str" cm="1">
        <f t="array" ref="E208">Common_InputFunctions.Utility_DisplayArrayInTable(SourceData_PastureBeef.SourceData_PastureBeef_LiveweightGainNTQLD_Data(),Table_SourceData_PastureBeef_LiveweightGainNTQLD[[#Headers],[State]],0)</f>
        <v>Moderate/High</v>
      </c>
      <c r="F208" s="20" t="str" cm="1">
        <f t="array" ref="F208">Common_InputFunctions.Utility_DisplayArrayInTable(SourceData_PastureBeef.SourceData_PastureBeef_LiveweightGainNTQLD_Data(),Table_SourceData_PastureBeef_LiveweightGainNTQLD[[#Headers],[State]],0)</f>
        <v>Autumn</v>
      </c>
      <c r="G208" s="20" cm="1">
        <f t="array" ref="G208">Common_InputFunctions.Utility_DisplayArrayInTable(SourceData_PastureBeef.SourceData_PastureBeef_LiveweightGainNTQLD_Data(),Table_SourceData_PastureBeef_LiveweightGainNTQLD[[#Headers],[State]],0)</f>
        <v>0.7</v>
      </c>
      <c r="H208" s="20" cm="1">
        <f t="array" ref="H208">Common_InputFunctions.Utility_DisplayArrayInTable(SourceData_PastureBeef.SourceData_PastureBeef_LiveweightGainNTQLD_Data(),Table_SourceData_PastureBeef_LiveweightGainNTQLD[[#Headers],[State]],0)</f>
        <v>0.13</v>
      </c>
      <c r="I208" s="20" cm="1">
        <f t="array" ref="I208">Common_InputFunctions.Utility_DisplayArrayInTable(SourceData_PastureBeef.SourceData_PastureBeef_LiveweightGainNTQLD_Data(),Table_SourceData_PastureBeef_LiveweightGainNTQLD[[#Headers],[State]],0)</f>
        <v>0.52</v>
      </c>
      <c r="J208" s="20" cm="1">
        <f t="array" ref="J208">Common_InputFunctions.Utility_DisplayArrayInTable(SourceData_PastureBeef.SourceData_PastureBeef_LiveweightGainNTQLD_Data(),Table_SourceData_PastureBeef_LiveweightGainNTQLD[[#Headers],[State]],0)</f>
        <v>0.34</v>
      </c>
      <c r="K208" s="20" cm="1">
        <f t="array" ref="K208">Common_InputFunctions.Utility_DisplayArrayInTable(SourceData_PastureBeef.SourceData_PastureBeef_LiveweightGainNTQLD_Data(),Table_SourceData_PastureBeef_LiveweightGainNTQLD[[#Headers],[State]],0)</f>
        <v>0.02</v>
      </c>
      <c r="L208" s="20" cm="1">
        <f t="array" ref="L208">Common_InputFunctions.Utility_DisplayArrayInTable(SourceData_PastureBeef.SourceData_PastureBeef_LiveweightGainNTQLD_Data(),Table_SourceData_PastureBeef_LiveweightGainNTQLD[[#Headers],[State]],0)</f>
        <v>0.04</v>
      </c>
      <c r="M208" s="20" cm="1">
        <f t="array" ref="M208">Common_InputFunctions.Utility_DisplayArrayInTable(SourceData_PastureBeef.SourceData_PastureBeef_LiveweightGainNTQLD_Data(),Table_SourceData_PastureBeef_LiveweightGainNTQLD[[#Headers],[State]],0)</f>
        <v>0.77</v>
      </c>
      <c r="N208" s="20" cm="1">
        <f t="array" ref="N208">Common_InputFunctions.Utility_DisplayArrayInTable(SourceData_PastureBeef.SourceData_PastureBeef_LiveweightGainNTQLD_Data(),Table_SourceData_PastureBeef_LiveweightGainNTQLD[[#Headers],[State]],0)</f>
        <v>0.42</v>
      </c>
      <c r="O208" s="20" cm="1">
        <f t="array" ref="O208">Common_InputFunctions.Utility_DisplayArrayInTable(SourceData_PastureBeef.SourceData_PastureBeef_LiveweightGainNTQLD_Data(),Table_SourceData_PastureBeef_LiveweightGainNTQLD[[#Headers],[State]],0)</f>
        <v>0.12</v>
      </c>
      <c r="P208" s="20" cm="1">
        <f t="array" ref="P208">Common_InputFunctions.Utility_DisplayArrayInTable(SourceData_PastureBeef.SourceData_PastureBeef_LiveweightGainNTQLD_Data(),Table_SourceData_PastureBeef_LiveweightGainNTQLD[[#Headers],[State]],0)</f>
        <v>0.74</v>
      </c>
    </row>
    <row r="209" spans="4:16" x14ac:dyDescent="0.25" ht="20" customHeight="1">
      <c r="D209" s="1" t="str" cm="1">
        <f t="array" ref="D209">Common_InputFunctions.Utility_DisplayArrayInTable(SourceData_PastureBeef.SourceData_PastureBeef_LiveweightGainNTQLD_Data(),Table_SourceData_PastureBeef_LiveweightGainNTQLD[[#Headers],[State]],0)</f>
        <v>Queensland</v>
      </c>
      <c r="E209" s="20" t="str" cm="1">
        <f t="array" ref="E209">Common_InputFunctions.Utility_DisplayArrayInTable(SourceData_PastureBeef.SourceData_PastureBeef_LiveweightGainNTQLD_Data(),Table_SourceData_PastureBeef_LiveweightGainNTQLD[[#Headers],[State]],0)</f>
        <v>Moderate/High</v>
      </c>
      <c r="F209" s="20" t="str" cm="1">
        <f t="array" ref="F209">Common_InputFunctions.Utility_DisplayArrayInTable(SourceData_PastureBeef.SourceData_PastureBeef_LiveweightGainNTQLD_Data(),Table_SourceData_PastureBeef_LiveweightGainNTQLD[[#Headers],[State]],0)</f>
        <v>Winter</v>
      </c>
      <c r="G209" s="20" cm="1">
        <f t="array" ref="G209">Common_InputFunctions.Utility_DisplayArrayInTable(SourceData_PastureBeef.SourceData_PastureBeef_LiveweightGainNTQLD_Data(),Table_SourceData_PastureBeef_LiveweightGainNTQLD[[#Headers],[State]],0)</f>
        <v>0.32</v>
      </c>
      <c r="H209" s="20" cm="1">
        <f t="array" ref="H209">Common_InputFunctions.Utility_DisplayArrayInTable(SourceData_PastureBeef.SourceData_PastureBeef_LiveweightGainNTQLD_Data(),Table_SourceData_PastureBeef_LiveweightGainNTQLD[[#Headers],[State]],0)</f>
        <v>-0.06</v>
      </c>
      <c r="I209" s="20" cm="1">
        <f t="array" ref="I209">Common_InputFunctions.Utility_DisplayArrayInTable(SourceData_PastureBeef.SourceData_PastureBeef_LiveweightGainNTQLD_Data(),Table_SourceData_PastureBeef_LiveweightGainNTQLD[[#Headers],[State]],0)</f>
        <v>0.25</v>
      </c>
      <c r="J209" s="20" cm="1">
        <f t="array" ref="J209">Common_InputFunctions.Utility_DisplayArrayInTable(SourceData_PastureBeef.SourceData_PastureBeef_LiveweightGainNTQLD_Data(),Table_SourceData_PastureBeef_LiveweightGainNTQLD[[#Headers],[State]],0)</f>
        <v>0.19</v>
      </c>
      <c r="K209" s="20" cm="1">
        <f t="array" ref="K209">Common_InputFunctions.Utility_DisplayArrayInTable(SourceData_PastureBeef.SourceData_PastureBeef_LiveweightGainNTQLD_Data(),Table_SourceData_PastureBeef_LiveweightGainNTQLD[[#Headers],[State]],0)</f>
        <v>-0.1</v>
      </c>
      <c r="L209" s="20" cm="1">
        <f t="array" ref="L209">Common_InputFunctions.Utility_DisplayArrayInTable(SourceData_PastureBeef.SourceData_PastureBeef_LiveweightGainNTQLD_Data(),Table_SourceData_PastureBeef_LiveweightGainNTQLD[[#Headers],[State]],0)</f>
        <v>-0.02</v>
      </c>
      <c r="M209" s="20" cm="1">
        <f t="array" ref="M209">Common_InputFunctions.Utility_DisplayArrayInTable(SourceData_PastureBeef.SourceData_PastureBeef_LiveweightGainNTQLD_Data(),Table_SourceData_PastureBeef_LiveweightGainNTQLD[[#Headers],[State]],0)</f>
        <v>0.02</v>
      </c>
      <c r="N209" s="20" cm="1">
        <f t="array" ref="N209">Common_InputFunctions.Utility_DisplayArrayInTable(SourceData_PastureBeef.SourceData_PastureBeef_LiveweightGainNTQLD_Data(),Table_SourceData_PastureBeef_LiveweightGainNTQLD[[#Headers],[State]],0)</f>
        <v>0.23</v>
      </c>
      <c r="O209" s="20" cm="1">
        <f t="array" ref="O209">Common_InputFunctions.Utility_DisplayArrayInTable(SourceData_PastureBeef.SourceData_PastureBeef_LiveweightGainNTQLD_Data(),Table_SourceData_PastureBeef_LiveweightGainNTQLD[[#Headers],[State]],0)</f>
        <v>-0.13</v>
      </c>
      <c r="P209" s="20" cm="1">
        <f t="array" ref="P209">Common_InputFunctions.Utility_DisplayArrayInTable(SourceData_PastureBeef.SourceData_PastureBeef_LiveweightGainNTQLD_Data(),Table_SourceData_PastureBeef_LiveweightGainNTQLD[[#Headers],[State]],0)</f>
        <v>0</v>
      </c>
    </row>
    <row r="210" spans="4:16" x14ac:dyDescent="0.25" ht="20" customHeight="1">
      <c r="D210" s="1" t="str" cm="1">
        <f t="array" ref="D210">Common_InputFunctions.Utility_DisplayArrayInTable(SourceData_PastureBeef.SourceData_PastureBeef_LiveweightGainNTQLD_Data(),Table_SourceData_PastureBeef_LiveweightGainNTQLD[[#Headers],[State]],0)</f>
        <v>Queensland</v>
      </c>
      <c r="E210" s="20" t="str" cm="1">
        <f t="array" ref="E210">Common_InputFunctions.Utility_DisplayArrayInTable(SourceData_PastureBeef.SourceData_PastureBeef_LiveweightGainNTQLD_Data(),Table_SourceData_PastureBeef_LiveweightGainNTQLD[[#Headers],[State]],0)</f>
        <v>Moderate/Low</v>
      </c>
      <c r="F210" s="20" t="str" cm="1">
        <f t="array" ref="F210">Common_InputFunctions.Utility_DisplayArrayInTable(SourceData_PastureBeef.SourceData_PastureBeef_LiveweightGainNTQLD_Data(),Table_SourceData_PastureBeef_LiveweightGainNTQLD[[#Headers],[State]],0)</f>
        <v>Spring</v>
      </c>
      <c r="G210" s="20" cm="1">
        <f t="array" ref="G210">Common_InputFunctions.Utility_DisplayArrayInTable(SourceData_PastureBeef.SourceData_PastureBeef_LiveweightGainNTQLD_Data(),Table_SourceData_PastureBeef_LiveweightGainNTQLD[[#Headers],[State]],0)</f>
        <v>0.62</v>
      </c>
      <c r="H210" s="20" cm="1">
        <f t="array" ref="H210">Common_InputFunctions.Utility_DisplayArrayInTable(SourceData_PastureBeef.SourceData_PastureBeef_LiveweightGainNTQLD_Data(),Table_SourceData_PastureBeef_LiveweightGainNTQLD[[#Headers],[State]],0)</f>
        <v>-0.19</v>
      </c>
      <c r="I210" s="20" cm="1">
        <f t="array" ref="I210">Common_InputFunctions.Utility_DisplayArrayInTable(SourceData_PastureBeef.SourceData_PastureBeef_LiveweightGainNTQLD_Data(),Table_SourceData_PastureBeef_LiveweightGainNTQLD[[#Headers],[State]],0)</f>
        <v>0.37</v>
      </c>
      <c r="J210" s="20" cm="1">
        <f t="array" ref="J210">Common_InputFunctions.Utility_DisplayArrayInTable(SourceData_PastureBeef.SourceData_PastureBeef_LiveweightGainNTQLD_Data(),Table_SourceData_PastureBeef_LiveweightGainNTQLD[[#Headers],[State]],0)</f>
        <v>0.41</v>
      </c>
      <c r="K210" s="20" cm="1">
        <f t="array" ref="K210">Common_InputFunctions.Utility_DisplayArrayInTable(SourceData_PastureBeef.SourceData_PastureBeef_LiveweightGainNTQLD_Data(),Table_SourceData_PastureBeef_LiveweightGainNTQLD[[#Headers],[State]],0)</f>
        <v>0.06</v>
      </c>
      <c r="L210" s="20" cm="1">
        <f t="array" ref="L210">Common_InputFunctions.Utility_DisplayArrayInTable(SourceData_PastureBeef.SourceData_PastureBeef_LiveweightGainNTQLD_Data(),Table_SourceData_PastureBeef_LiveweightGainNTQLD[[#Headers],[State]],0)</f>
        <v>-0.02</v>
      </c>
      <c r="M210" s="20" cm="1">
        <f t="array" ref="M210">Common_InputFunctions.Utility_DisplayArrayInTable(SourceData_PastureBeef.SourceData_PastureBeef_LiveweightGainNTQLD_Data(),Table_SourceData_PastureBeef_LiveweightGainNTQLD[[#Headers],[State]],0)</f>
        <v>0.47</v>
      </c>
      <c r="N210" s="20" cm="1">
        <f t="array" ref="N210">Common_InputFunctions.Utility_DisplayArrayInTable(SourceData_PastureBeef.SourceData_PastureBeef_LiveweightGainNTQLD_Data(),Table_SourceData_PastureBeef_LiveweightGainNTQLD[[#Headers],[State]],0)</f>
        <v>0.44</v>
      </c>
      <c r="O210" s="20" cm="1">
        <f t="array" ref="O210">Common_InputFunctions.Utility_DisplayArrayInTable(SourceData_PastureBeef.SourceData_PastureBeef_LiveweightGainNTQLD_Data(),Table_SourceData_PastureBeef_LiveweightGainNTQLD[[#Headers],[State]],0)</f>
        <v>0.3</v>
      </c>
      <c r="P210" s="20" cm="1">
        <f t="array" ref="P210">Common_InputFunctions.Utility_DisplayArrayInTable(SourceData_PastureBeef.SourceData_PastureBeef_LiveweightGainNTQLD_Data(),Table_SourceData_PastureBeef_LiveweightGainNTQLD[[#Headers],[State]],0)</f>
        <v>0.13</v>
      </c>
    </row>
    <row r="211" spans="4:16" x14ac:dyDescent="0.25" ht="20" customHeight="1">
      <c r="D211" s="1" t="str" cm="1">
        <f t="array" ref="D211">Common_InputFunctions.Utility_DisplayArrayInTable(SourceData_PastureBeef.SourceData_PastureBeef_LiveweightGainNTQLD_Data(),Table_SourceData_PastureBeef_LiveweightGainNTQLD[[#Headers],[State]],0)</f>
        <v>Queensland</v>
      </c>
      <c r="E211" s="20" t="str" cm="1">
        <f t="array" ref="E211">Common_InputFunctions.Utility_DisplayArrayInTable(SourceData_PastureBeef.SourceData_PastureBeef_LiveweightGainNTQLD_Data(),Table_SourceData_PastureBeef_LiveweightGainNTQLD[[#Headers],[State]],0)</f>
        <v>Moderate/Low</v>
      </c>
      <c r="F211" s="20" t="str" cm="1">
        <f t="array" ref="F211">Common_InputFunctions.Utility_DisplayArrayInTable(SourceData_PastureBeef.SourceData_PastureBeef_LiveweightGainNTQLD_Data(),Table_SourceData_PastureBeef_LiveweightGainNTQLD[[#Headers],[State]],0)</f>
        <v>Summer</v>
      </c>
      <c r="G211" s="20" cm="1">
        <f t="array" ref="G211">Common_InputFunctions.Utility_DisplayArrayInTable(SourceData_PastureBeef.SourceData_PastureBeef_LiveweightGainNTQLD_Data(),Table_SourceData_PastureBeef_LiveweightGainNTQLD[[#Headers],[State]],0)</f>
        <v>0.05</v>
      </c>
      <c r="H211" s="20" cm="1">
        <f t="array" ref="H211">Common_InputFunctions.Utility_DisplayArrayInTable(SourceData_PastureBeef.SourceData_PastureBeef_LiveweightGainNTQLD_Data(),Table_SourceData_PastureBeef_LiveweightGainNTQLD[[#Headers],[State]],0)</f>
        <v>0.19</v>
      </c>
      <c r="I211" s="20" cm="1">
        <f t="array" ref="I211">Common_InputFunctions.Utility_DisplayArrayInTable(SourceData_PastureBeef.SourceData_PastureBeef_LiveweightGainNTQLD_Data(),Table_SourceData_PastureBeef_LiveweightGainNTQLD[[#Headers],[State]],0)</f>
        <v>0.31</v>
      </c>
      <c r="J211" s="20" cm="1">
        <f t="array" ref="J211">Common_InputFunctions.Utility_DisplayArrayInTable(SourceData_PastureBeef.SourceData_PastureBeef_LiveweightGainNTQLD_Data(),Table_SourceData_PastureBeef_LiveweightGainNTQLD[[#Headers],[State]],0)</f>
        <v>0.54</v>
      </c>
      <c r="K211" s="20" cm="1">
        <f t="array" ref="K211">Common_InputFunctions.Utility_DisplayArrayInTable(SourceData_PastureBeef.SourceData_PastureBeef_LiveweightGainNTQLD_Data(),Table_SourceData_PastureBeef_LiveweightGainNTQLD[[#Headers],[State]],0)</f>
        <v>0.53</v>
      </c>
      <c r="L211" s="20" cm="1">
        <f t="array" ref="L211">Common_InputFunctions.Utility_DisplayArrayInTable(SourceData_PastureBeef.SourceData_PastureBeef_LiveweightGainNTQLD_Data(),Table_SourceData_PastureBeef_LiveweightGainNTQLD[[#Headers],[State]],0)</f>
        <v>0.15</v>
      </c>
      <c r="M211" s="20" cm="1">
        <f t="array" ref="M211">Common_InputFunctions.Utility_DisplayArrayInTable(SourceData_PastureBeef.SourceData_PastureBeef_LiveweightGainNTQLD_Data(),Table_SourceData_PastureBeef_LiveweightGainNTQLD[[#Headers],[State]],0)</f>
        <v>0.28000000000000003</v>
      </c>
      <c r="N211" s="20" cm="1">
        <f t="array" ref="N211">Common_InputFunctions.Utility_DisplayArrayInTable(SourceData_PastureBeef.SourceData_PastureBeef_LiveweightGainNTQLD_Data(),Table_SourceData_PastureBeef_LiveweightGainNTQLD[[#Headers],[State]],0)</f>
        <v>0.56999999999999995</v>
      </c>
      <c r="O211" s="20" cm="1">
        <f t="array" ref="O211">Common_InputFunctions.Utility_DisplayArrayInTable(SourceData_PastureBeef.SourceData_PastureBeef_LiveweightGainNTQLD_Data(),Table_SourceData_PastureBeef_LiveweightGainNTQLD[[#Headers],[State]],0)</f>
        <v>0.42</v>
      </c>
      <c r="P211" s="20" cm="1">
        <f t="array" ref="P211">Common_InputFunctions.Utility_DisplayArrayInTable(SourceData_PastureBeef.SourceData_PastureBeef_LiveweightGainNTQLD_Data(),Table_SourceData_PastureBeef_LiveweightGainNTQLD[[#Headers],[State]],0)</f>
        <v>0.4</v>
      </c>
    </row>
    <row r="212" spans="4:16" x14ac:dyDescent="0.25" ht="20" customHeight="1">
      <c r="D212" s="1" t="str" cm="1">
        <f t="array" ref="D212">Common_InputFunctions.Utility_DisplayArrayInTable(SourceData_PastureBeef.SourceData_PastureBeef_LiveweightGainNTQLD_Data(),Table_SourceData_PastureBeef_LiveweightGainNTQLD[[#Headers],[State]],0)</f>
        <v>Queensland</v>
      </c>
      <c r="E212" s="20" t="str" cm="1">
        <f t="array" ref="E212">Common_InputFunctions.Utility_DisplayArrayInTable(SourceData_PastureBeef.SourceData_PastureBeef_LiveweightGainNTQLD_Data(),Table_SourceData_PastureBeef_LiveweightGainNTQLD[[#Headers],[State]],0)</f>
        <v>Moderate/Low</v>
      </c>
      <c r="F212" s="20" t="str" cm="1">
        <f t="array" ref="F212">Common_InputFunctions.Utility_DisplayArrayInTable(SourceData_PastureBeef.SourceData_PastureBeef_LiveweightGainNTQLD_Data(),Table_SourceData_PastureBeef_LiveweightGainNTQLD[[#Headers],[State]],0)</f>
        <v>Autumn</v>
      </c>
      <c r="G212" s="20" cm="1">
        <f t="array" ref="G212">Common_InputFunctions.Utility_DisplayArrayInTable(SourceData_PastureBeef.SourceData_PastureBeef_LiveweightGainNTQLD_Data(),Table_SourceData_PastureBeef_LiveweightGainNTQLD[[#Headers],[State]],0)</f>
        <v>0.33</v>
      </c>
      <c r="H212" s="20" cm="1">
        <f t="array" ref="H212">Common_InputFunctions.Utility_DisplayArrayInTable(SourceData_PastureBeef.SourceData_PastureBeef_LiveweightGainNTQLD_Data(),Table_SourceData_PastureBeef_LiveweightGainNTQLD[[#Headers],[State]],0)</f>
        <v>0.13</v>
      </c>
      <c r="I212" s="20" cm="1">
        <f t="array" ref="I212">Common_InputFunctions.Utility_DisplayArrayInTable(SourceData_PastureBeef.SourceData_PastureBeef_LiveweightGainNTQLD_Data(),Table_SourceData_PastureBeef_LiveweightGainNTQLD[[#Headers],[State]],0)</f>
        <v>0.39</v>
      </c>
      <c r="J212" s="20" cm="1">
        <f t="array" ref="J212">Common_InputFunctions.Utility_DisplayArrayInTable(SourceData_PastureBeef.SourceData_PastureBeef_LiveweightGainNTQLD_Data(),Table_SourceData_PastureBeef_LiveweightGainNTQLD[[#Headers],[State]],0)</f>
        <v>0.36</v>
      </c>
      <c r="K212" s="20" cm="1">
        <f t="array" ref="K212">Common_InputFunctions.Utility_DisplayArrayInTable(SourceData_PastureBeef.SourceData_PastureBeef_LiveweightGainNTQLD_Data(),Table_SourceData_PastureBeef_LiveweightGainNTQLD[[#Headers],[State]],0)</f>
        <v>0.26</v>
      </c>
      <c r="L212" s="20" cm="1">
        <f t="array" ref="L212">Common_InputFunctions.Utility_DisplayArrayInTable(SourceData_PastureBeef.SourceData_PastureBeef_LiveweightGainNTQLD_Data(),Table_SourceData_PastureBeef_LiveweightGainNTQLD[[#Headers],[State]],0)</f>
        <v>0.11</v>
      </c>
      <c r="M212" s="20" cm="1">
        <f t="array" ref="M212">Common_InputFunctions.Utility_DisplayArrayInTable(SourceData_PastureBeef.SourceData_PastureBeef_LiveweightGainNTQLD_Data(),Table_SourceData_PastureBeef_LiveweightGainNTQLD[[#Headers],[State]],0)</f>
        <v>0.4</v>
      </c>
      <c r="N212" s="20" cm="1">
        <f t="array" ref="N212">Common_InputFunctions.Utility_DisplayArrayInTable(SourceData_PastureBeef.SourceData_PastureBeef_LiveweightGainNTQLD_Data(),Table_SourceData_PastureBeef_LiveweightGainNTQLD[[#Headers],[State]],0)</f>
        <v>0.44</v>
      </c>
      <c r="O212" s="20" cm="1">
        <f t="array" ref="O212">Common_InputFunctions.Utility_DisplayArrayInTable(SourceData_PastureBeef.SourceData_PastureBeef_LiveweightGainNTQLD_Data(),Table_SourceData_PastureBeef_LiveweightGainNTQLD[[#Headers],[State]],0)</f>
        <v>0.37</v>
      </c>
      <c r="P212" s="20" cm="1">
        <f t="array" ref="P212">Common_InputFunctions.Utility_DisplayArrayInTable(SourceData_PastureBeef.SourceData_PastureBeef_LiveweightGainNTQLD_Data(),Table_SourceData_PastureBeef_LiveweightGainNTQLD[[#Headers],[State]],0)</f>
        <v>-0.01</v>
      </c>
    </row>
    <row r="213" spans="4:16" x14ac:dyDescent="0.25" ht="20" customHeight="1">
      <c r="D213" s="1" t="str" cm="1">
        <f t="array" ref="D213">Common_InputFunctions.Utility_DisplayArrayInTable(SourceData_PastureBeef.SourceData_PastureBeef_LiveweightGainNTQLD_Data(),Table_SourceData_PastureBeef_LiveweightGainNTQLD[[#Headers],[State]],0)</f>
        <v>Queensland</v>
      </c>
      <c r="E213" s="20" t="str" cm="1">
        <f t="array" ref="E213">Common_InputFunctions.Utility_DisplayArrayInTable(SourceData_PastureBeef.SourceData_PastureBeef_LiveweightGainNTQLD_Data(),Table_SourceData_PastureBeef_LiveweightGainNTQLD[[#Headers],[State]],0)</f>
        <v>Moderate/Low</v>
      </c>
      <c r="F213" s="20" t="str" cm="1">
        <f t="array" ref="F213">Common_InputFunctions.Utility_DisplayArrayInTable(SourceData_PastureBeef.SourceData_PastureBeef_LiveweightGainNTQLD_Data(),Table_SourceData_PastureBeef_LiveweightGainNTQLD[[#Headers],[State]],0)</f>
        <v>Winter</v>
      </c>
      <c r="G213" s="20" cm="1">
        <f t="array" ref="G213">Common_InputFunctions.Utility_DisplayArrayInTable(SourceData_PastureBeef.SourceData_PastureBeef_LiveweightGainNTQLD_Data(),Table_SourceData_PastureBeef_LiveweightGainNTQLD[[#Headers],[State]],0)</f>
        <v>0.61</v>
      </c>
      <c r="H213" s="20" cm="1">
        <f t="array" ref="H213">Common_InputFunctions.Utility_DisplayArrayInTable(SourceData_PastureBeef.SourceData_PastureBeef_LiveweightGainNTQLD_Data(),Table_SourceData_PastureBeef_LiveweightGainNTQLD[[#Headers],[State]],0)</f>
        <v>-0.06</v>
      </c>
      <c r="I213" s="20" cm="1">
        <f t="array" ref="I213">Common_InputFunctions.Utility_DisplayArrayInTable(SourceData_PastureBeef.SourceData_PastureBeef_LiveweightGainNTQLD_Data(),Table_SourceData_PastureBeef_LiveweightGainNTQLD[[#Headers],[State]],0)</f>
        <v>0.21</v>
      </c>
      <c r="J213" s="20" cm="1">
        <f t="array" ref="J213">Common_InputFunctions.Utility_DisplayArrayInTable(SourceData_PastureBeef.SourceData_PastureBeef_LiveweightGainNTQLD_Data(),Table_SourceData_PastureBeef_LiveweightGainNTQLD[[#Headers],[State]],0)</f>
        <v>0.18</v>
      </c>
      <c r="K213" s="20" cm="1">
        <f t="array" ref="K213">Common_InputFunctions.Utility_DisplayArrayInTable(SourceData_PastureBeef.SourceData_PastureBeef_LiveweightGainNTQLD_Data(),Table_SourceData_PastureBeef_LiveweightGainNTQLD[[#Headers],[State]],0)</f>
        <v>0.12</v>
      </c>
      <c r="L213" s="20" cm="1">
        <f t="array" ref="L213">Common_InputFunctions.Utility_DisplayArrayInTable(SourceData_PastureBeef.SourceData_PastureBeef_LiveweightGainNTQLD_Data(),Table_SourceData_PastureBeef_LiveweightGainNTQLD[[#Headers],[State]],0)</f>
        <v>0.06</v>
      </c>
      <c r="M213" s="20" cm="1">
        <f t="array" ref="M213">Common_InputFunctions.Utility_DisplayArrayInTable(SourceData_PastureBeef.SourceData_PastureBeef_LiveweightGainNTQLD_Data(),Table_SourceData_PastureBeef_LiveweightGainNTQLD[[#Headers],[State]],0)</f>
        <v>0.28999999999999998</v>
      </c>
      <c r="N213" s="20" cm="1">
        <f t="array" ref="N213">Common_InputFunctions.Utility_DisplayArrayInTable(SourceData_PastureBeef.SourceData_PastureBeef_LiveweightGainNTQLD_Data(),Table_SourceData_PastureBeef_LiveweightGainNTQLD[[#Headers],[State]],0)</f>
        <v>0.41</v>
      </c>
      <c r="O213" s="20" cm="1">
        <f t="array" ref="O213">Common_InputFunctions.Utility_DisplayArrayInTable(SourceData_PastureBeef.SourceData_PastureBeef_LiveweightGainNTQLD_Data(),Table_SourceData_PastureBeef_LiveweightGainNTQLD[[#Headers],[State]],0)</f>
        <v>0.41</v>
      </c>
      <c r="P213" s="20" cm="1">
        <f t="array" ref="P213">Common_InputFunctions.Utility_DisplayArrayInTable(SourceData_PastureBeef.SourceData_PastureBeef_LiveweightGainNTQLD_Data(),Table_SourceData_PastureBeef_LiveweightGainNTQLD[[#Headers],[State]],0)</f>
        <v>-0.15</v>
      </c>
    </row>
    <row r="214" spans="4:16" x14ac:dyDescent="0.25" ht="20" customHeight="1">
      <c r="D214" s="1" t="str" cm="1">
        <f t="array" ref="D214">Common_InputFunctions.Utility_DisplayArrayInTable(SourceData_PastureBeef.SourceData_PastureBeef_LiveweightGainNTQLD_Data(),Table_SourceData_PastureBeef_LiveweightGainNTQLD[[#Headers],[State]],0)</f>
        <v>Queensland</v>
      </c>
      <c r="E214" s="20" t="str" cm="1">
        <f t="array" ref="E214">Common_InputFunctions.Utility_DisplayArrayInTable(SourceData_PastureBeef.SourceData_PastureBeef_LiveweightGainNTQLD_Data(),Table_SourceData_PastureBeef_LiveweightGainNTQLD[[#Headers],[State]],0)</f>
        <v>Low</v>
      </c>
      <c r="F214" s="20" t="str" cm="1">
        <f t="array" ref="F214">Common_InputFunctions.Utility_DisplayArrayInTable(SourceData_PastureBeef.SourceData_PastureBeef_LiveweightGainNTQLD_Data(),Table_SourceData_PastureBeef_LiveweightGainNTQLD[[#Headers],[State]],0)</f>
        <v>Spring</v>
      </c>
      <c r="G214" s="20" cm="1">
        <f t="array" ref="G214">Common_InputFunctions.Utility_DisplayArrayInTable(SourceData_PastureBeef.SourceData_PastureBeef_LiveweightGainNTQLD_Data(),Table_SourceData_PastureBeef_LiveweightGainNTQLD[[#Headers],[State]],0)</f>
        <v>-0.2</v>
      </c>
      <c r="H214" s="20" cm="1">
        <f t="array" ref="H214">Common_InputFunctions.Utility_DisplayArrayInTable(SourceData_PastureBeef.SourceData_PastureBeef_LiveweightGainNTQLD_Data(),Table_SourceData_PastureBeef_LiveweightGainNTQLD[[#Headers],[State]],0)</f>
        <v>0.02</v>
      </c>
      <c r="I214" s="20" cm="1">
        <f t="array" ref="I214">Common_InputFunctions.Utility_DisplayArrayInTable(SourceData_PastureBeef.SourceData_PastureBeef_LiveweightGainNTQLD_Data(),Table_SourceData_PastureBeef_LiveweightGainNTQLD[[#Headers],[State]],0)</f>
        <v>0.24</v>
      </c>
      <c r="J214" s="20" cm="1">
        <f t="array" ref="J214">Common_InputFunctions.Utility_DisplayArrayInTable(SourceData_PastureBeef.SourceData_PastureBeef_LiveweightGainNTQLD_Data(),Table_SourceData_PastureBeef_LiveweightGainNTQLD[[#Headers],[State]],0)</f>
        <v>0.3</v>
      </c>
      <c r="K214" s="20" cm="1">
        <f t="array" ref="K214">Common_InputFunctions.Utility_DisplayArrayInTable(SourceData_PastureBeef.SourceData_PastureBeef_LiveweightGainNTQLD_Data(),Table_SourceData_PastureBeef_LiveweightGainNTQLD[[#Headers],[State]],0)</f>
        <v>0.23</v>
      </c>
      <c r="L214" s="20" cm="1">
        <f t="array" ref="L214">Common_InputFunctions.Utility_DisplayArrayInTable(SourceData_PastureBeef.SourceData_PastureBeef_LiveweightGainNTQLD_Data(),Table_SourceData_PastureBeef_LiveweightGainNTQLD[[#Headers],[State]],0)</f>
        <v>-0.05</v>
      </c>
      <c r="M214" s="20" cm="1">
        <f t="array" ref="M214">Common_InputFunctions.Utility_DisplayArrayInTable(SourceData_PastureBeef.SourceData_PastureBeef_LiveweightGainNTQLD_Data(),Table_SourceData_PastureBeef_LiveweightGainNTQLD[[#Headers],[State]],0)</f>
        <v>0.34</v>
      </c>
      <c r="N214" s="20" cm="1">
        <f t="array" ref="N214">Common_InputFunctions.Utility_DisplayArrayInTable(SourceData_PastureBeef.SourceData_PastureBeef_LiveweightGainNTQLD_Data(),Table_SourceData_PastureBeef_LiveweightGainNTQLD[[#Headers],[State]],0)</f>
        <v>0.3</v>
      </c>
      <c r="O214" s="20" cm="1">
        <f t="array" ref="O214">Common_InputFunctions.Utility_DisplayArrayInTable(SourceData_PastureBeef.SourceData_PastureBeef_LiveweightGainNTQLD_Data(),Table_SourceData_PastureBeef_LiveweightGainNTQLD[[#Headers],[State]],0)</f>
        <v>0.56999999999999995</v>
      </c>
      <c r="P214" s="20" cm="1">
        <f t="array" ref="P214">Common_InputFunctions.Utility_DisplayArrayInTable(SourceData_PastureBeef.SourceData_PastureBeef_LiveweightGainNTQLD_Data(),Table_SourceData_PastureBeef_LiveweightGainNTQLD[[#Headers],[State]],0)</f>
        <v>0.52</v>
      </c>
    </row>
    <row r="215" spans="4:16" x14ac:dyDescent="0.25" ht="20" customHeight="1">
      <c r="D215" s="1" t="str" cm="1">
        <f t="array" ref="D215">Common_InputFunctions.Utility_DisplayArrayInTable(SourceData_PastureBeef.SourceData_PastureBeef_LiveweightGainNTQLD_Data(),Table_SourceData_PastureBeef_LiveweightGainNTQLD[[#Headers],[State]],0)</f>
        <v>Queensland</v>
      </c>
      <c r="E215" s="20" t="str" cm="1">
        <f t="array" ref="E215">Common_InputFunctions.Utility_DisplayArrayInTable(SourceData_PastureBeef.SourceData_PastureBeef_LiveweightGainNTQLD_Data(),Table_SourceData_PastureBeef_LiveweightGainNTQLD[[#Headers],[State]],0)</f>
        <v>Low</v>
      </c>
      <c r="F215" s="20" t="str" cm="1">
        <f t="array" ref="F215">Common_InputFunctions.Utility_DisplayArrayInTable(SourceData_PastureBeef.SourceData_PastureBeef_LiveweightGainNTQLD_Data(),Table_SourceData_PastureBeef_LiveweightGainNTQLD[[#Headers],[State]],0)</f>
        <v>Summer</v>
      </c>
      <c r="G215" s="20" cm="1">
        <f t="array" ref="G215">Common_InputFunctions.Utility_DisplayArrayInTable(SourceData_PastureBeef.SourceData_PastureBeef_LiveweightGainNTQLD_Data(),Table_SourceData_PastureBeef_LiveweightGainNTQLD[[#Headers],[State]],0)</f>
        <v>0.62</v>
      </c>
      <c r="H215" s="20" cm="1">
        <f t="array" ref="H215">Common_InputFunctions.Utility_DisplayArrayInTable(SourceData_PastureBeef.SourceData_PastureBeef_LiveweightGainNTQLD_Data(),Table_SourceData_PastureBeef_LiveweightGainNTQLD[[#Headers],[State]],0)</f>
        <v>0.21</v>
      </c>
      <c r="I215" s="20" cm="1">
        <f t="array" ref="I215">Common_InputFunctions.Utility_DisplayArrayInTable(SourceData_PastureBeef.SourceData_PastureBeef_LiveweightGainNTQLD_Data(),Table_SourceData_PastureBeef_LiveweightGainNTQLD[[#Headers],[State]],0)</f>
        <v>0.25</v>
      </c>
      <c r="J215" s="20" cm="1">
        <f t="array" ref="J215">Common_InputFunctions.Utility_DisplayArrayInTable(SourceData_PastureBeef.SourceData_PastureBeef_LiveweightGainNTQLD_Data(),Table_SourceData_PastureBeef_LiveweightGainNTQLD[[#Headers],[State]],0)</f>
        <v>0.32</v>
      </c>
      <c r="K215" s="20" cm="1">
        <f t="array" ref="K215">Common_InputFunctions.Utility_DisplayArrayInTable(SourceData_PastureBeef.SourceData_PastureBeef_LiveweightGainNTQLD_Data(),Table_SourceData_PastureBeef_LiveweightGainNTQLD[[#Headers],[State]],0)</f>
        <v>0.47</v>
      </c>
      <c r="L215" s="20" cm="1">
        <f t="array" ref="L215">Common_InputFunctions.Utility_DisplayArrayInTable(SourceData_PastureBeef.SourceData_PastureBeef_LiveweightGainNTQLD_Data(),Table_SourceData_PastureBeef_LiveweightGainNTQLD[[#Headers],[State]],0)</f>
        <v>0.31</v>
      </c>
      <c r="M215" s="20" cm="1">
        <f t="array" ref="M215">Common_InputFunctions.Utility_DisplayArrayInTable(SourceData_PastureBeef.SourceData_PastureBeef_LiveweightGainNTQLD_Data(),Table_SourceData_PastureBeef_LiveweightGainNTQLD[[#Headers],[State]],0)</f>
        <v>0.14000000000000001</v>
      </c>
      <c r="N215" s="20" cm="1">
        <f t="array" ref="N215">Common_InputFunctions.Utility_DisplayArrayInTable(SourceData_PastureBeef.SourceData_PastureBeef_LiveweightGainNTQLD_Data(),Table_SourceData_PastureBeef_LiveweightGainNTQLD[[#Headers],[State]],0)</f>
        <v>0.4</v>
      </c>
      <c r="O215" s="20" cm="1">
        <f t="array" ref="O215">Common_InputFunctions.Utility_DisplayArrayInTable(SourceData_PastureBeef.SourceData_PastureBeef_LiveweightGainNTQLD_Data(),Table_SourceData_PastureBeef_LiveweightGainNTQLD[[#Headers],[State]],0)</f>
        <v>0.26</v>
      </c>
      <c r="P215" s="20" cm="1">
        <f t="array" ref="P215">Common_InputFunctions.Utility_DisplayArrayInTable(SourceData_PastureBeef.SourceData_PastureBeef_LiveweightGainNTQLD_Data(),Table_SourceData_PastureBeef_LiveweightGainNTQLD[[#Headers],[State]],0)</f>
        <v>0.43</v>
      </c>
    </row>
    <row r="216" spans="4:16" x14ac:dyDescent="0.25" ht="20" customHeight="1">
      <c r="D216" s="1" t="str" cm="1">
        <f t="array" ref="D216">Common_InputFunctions.Utility_DisplayArrayInTable(SourceData_PastureBeef.SourceData_PastureBeef_LiveweightGainNTQLD_Data(),Table_SourceData_PastureBeef_LiveweightGainNTQLD[[#Headers],[State]],0)</f>
        <v>Queensland</v>
      </c>
      <c r="E216" s="20" t="str" cm="1">
        <f t="array" ref="E216">Common_InputFunctions.Utility_DisplayArrayInTable(SourceData_PastureBeef.SourceData_PastureBeef_LiveweightGainNTQLD_Data(),Table_SourceData_PastureBeef_LiveweightGainNTQLD[[#Headers],[State]],0)</f>
        <v>Low</v>
      </c>
      <c r="F216" s="20" t="str" cm="1">
        <f t="array" ref="F216">Common_InputFunctions.Utility_DisplayArrayInTable(SourceData_PastureBeef.SourceData_PastureBeef_LiveweightGainNTQLD_Data(),Table_SourceData_PastureBeef_LiveweightGainNTQLD[[#Headers],[State]],0)</f>
        <v>Autumn</v>
      </c>
      <c r="G216" s="20" cm="1">
        <f t="array" ref="G216">Common_InputFunctions.Utility_DisplayArrayInTable(SourceData_PastureBeef.SourceData_PastureBeef_LiveweightGainNTQLD_Data(),Table_SourceData_PastureBeef_LiveweightGainNTQLD[[#Headers],[State]],0)</f>
        <v>0.4</v>
      </c>
      <c r="H216" s="20" cm="1">
        <f t="array" ref="H216">Common_InputFunctions.Utility_DisplayArrayInTable(SourceData_PastureBeef.SourceData_PastureBeef_LiveweightGainNTQLD_Data(),Table_SourceData_PastureBeef_LiveweightGainNTQLD[[#Headers],[State]],0)</f>
        <v>0.13</v>
      </c>
      <c r="I216" s="20" cm="1">
        <f t="array" ref="I216">Common_InputFunctions.Utility_DisplayArrayInTable(SourceData_PastureBeef.SourceData_PastureBeef_LiveweightGainNTQLD_Data(),Table_SourceData_PastureBeef_LiveweightGainNTQLD[[#Headers],[State]],0)</f>
        <v>0.12</v>
      </c>
      <c r="J216" s="20" cm="1">
        <f t="array" ref="J216">Common_InputFunctions.Utility_DisplayArrayInTable(SourceData_PastureBeef.SourceData_PastureBeef_LiveweightGainNTQLD_Data(),Table_SourceData_PastureBeef_LiveweightGainNTQLD[[#Headers],[State]],0)</f>
        <v>0.27</v>
      </c>
      <c r="K216" s="20" cm="1">
        <f t="array" ref="K216">Common_InputFunctions.Utility_DisplayArrayInTable(SourceData_PastureBeef.SourceData_PastureBeef_LiveweightGainNTQLD_Data(),Table_SourceData_PastureBeef_LiveweightGainNTQLD[[#Headers],[State]],0)</f>
        <v>0.3</v>
      </c>
      <c r="L216" s="20" cm="1">
        <f t="array" ref="L216">Common_InputFunctions.Utility_DisplayArrayInTable(SourceData_PastureBeef.SourceData_PastureBeef_LiveweightGainNTQLD_Data(),Table_SourceData_PastureBeef_LiveweightGainNTQLD[[#Headers],[State]],0)</f>
        <v>0.08</v>
      </c>
      <c r="M216" s="20" cm="1">
        <f t="array" ref="M216">Common_InputFunctions.Utility_DisplayArrayInTable(SourceData_PastureBeef.SourceData_PastureBeef_LiveweightGainNTQLD_Data(),Table_SourceData_PastureBeef_LiveweightGainNTQLD[[#Headers],[State]],0)</f>
        <v>0.13</v>
      </c>
      <c r="N216" s="20" cm="1">
        <f t="array" ref="N216">Common_InputFunctions.Utility_DisplayArrayInTable(SourceData_PastureBeef.SourceData_PastureBeef_LiveweightGainNTQLD_Data(),Table_SourceData_PastureBeef_LiveweightGainNTQLD[[#Headers],[State]],0)</f>
        <v>0.24</v>
      </c>
      <c r="O216" s="20" cm="1">
        <f t="array" ref="O216">Common_InputFunctions.Utility_DisplayArrayInTable(SourceData_PastureBeef.SourceData_PastureBeef_LiveweightGainNTQLD_Data(),Table_SourceData_PastureBeef_LiveweightGainNTQLD[[#Headers],[State]],0)</f>
        <v>0.15</v>
      </c>
      <c r="P216" s="20" cm="1">
        <f t="array" ref="P216">Common_InputFunctions.Utility_DisplayArrayInTable(SourceData_PastureBeef.SourceData_PastureBeef_LiveweightGainNTQLD_Data(),Table_SourceData_PastureBeef_LiveweightGainNTQLD[[#Headers],[State]],0)</f>
        <v>0.21</v>
      </c>
    </row>
    <row r="217" spans="4:16" x14ac:dyDescent="0.25" ht="20" customHeight="1">
      <c r="D217" s="1" t="str" cm="1">
        <f t="array" ref="D217">Common_InputFunctions.Utility_DisplayArrayInTable(SourceData_PastureBeef.SourceData_PastureBeef_LiveweightGainNTQLD_Data(),Table_SourceData_PastureBeef_LiveweightGainNTQLD[[#Headers],[State]],0)</f>
        <v>Queensland</v>
      </c>
      <c r="E217" s="20" t="str" cm="1">
        <f t="array" ref="E217">Common_InputFunctions.Utility_DisplayArrayInTable(SourceData_PastureBeef.SourceData_PastureBeef_LiveweightGainNTQLD_Data(),Table_SourceData_PastureBeef_LiveweightGainNTQLD[[#Headers],[State]],0)</f>
        <v>Low</v>
      </c>
      <c r="F217" s="20" t="str" cm="1">
        <f t="array" ref="F217">Common_InputFunctions.Utility_DisplayArrayInTable(SourceData_PastureBeef.SourceData_PastureBeef_LiveweightGainNTQLD_Data(),Table_SourceData_PastureBeef_LiveweightGainNTQLD[[#Headers],[State]],0)</f>
        <v>Winter</v>
      </c>
      <c r="G217" s="20" cm="1">
        <f t="array" ref="G217">Common_InputFunctions.Utility_DisplayArrayInTable(SourceData_PastureBeef.SourceData_PastureBeef_LiveweightGainNTQLD_Data(),Table_SourceData_PastureBeef_LiveweightGainNTQLD[[#Headers],[State]],0)</f>
        <v>0.08</v>
      </c>
      <c r="H217" s="20" cm="1">
        <f t="array" ref="H217">Common_InputFunctions.Utility_DisplayArrayInTable(SourceData_PastureBeef.SourceData_PastureBeef_LiveweightGainNTQLD_Data(),Table_SourceData_PastureBeef_LiveweightGainNTQLD[[#Headers],[State]],0)</f>
        <v>0.04</v>
      </c>
      <c r="I217" s="20" cm="1">
        <f t="array" ref="I217">Common_InputFunctions.Utility_DisplayArrayInTable(SourceData_PastureBeef.SourceData_PastureBeef_LiveweightGainNTQLD_Data(),Table_SourceData_PastureBeef_LiveweightGainNTQLD[[#Headers],[State]],0)</f>
        <v>0.06</v>
      </c>
      <c r="J217" s="20" cm="1">
        <f t="array" ref="J217">Common_InputFunctions.Utility_DisplayArrayInTable(SourceData_PastureBeef.SourceData_PastureBeef_LiveweightGainNTQLD_Data(),Table_SourceData_PastureBeef_LiveweightGainNTQLD[[#Headers],[State]],0)</f>
        <v>0.18</v>
      </c>
      <c r="K217" s="20" cm="1">
        <f t="array" ref="K217">Common_InputFunctions.Utility_DisplayArrayInTable(SourceData_PastureBeef.SourceData_PastureBeef_LiveweightGainNTQLD_Data(),Table_SourceData_PastureBeef_LiveweightGainNTQLD[[#Headers],[State]],0)</f>
        <v>0.11</v>
      </c>
      <c r="L217" s="20" cm="1">
        <f t="array" ref="L217">Common_InputFunctions.Utility_DisplayArrayInTable(SourceData_PastureBeef.SourceData_PastureBeef_LiveweightGainNTQLD_Data(),Table_SourceData_PastureBeef_LiveweightGainNTQLD[[#Headers],[State]],0)</f>
        <v>-7.0000000000000007E-2</v>
      </c>
      <c r="M217" s="20" cm="1">
        <f t="array" ref="M217">Common_InputFunctions.Utility_DisplayArrayInTable(SourceData_PastureBeef.SourceData_PastureBeef_LiveweightGainNTQLD_Data(),Table_SourceData_PastureBeef_LiveweightGainNTQLD[[#Headers],[State]],0)</f>
        <v>0.13</v>
      </c>
      <c r="N217" s="20" cm="1">
        <f t="array" ref="N217">Common_InputFunctions.Utility_DisplayArrayInTable(SourceData_PastureBeef.SourceData_PastureBeef_LiveweightGainNTQLD_Data(),Table_SourceData_PastureBeef_LiveweightGainNTQLD[[#Headers],[State]],0)</f>
        <v>0.16</v>
      </c>
      <c r="O217" s="20" cm="1">
        <f t="array" ref="O217">Common_InputFunctions.Utility_DisplayArrayInTable(SourceData_PastureBeef.SourceData_PastureBeef_LiveweightGainNTQLD_Data(),Table_SourceData_PastureBeef_LiveweightGainNTQLD[[#Headers],[State]],0)</f>
        <v>0.4</v>
      </c>
      <c r="P217" s="20" cm="1">
        <f t="array" ref="P217">Common_InputFunctions.Utility_DisplayArrayInTable(SourceData_PastureBeef.SourceData_PastureBeef_LiveweightGainNTQLD_Data(),Table_SourceData_PastureBeef_LiveweightGainNTQLD[[#Headers],[State]],0)</f>
        <v>0.33</v>
      </c>
    </row>
    <row r="218" spans="4:16" x14ac:dyDescent="0.25" ht="20" customHeight="1">
      <c r="M218" s="1"/>
    </row>
    <row r="219" spans="4:16" x14ac:dyDescent="0.25" ht="20" customHeight="1">
      <c r="M219" s="1"/>
    </row>
    <row r="220" spans="4:16" ht="20" x14ac:dyDescent="0.25" customHeight="1">
      <c r="D220" s="2" t="s">
        <v>549</v>
      </c>
      <c r="M220" s="1"/>
    </row>
    <row r="221" spans="4:16" x14ac:dyDescent="0.25" ht="20" customHeight="1">
      <c r="M221" s="1"/>
    </row>
    <row r="222" spans="4:16" x14ac:dyDescent="0.25" ht="20" customHeight="1">
      <c r="D222" s="20" t="s">
        <v>105</v>
      </c>
      <c r="E222" s="20" t="s">
        <v>490</v>
      </c>
      <c r="F222" s="20" t="s">
        <v>76</v>
      </c>
      <c r="G222" s="123" t="s">
        <v>326</v>
      </c>
      <c r="H222" s="123" t="s">
        <v>184</v>
      </c>
      <c r="I222" s="123" t="s">
        <v>327</v>
      </c>
      <c r="J222" s="123" t="s">
        <v>328</v>
      </c>
      <c r="K222" s="123" t="s">
        <v>329</v>
      </c>
      <c r="L222" s="123" t="s">
        <v>330</v>
      </c>
      <c r="M222" s="123" t="s">
        <v>331</v>
      </c>
      <c r="N222" s="123" t="s">
        <v>332</v>
      </c>
      <c r="O222" s="123" t="s">
        <v>333</v>
      </c>
      <c r="P222" s="123" t="s">
        <v>334</v>
      </c>
    </row>
    <row r="223" spans="4:16" x14ac:dyDescent="0.25" ht="20" customHeight="1">
      <c r="D223" s="20" t="s">
        <v>520</v>
      </c>
      <c r="E223" s="20" t="s">
        <v>494</v>
      </c>
      <c r="F223" s="20" t="str">
        <f>F155</f>
        <v>Spring</v>
      </c>
      <c r="G223" s="20">
        <f>G155</f>
        <v>0.5</v>
      </c>
      <c r="H223" s="20">
        <f t="shared" ref="H223:J223" si="31">H155</f>
        <v>0.2</v>
      </c>
      <c r="I223" s="20">
        <f t="shared" si="31"/>
        <v>0.5</v>
      </c>
      <c r="J223" s="20">
        <f t="shared" si="31"/>
        <v>0.4</v>
      </c>
      <c r="K223" s="20">
        <f>K155</f>
        <v>0.3</v>
      </c>
      <c r="L223" s="20">
        <f>K155</f>
        <v>0.3</v>
      </c>
      <c r="M223" s="20">
        <f>L155</f>
        <v>0.5</v>
      </c>
      <c r="N223" s="20">
        <f>M155</f>
        <v>0.4</v>
      </c>
      <c r="O223" s="20">
        <f>M155</f>
        <v>0.4</v>
      </c>
      <c r="P223" s="20">
        <f>M155</f>
        <v>0.4</v>
      </c>
    </row>
    <row r="224" spans="4:16" x14ac:dyDescent="0.25" ht="20" customHeight="1">
      <c r="D224" s="20" t="s">
        <v>520</v>
      </c>
      <c r="E224" s="20" t="s">
        <v>494</v>
      </c>
      <c r="F224" s="20" t="str">
        <f t="shared" ref="F224:K226" si="32">F156</f>
        <v>Summer</v>
      </c>
      <c r="G224" s="20">
        <f t="shared" si="32"/>
        <v>1</v>
      </c>
      <c r="H224" s="20">
        <f t="shared" si="32"/>
        <v>0.4</v>
      </c>
      <c r="I224" s="20">
        <f t="shared" si="32"/>
        <v>0.9</v>
      </c>
      <c r="J224" s="20">
        <f t="shared" si="32"/>
        <v>0.7</v>
      </c>
      <c r="K224" s="20">
        <f t="shared" si="32"/>
        <v>0.3</v>
      </c>
      <c r="L224" s="20">
        <f t="shared" ref="L224:N226" si="33">K156</f>
        <v>0.3</v>
      </c>
      <c r="M224" s="20">
        <f t="shared" si="33"/>
        <v>0.9</v>
      </c>
      <c r="N224" s="20">
        <f t="shared" si="33"/>
        <v>0.4</v>
      </c>
      <c r="O224" s="20">
        <f t="shared" ref="O224:O226" si="34">M156</f>
        <v>0.4</v>
      </c>
      <c r="P224" s="20">
        <f t="shared" ref="P224:P226" si="35">M156</f>
        <v>0.4</v>
      </c>
    </row>
    <row r="225" spans="4:16" x14ac:dyDescent="0.25" ht="20" customHeight="1">
      <c r="D225" s="20" t="s">
        <v>520</v>
      </c>
      <c r="E225" s="20" t="s">
        <v>494</v>
      </c>
      <c r="F225" s="20" t="str">
        <f t="shared" si="32"/>
        <v>Autumn</v>
      </c>
      <c r="G225" s="20">
        <f t="shared" si="32"/>
        <v>0.8</v>
      </c>
      <c r="H225" s="20">
        <f t="shared" si="32"/>
        <v>0.3</v>
      </c>
      <c r="I225" s="20">
        <f t="shared" si="32"/>
        <v>0.7</v>
      </c>
      <c r="J225" s="20">
        <f t="shared" si="32"/>
        <v>0.3</v>
      </c>
      <c r="K225" s="20">
        <f t="shared" si="32"/>
        <v>0.2</v>
      </c>
      <c r="L225" s="20">
        <f t="shared" si="33"/>
        <v>0.2</v>
      </c>
      <c r="M225" s="20">
        <f t="shared" si="33"/>
        <v>0.7</v>
      </c>
      <c r="N225" s="20">
        <f t="shared" si="33"/>
        <v>0.3</v>
      </c>
      <c r="O225" s="20">
        <f t="shared" si="34"/>
        <v>0.3</v>
      </c>
      <c r="P225" s="20">
        <f t="shared" si="35"/>
        <v>0.3</v>
      </c>
    </row>
    <row r="226" spans="4:16" x14ac:dyDescent="0.25" ht="20" customHeight="1">
      <c r="D226" s="20" t="s">
        <v>520</v>
      </c>
      <c r="E226" s="20" t="s">
        <v>494</v>
      </c>
      <c r="F226" s="20" t="str">
        <f t="shared" si="32"/>
        <v>Winter</v>
      </c>
      <c r="G226" s="20">
        <f t="shared" si="32"/>
        <v>0.4</v>
      </c>
      <c r="H226" s="20">
        <f t="shared" si="32"/>
        <v>0.1</v>
      </c>
      <c r="I226" s="20">
        <f t="shared" si="32"/>
        <v>0.4</v>
      </c>
      <c r="J226" s="20">
        <f t="shared" si="32"/>
        <v>0.2</v>
      </c>
      <c r="K226" s="20">
        <f t="shared" si="32"/>
        <v>0.1</v>
      </c>
      <c r="L226" s="20">
        <f t="shared" si="33"/>
        <v>0.1</v>
      </c>
      <c r="M226" s="20">
        <f t="shared" si="33"/>
        <v>0.4</v>
      </c>
      <c r="N226" s="20">
        <f t="shared" si="33"/>
        <v>0.1</v>
      </c>
      <c r="O226" s="20">
        <f t="shared" si="34"/>
        <v>0.1</v>
      </c>
      <c r="P226" s="20">
        <f t="shared" si="35"/>
        <v>0.1</v>
      </c>
    </row>
    <row r="227" spans="4:16" x14ac:dyDescent="0.25" ht="20" customHeight="1">
      <c r="D227" s="20" t="s">
        <v>521</v>
      </c>
      <c r="E227" s="20" t="s">
        <v>494</v>
      </c>
      <c r="F227" s="20" t="str">
        <f>F155</f>
        <v>Spring</v>
      </c>
      <c r="G227" s="20">
        <f>G155</f>
        <v>0.5</v>
      </c>
      <c r="H227" s="20">
        <f t="shared" ref="H227:J227" si="36">H155</f>
        <v>0.2</v>
      </c>
      <c r="I227" s="20">
        <f t="shared" si="36"/>
        <v>0.5</v>
      </c>
      <c r="J227" s="20">
        <f t="shared" si="36"/>
        <v>0.4</v>
      </c>
      <c r="K227" s="20">
        <f>K155</f>
        <v>0.3</v>
      </c>
      <c r="L227" s="20">
        <f>K155</f>
        <v>0.3</v>
      </c>
      <c r="M227" s="20">
        <f t="shared" ref="M227" si="37">L155</f>
        <v>0.5</v>
      </c>
      <c r="N227" s="20">
        <f>M155</f>
        <v>0.4</v>
      </c>
      <c r="O227" s="20">
        <f>M155</f>
        <v>0.4</v>
      </c>
      <c r="P227" s="20">
        <f>M155</f>
        <v>0.4</v>
      </c>
    </row>
    <row r="228" spans="4:16" x14ac:dyDescent="0.25" ht="20" customHeight="1">
      <c r="D228" s="20" t="s">
        <v>521</v>
      </c>
      <c r="E228" s="20" t="s">
        <v>494</v>
      </c>
      <c r="F228" s="20" t="str">
        <f t="shared" ref="F228:K231" si="38">F156</f>
        <v>Summer</v>
      </c>
      <c r="G228" s="20">
        <f t="shared" si="38"/>
        <v>1</v>
      </c>
      <c r="H228" s="20">
        <f t="shared" si="38"/>
        <v>0.4</v>
      </c>
      <c r="I228" s="20">
        <f t="shared" si="38"/>
        <v>0.9</v>
      </c>
      <c r="J228" s="20">
        <f t="shared" si="38"/>
        <v>0.7</v>
      </c>
      <c r="K228" s="20">
        <f t="shared" si="38"/>
        <v>0.3</v>
      </c>
      <c r="L228" s="20">
        <f t="shared" ref="L228:N231" si="39">K156</f>
        <v>0.3</v>
      </c>
      <c r="M228" s="20">
        <f t="shared" si="39"/>
        <v>0.9</v>
      </c>
      <c r="N228" s="20">
        <f t="shared" si="39"/>
        <v>0.4</v>
      </c>
      <c r="O228" s="20">
        <f t="shared" ref="O228:O230" si="40">M156</f>
        <v>0.4</v>
      </c>
      <c r="P228" s="20">
        <f t="shared" ref="P228:P230" si="41">M156</f>
        <v>0.4</v>
      </c>
    </row>
    <row r="229" spans="4:16" x14ac:dyDescent="0.25" ht="20" customHeight="1">
      <c r="D229" s="20" t="s">
        <v>521</v>
      </c>
      <c r="E229" s="20" t="s">
        <v>494</v>
      </c>
      <c r="F229" s="20" t="str">
        <f t="shared" si="38"/>
        <v>Autumn</v>
      </c>
      <c r="G229" s="20">
        <f t="shared" si="38"/>
        <v>0.8</v>
      </c>
      <c r="H229" s="20">
        <f t="shared" si="38"/>
        <v>0.3</v>
      </c>
      <c r="I229" s="20">
        <f t="shared" si="38"/>
        <v>0.7</v>
      </c>
      <c r="J229" s="20">
        <f t="shared" si="38"/>
        <v>0.3</v>
      </c>
      <c r="K229" s="20">
        <f t="shared" si="38"/>
        <v>0.2</v>
      </c>
      <c r="L229" s="20">
        <f t="shared" si="39"/>
        <v>0.2</v>
      </c>
      <c r="M229" s="20">
        <f t="shared" si="39"/>
        <v>0.7</v>
      </c>
      <c r="N229" s="20">
        <f t="shared" si="39"/>
        <v>0.3</v>
      </c>
      <c r="O229" s="20">
        <f t="shared" si="40"/>
        <v>0.3</v>
      </c>
      <c r="P229" s="20">
        <f t="shared" si="41"/>
        <v>0.3</v>
      </c>
    </row>
    <row r="230" spans="4:16" x14ac:dyDescent="0.25" ht="20" customHeight="1">
      <c r="D230" s="20" t="s">
        <v>521</v>
      </c>
      <c r="E230" s="20" t="s">
        <v>494</v>
      </c>
      <c r="F230" s="20" t="str">
        <f t="shared" si="38"/>
        <v>Winter</v>
      </c>
      <c r="G230" s="20">
        <f t="shared" si="38"/>
        <v>0.4</v>
      </c>
      <c r="H230" s="20">
        <f t="shared" si="38"/>
        <v>0.1</v>
      </c>
      <c r="I230" s="20">
        <f t="shared" si="38"/>
        <v>0.4</v>
      </c>
      <c r="J230" s="20">
        <f t="shared" si="38"/>
        <v>0.2</v>
      </c>
      <c r="K230" s="20">
        <f t="shared" si="38"/>
        <v>0.1</v>
      </c>
      <c r="L230" s="20">
        <f t="shared" si="39"/>
        <v>0.1</v>
      </c>
      <c r="M230" s="20">
        <f t="shared" si="39"/>
        <v>0.4</v>
      </c>
      <c r="N230" s="20">
        <f t="shared" si="39"/>
        <v>0.1</v>
      </c>
      <c r="O230" s="20">
        <f t="shared" si="40"/>
        <v>0.1</v>
      </c>
      <c r="P230" s="20">
        <f t="shared" si="41"/>
        <v>0.1</v>
      </c>
    </row>
    <row r="231" spans="4:16" x14ac:dyDescent="0.25" ht="20" customHeight="1">
      <c r="D231" s="20" t="s">
        <v>522</v>
      </c>
      <c r="E231" s="20" t="s">
        <v>494</v>
      </c>
      <c r="F231" s="20" t="str">
        <f>F159</f>
        <v>Spring</v>
      </c>
      <c r="G231" s="20">
        <f>G159</f>
        <v>0.99</v>
      </c>
      <c r="H231" s="20">
        <f t="shared" si="38"/>
        <v>1.1000000000000001</v>
      </c>
      <c r="I231" s="20">
        <f t="shared" si="38"/>
        <v>0.88</v>
      </c>
      <c r="J231" s="20">
        <f t="shared" si="38"/>
        <v>0.55000000000000004</v>
      </c>
      <c r="K231" s="20">
        <f>K159</f>
        <v>0.55000000000000004</v>
      </c>
      <c r="L231" s="20">
        <f>K159</f>
        <v>0.55000000000000004</v>
      </c>
      <c r="M231" s="20">
        <f t="shared" si="39"/>
        <v>0.88</v>
      </c>
      <c r="N231" s="20">
        <f>M159</f>
        <v>0.22</v>
      </c>
      <c r="O231" s="20">
        <f>M159</f>
        <v>0.22</v>
      </c>
      <c r="P231" s="20">
        <f>M159</f>
        <v>0.22</v>
      </c>
    </row>
    <row r="232" spans="4:16" x14ac:dyDescent="0.25" ht="20" customHeight="1">
      <c r="D232" s="20" t="s">
        <v>522</v>
      </c>
      <c r="E232" s="20" t="s">
        <v>494</v>
      </c>
      <c r="F232" s="20" t="str">
        <f t="shared" ref="F232:K247" si="42">F160</f>
        <v>Summer</v>
      </c>
      <c r="G232" s="20">
        <f t="shared" si="42"/>
        <v>0.77</v>
      </c>
      <c r="H232" s="20">
        <f t="shared" si="42"/>
        <v>0</v>
      </c>
      <c r="I232" s="20">
        <f t="shared" si="42"/>
        <v>0.66</v>
      </c>
      <c r="J232" s="20">
        <f t="shared" si="42"/>
        <v>0.22</v>
      </c>
      <c r="K232" s="20">
        <f t="shared" si="42"/>
        <v>0</v>
      </c>
      <c r="L232" s="20">
        <f t="shared" ref="L232:N247" si="43">K160</f>
        <v>0</v>
      </c>
      <c r="M232" s="20">
        <f t="shared" si="43"/>
        <v>0.66</v>
      </c>
      <c r="N232" s="20">
        <f t="shared" si="43"/>
        <v>0</v>
      </c>
      <c r="O232" s="20">
        <f t="shared" ref="O232:O254" si="44">M160</f>
        <v>0</v>
      </c>
      <c r="P232" s="20">
        <f t="shared" ref="P232:P254" si="45">M160</f>
        <v>0</v>
      </c>
    </row>
    <row r="233" spans="4:16" x14ac:dyDescent="0.25" ht="20" customHeight="1">
      <c r="D233" s="20" t="s">
        <v>522</v>
      </c>
      <c r="E233" s="20" t="s">
        <v>494</v>
      </c>
      <c r="F233" s="20" t="str">
        <f t="shared" si="42"/>
        <v>Autumn</v>
      </c>
      <c r="G233" s="20">
        <f t="shared" si="42"/>
        <v>0.9</v>
      </c>
      <c r="H233" s="20">
        <f t="shared" si="42"/>
        <v>-1.1000000000000001</v>
      </c>
      <c r="I233" s="20">
        <f t="shared" si="42"/>
        <v>0.7</v>
      </c>
      <c r="J233" s="20">
        <f t="shared" si="42"/>
        <v>0.22</v>
      </c>
      <c r="K233" s="20">
        <f t="shared" si="42"/>
        <v>-0.55000000000000004</v>
      </c>
      <c r="L233" s="20">
        <f t="shared" si="43"/>
        <v>-0.55000000000000004</v>
      </c>
      <c r="M233" s="20">
        <f t="shared" si="43"/>
        <v>0.8</v>
      </c>
      <c r="N233" s="20">
        <f t="shared" si="43"/>
        <v>-0.22</v>
      </c>
      <c r="O233" s="20">
        <f t="shared" si="44"/>
        <v>-0.22</v>
      </c>
      <c r="P233" s="20">
        <f t="shared" si="45"/>
        <v>-0.22</v>
      </c>
    </row>
    <row r="234" spans="4:16" x14ac:dyDescent="0.25" ht="20" customHeight="1">
      <c r="D234" s="20" t="s">
        <v>522</v>
      </c>
      <c r="E234" s="20" t="s">
        <v>494</v>
      </c>
      <c r="F234" s="20" t="str">
        <f t="shared" si="42"/>
        <v>Winter</v>
      </c>
      <c r="G234" s="20">
        <f t="shared" si="42"/>
        <v>0.88</v>
      </c>
      <c r="H234" s="20">
        <f t="shared" si="42"/>
        <v>0</v>
      </c>
      <c r="I234" s="20">
        <f t="shared" si="42"/>
        <v>0.77</v>
      </c>
      <c r="J234" s="20">
        <f t="shared" si="42"/>
        <v>0.55000000000000004</v>
      </c>
      <c r="K234" s="20">
        <f t="shared" si="42"/>
        <v>0</v>
      </c>
      <c r="L234" s="20">
        <f t="shared" si="43"/>
        <v>0</v>
      </c>
      <c r="M234" s="20">
        <f t="shared" si="43"/>
        <v>0.82</v>
      </c>
      <c r="N234" s="20">
        <f t="shared" si="43"/>
        <v>0</v>
      </c>
      <c r="O234" s="20">
        <f t="shared" si="44"/>
        <v>0</v>
      </c>
      <c r="P234" s="20">
        <f t="shared" si="45"/>
        <v>0</v>
      </c>
    </row>
    <row r="235" spans="4:16" x14ac:dyDescent="0.25" ht="20" customHeight="1">
      <c r="D235" s="20" t="s">
        <v>523</v>
      </c>
      <c r="E235" s="20" t="s">
        <v>494</v>
      </c>
      <c r="F235" s="20" t="str">
        <f t="shared" si="42"/>
        <v>Spring</v>
      </c>
      <c r="G235" s="20">
        <f t="shared" si="42"/>
        <v>1</v>
      </c>
      <c r="H235" s="20">
        <f t="shared" si="42"/>
        <v>0.5</v>
      </c>
      <c r="I235" s="20">
        <f t="shared" si="42"/>
        <v>1</v>
      </c>
      <c r="J235" s="20">
        <f t="shared" si="42"/>
        <v>1</v>
      </c>
      <c r="K235" s="20">
        <f t="shared" si="42"/>
        <v>-0.44</v>
      </c>
      <c r="L235" s="20">
        <f t="shared" si="43"/>
        <v>-0.44</v>
      </c>
      <c r="M235" s="20">
        <f t="shared" si="43"/>
        <v>1</v>
      </c>
      <c r="N235" s="20">
        <f t="shared" si="43"/>
        <v>0.5</v>
      </c>
      <c r="O235" s="20">
        <f t="shared" si="44"/>
        <v>0.5</v>
      </c>
      <c r="P235" s="20">
        <f t="shared" si="45"/>
        <v>0.5</v>
      </c>
    </row>
    <row r="236" spans="4:16" x14ac:dyDescent="0.25" ht="20" customHeight="1">
      <c r="D236" s="20" t="s">
        <v>523</v>
      </c>
      <c r="E236" s="20" t="s">
        <v>494</v>
      </c>
      <c r="F236" s="20" t="str">
        <f t="shared" si="42"/>
        <v>Summer</v>
      </c>
      <c r="G236" s="20">
        <f t="shared" si="42"/>
        <v>0.82</v>
      </c>
      <c r="H236" s="20">
        <f t="shared" si="42"/>
        <v>0.55000000000000004</v>
      </c>
      <c r="I236" s="20">
        <f t="shared" si="42"/>
        <v>0.71</v>
      </c>
      <c r="J236" s="20">
        <f t="shared" si="42"/>
        <v>0.55000000000000004</v>
      </c>
      <c r="K236" s="20">
        <f t="shared" si="42"/>
        <v>0.99</v>
      </c>
      <c r="L236" s="20">
        <f t="shared" si="43"/>
        <v>0.99</v>
      </c>
      <c r="M236" s="20">
        <f t="shared" si="43"/>
        <v>0.77</v>
      </c>
      <c r="N236" s="20">
        <f t="shared" si="43"/>
        <v>0.5</v>
      </c>
      <c r="O236" s="20">
        <f t="shared" si="44"/>
        <v>0.5</v>
      </c>
      <c r="P236" s="20">
        <f t="shared" si="45"/>
        <v>0.5</v>
      </c>
    </row>
    <row r="237" spans="4:16" x14ac:dyDescent="0.25" ht="20" customHeight="1">
      <c r="D237" s="20" t="s">
        <v>523</v>
      </c>
      <c r="E237" s="20" t="s">
        <v>494</v>
      </c>
      <c r="F237" s="20" t="str">
        <f t="shared" si="42"/>
        <v>Autumn</v>
      </c>
      <c r="G237" s="20">
        <f t="shared" si="42"/>
        <v>0.77</v>
      </c>
      <c r="H237" s="20">
        <f t="shared" si="42"/>
        <v>0.5</v>
      </c>
      <c r="I237" s="20">
        <f t="shared" si="42"/>
        <v>0.55000000000000004</v>
      </c>
      <c r="J237" s="20">
        <f t="shared" si="42"/>
        <v>0.11</v>
      </c>
      <c r="K237" s="20">
        <f t="shared" si="42"/>
        <v>-0.33</v>
      </c>
      <c r="L237" s="20">
        <f t="shared" si="43"/>
        <v>-0.33</v>
      </c>
      <c r="M237" s="20">
        <f t="shared" si="43"/>
        <v>0.6</v>
      </c>
      <c r="N237" s="20">
        <f t="shared" si="43"/>
        <v>0.33</v>
      </c>
      <c r="O237" s="20">
        <f t="shared" si="44"/>
        <v>0.33</v>
      </c>
      <c r="P237" s="20">
        <f t="shared" si="45"/>
        <v>0.33</v>
      </c>
    </row>
    <row r="238" spans="4:16" x14ac:dyDescent="0.25" ht="20" customHeight="1">
      <c r="D238" s="20" t="s">
        <v>523</v>
      </c>
      <c r="E238" s="20" t="s">
        <v>494</v>
      </c>
      <c r="F238" s="20" t="str">
        <f t="shared" si="42"/>
        <v>Winter</v>
      </c>
      <c r="G238" s="20">
        <f t="shared" si="42"/>
        <v>0.11</v>
      </c>
      <c r="H238" s="20">
        <f t="shared" si="42"/>
        <v>-0.27</v>
      </c>
      <c r="I238" s="20">
        <f t="shared" si="42"/>
        <v>0.11</v>
      </c>
      <c r="J238" s="20">
        <f t="shared" si="42"/>
        <v>0.22</v>
      </c>
      <c r="K238" s="20">
        <f t="shared" si="42"/>
        <v>-0.44</v>
      </c>
      <c r="L238" s="20">
        <f t="shared" si="43"/>
        <v>-0.44</v>
      </c>
      <c r="M238" s="20">
        <f t="shared" si="43"/>
        <v>0.16</v>
      </c>
      <c r="N238" s="20">
        <f t="shared" si="43"/>
        <v>-0.22</v>
      </c>
      <c r="O238" s="20">
        <f t="shared" si="44"/>
        <v>-0.22</v>
      </c>
      <c r="P238" s="20">
        <f t="shared" si="45"/>
        <v>-0.22</v>
      </c>
    </row>
    <row r="239" spans="4:16" x14ac:dyDescent="0.25" ht="20" customHeight="1">
      <c r="D239" s="20" t="s">
        <v>524</v>
      </c>
      <c r="E239" s="20" t="s">
        <v>494</v>
      </c>
      <c r="F239" s="20" t="str">
        <f t="shared" si="42"/>
        <v>Spring</v>
      </c>
      <c r="G239" s="20">
        <f t="shared" si="42"/>
        <v>1.1000000000000001</v>
      </c>
      <c r="H239" s="20">
        <f t="shared" si="42"/>
        <v>1.1000000000000001</v>
      </c>
      <c r="I239" s="20">
        <f t="shared" si="42"/>
        <v>1.1000000000000001</v>
      </c>
      <c r="J239" s="20">
        <f t="shared" si="42"/>
        <v>0.99</v>
      </c>
      <c r="K239" s="20">
        <f t="shared" si="42"/>
        <v>0.99</v>
      </c>
      <c r="L239" s="20">
        <f t="shared" si="43"/>
        <v>0.99</v>
      </c>
      <c r="M239" s="20">
        <f t="shared" si="43"/>
        <v>1.1000000000000001</v>
      </c>
      <c r="N239" s="20">
        <f t="shared" si="43"/>
        <v>0.77</v>
      </c>
      <c r="O239" s="20">
        <f t="shared" si="44"/>
        <v>0.77</v>
      </c>
      <c r="P239" s="20">
        <f t="shared" si="45"/>
        <v>0.77</v>
      </c>
    </row>
    <row r="240" spans="4:16" x14ac:dyDescent="0.25" ht="20" customHeight="1">
      <c r="D240" s="20" t="s">
        <v>524</v>
      </c>
      <c r="E240" s="20" t="s">
        <v>494</v>
      </c>
      <c r="F240" s="20" t="str">
        <f t="shared" si="42"/>
        <v>Summer</v>
      </c>
      <c r="G240" s="20">
        <f t="shared" si="42"/>
        <v>0.33</v>
      </c>
      <c r="H240" s="20">
        <f t="shared" si="42"/>
        <v>0.33</v>
      </c>
      <c r="I240" s="20">
        <f t="shared" si="42"/>
        <v>0.22</v>
      </c>
      <c r="J240" s="20">
        <f t="shared" si="42"/>
        <v>0.33</v>
      </c>
      <c r="K240" s="20">
        <f t="shared" si="42"/>
        <v>-0.1</v>
      </c>
      <c r="L240" s="20">
        <f t="shared" si="43"/>
        <v>-0.1</v>
      </c>
      <c r="M240" s="20">
        <f t="shared" si="43"/>
        <v>0.33</v>
      </c>
      <c r="N240" s="20">
        <f t="shared" si="43"/>
        <v>0.11</v>
      </c>
      <c r="O240" s="20">
        <f t="shared" si="44"/>
        <v>0.11</v>
      </c>
      <c r="P240" s="20">
        <f t="shared" si="45"/>
        <v>0.11</v>
      </c>
    </row>
    <row r="241" spans="4:16" x14ac:dyDescent="0.25" ht="20" customHeight="1">
      <c r="D241" s="20" t="s">
        <v>524</v>
      </c>
      <c r="E241" s="20" t="s">
        <v>494</v>
      </c>
      <c r="F241" s="20" t="str">
        <f t="shared" si="42"/>
        <v>Autumn</v>
      </c>
      <c r="G241" s="20">
        <f t="shared" si="42"/>
        <v>0.5</v>
      </c>
      <c r="H241" s="20">
        <f t="shared" si="42"/>
        <v>0.2</v>
      </c>
      <c r="I241" s="20">
        <f t="shared" si="42"/>
        <v>0.55000000000000004</v>
      </c>
      <c r="J241" s="20">
        <f t="shared" si="42"/>
        <v>0.44</v>
      </c>
      <c r="K241" s="20">
        <f t="shared" si="42"/>
        <v>0.2</v>
      </c>
      <c r="L241" s="20">
        <f t="shared" si="43"/>
        <v>0.2</v>
      </c>
      <c r="M241" s="20">
        <f t="shared" si="43"/>
        <v>0.55000000000000004</v>
      </c>
      <c r="N241" s="20">
        <f t="shared" si="43"/>
        <v>0.2</v>
      </c>
      <c r="O241" s="20">
        <f t="shared" si="44"/>
        <v>0.2</v>
      </c>
      <c r="P241" s="20">
        <f t="shared" si="45"/>
        <v>0.2</v>
      </c>
    </row>
    <row r="242" spans="4:16" x14ac:dyDescent="0.25" ht="20" customHeight="1">
      <c r="D242" s="20" t="s">
        <v>524</v>
      </c>
      <c r="E242" s="20" t="s">
        <v>494</v>
      </c>
      <c r="F242" s="20" t="str">
        <f t="shared" si="42"/>
        <v>Winter</v>
      </c>
      <c r="G242" s="20">
        <f t="shared" si="42"/>
        <v>0.55000000000000004</v>
      </c>
      <c r="H242" s="20">
        <f t="shared" si="42"/>
        <v>0.22</v>
      </c>
      <c r="I242" s="20">
        <f t="shared" si="42"/>
        <v>0.49</v>
      </c>
      <c r="J242" s="20">
        <f t="shared" si="42"/>
        <v>0.22</v>
      </c>
      <c r="K242" s="20">
        <f t="shared" si="42"/>
        <v>0.22</v>
      </c>
      <c r="L242" s="20">
        <f t="shared" si="43"/>
        <v>0.22</v>
      </c>
      <c r="M242" s="20">
        <f t="shared" si="43"/>
        <v>0.49</v>
      </c>
      <c r="N242" s="20">
        <f t="shared" si="43"/>
        <v>0.33</v>
      </c>
      <c r="O242" s="20">
        <f t="shared" si="44"/>
        <v>0.33</v>
      </c>
      <c r="P242" s="20">
        <f t="shared" si="45"/>
        <v>0.33</v>
      </c>
    </row>
    <row r="243" spans="4:16" x14ac:dyDescent="0.25" ht="20" customHeight="1">
      <c r="D243" s="20" t="s">
        <v>526</v>
      </c>
      <c r="E243" s="20" t="str">
        <f>E171</f>
        <v>South West</v>
      </c>
      <c r="F243" s="20" t="str">
        <f t="shared" si="42"/>
        <v>Spring</v>
      </c>
      <c r="G243" s="20">
        <f t="shared" si="42"/>
        <v>1.64</v>
      </c>
      <c r="H243" s="20">
        <f t="shared" si="42"/>
        <v>1.1000000000000001</v>
      </c>
      <c r="I243" s="20">
        <f t="shared" si="42"/>
        <v>1.21</v>
      </c>
      <c r="J243" s="20">
        <f t="shared" si="42"/>
        <v>0.99</v>
      </c>
      <c r="K243" s="20">
        <f t="shared" si="42"/>
        <v>0.66</v>
      </c>
      <c r="L243" s="20">
        <f t="shared" si="43"/>
        <v>0.66</v>
      </c>
      <c r="M243" s="20">
        <f t="shared" si="43"/>
        <v>1.42</v>
      </c>
      <c r="N243" s="20">
        <f t="shared" si="43"/>
        <v>1.1000000000000001</v>
      </c>
      <c r="O243" s="20">
        <f t="shared" si="44"/>
        <v>1.1000000000000001</v>
      </c>
      <c r="P243" s="20">
        <f t="shared" si="45"/>
        <v>1.1000000000000001</v>
      </c>
    </row>
    <row r="244" spans="4:16" x14ac:dyDescent="0.25" ht="20" customHeight="1">
      <c r="D244" s="20" t="s">
        <v>526</v>
      </c>
      <c r="E244" s="20" t="str">
        <f t="shared" ref="E244:K254" si="46">E172</f>
        <v>South West</v>
      </c>
      <c r="F244" s="20" t="str">
        <f t="shared" si="42"/>
        <v>Summer</v>
      </c>
      <c r="G244" s="20">
        <f t="shared" si="42"/>
        <v>0.44</v>
      </c>
      <c r="H244" s="20">
        <f t="shared" si="42"/>
        <v>-0.22</v>
      </c>
      <c r="I244" s="20">
        <f t="shared" si="42"/>
        <v>0.44</v>
      </c>
      <c r="J244" s="20">
        <f t="shared" si="42"/>
        <v>0.33</v>
      </c>
      <c r="K244" s="20">
        <f t="shared" si="42"/>
        <v>-0.22</v>
      </c>
      <c r="L244" s="20">
        <f t="shared" si="43"/>
        <v>-0.22</v>
      </c>
      <c r="M244" s="20">
        <f t="shared" si="43"/>
        <v>0.44</v>
      </c>
      <c r="N244" s="20">
        <f t="shared" si="43"/>
        <v>-0.11</v>
      </c>
      <c r="O244" s="20">
        <f t="shared" si="44"/>
        <v>-0.11</v>
      </c>
      <c r="P244" s="20">
        <f t="shared" si="45"/>
        <v>-0.11</v>
      </c>
    </row>
    <row r="245" spans="4:16" x14ac:dyDescent="0.25" ht="20" customHeight="1">
      <c r="D245" s="20" t="s">
        <v>526</v>
      </c>
      <c r="E245" s="20" t="str">
        <f t="shared" si="46"/>
        <v>South West</v>
      </c>
      <c r="F245" s="20" t="str">
        <f t="shared" si="42"/>
        <v>Autumn</v>
      </c>
      <c r="G245" s="20">
        <f t="shared" si="42"/>
        <v>0.6</v>
      </c>
      <c r="H245" s="20">
        <f t="shared" si="42"/>
        <v>0</v>
      </c>
      <c r="I245" s="20">
        <f t="shared" si="42"/>
        <v>0.6</v>
      </c>
      <c r="J245" s="20">
        <f t="shared" si="42"/>
        <v>0.22</v>
      </c>
      <c r="K245" s="20">
        <f t="shared" si="42"/>
        <v>-0.55000000000000004</v>
      </c>
      <c r="L245" s="20">
        <f t="shared" si="43"/>
        <v>-0.55000000000000004</v>
      </c>
      <c r="M245" s="20">
        <f t="shared" si="43"/>
        <v>0.6</v>
      </c>
      <c r="N245" s="20">
        <f t="shared" si="43"/>
        <v>0</v>
      </c>
      <c r="O245" s="20">
        <f t="shared" si="44"/>
        <v>0</v>
      </c>
      <c r="P245" s="20">
        <f t="shared" si="45"/>
        <v>0</v>
      </c>
    </row>
    <row r="246" spans="4:16" x14ac:dyDescent="0.25" ht="20" customHeight="1">
      <c r="D246" s="20" t="s">
        <v>526</v>
      </c>
      <c r="E246" s="20" t="str">
        <f t="shared" si="46"/>
        <v>South West</v>
      </c>
      <c r="F246" s="20" t="str">
        <f t="shared" si="42"/>
        <v>Winter</v>
      </c>
      <c r="G246" s="20">
        <f t="shared" si="42"/>
        <v>0.99</v>
      </c>
      <c r="H246" s="20">
        <f t="shared" si="42"/>
        <v>0.22</v>
      </c>
      <c r="I246" s="20">
        <f t="shared" si="42"/>
        <v>0.77</v>
      </c>
      <c r="J246" s="20">
        <f t="shared" si="42"/>
        <v>0.11</v>
      </c>
      <c r="K246" s="20">
        <f t="shared" si="42"/>
        <v>0.11</v>
      </c>
      <c r="L246" s="20">
        <f t="shared" si="43"/>
        <v>0.11</v>
      </c>
      <c r="M246" s="20">
        <f t="shared" si="43"/>
        <v>0.77</v>
      </c>
      <c r="N246" s="20">
        <f t="shared" si="43"/>
        <v>0.44</v>
      </c>
      <c r="O246" s="20">
        <f t="shared" si="44"/>
        <v>0.44</v>
      </c>
      <c r="P246" s="20">
        <f t="shared" si="45"/>
        <v>0.44</v>
      </c>
    </row>
    <row r="247" spans="4:16" x14ac:dyDescent="0.25" ht="20" customHeight="1">
      <c r="D247" s="20" t="s">
        <v>526</v>
      </c>
      <c r="E247" s="20" t="str">
        <f t="shared" si="46"/>
        <v>Pilbara</v>
      </c>
      <c r="F247" s="20" t="str">
        <f t="shared" si="42"/>
        <v>Spring</v>
      </c>
      <c r="G247" s="20">
        <f t="shared" si="42"/>
        <v>0.7</v>
      </c>
      <c r="H247" s="20">
        <f t="shared" si="42"/>
        <v>-0.55000000000000004</v>
      </c>
      <c r="I247" s="20">
        <f t="shared" si="42"/>
        <v>0.7</v>
      </c>
      <c r="J247" s="20">
        <f t="shared" si="42"/>
        <v>0.22</v>
      </c>
      <c r="K247" s="20">
        <f t="shared" si="42"/>
        <v>-0.22</v>
      </c>
      <c r="L247" s="20">
        <f t="shared" si="43"/>
        <v>-0.22</v>
      </c>
      <c r="M247" s="20">
        <f t="shared" si="43"/>
        <v>0.7</v>
      </c>
      <c r="N247" s="20">
        <f t="shared" si="43"/>
        <v>-0.22</v>
      </c>
      <c r="O247" s="20">
        <f t="shared" si="44"/>
        <v>-0.22</v>
      </c>
      <c r="P247" s="20">
        <f t="shared" si="45"/>
        <v>-0.22</v>
      </c>
    </row>
    <row r="248" spans="4:16" x14ac:dyDescent="0.25" ht="20" customHeight="1">
      <c r="D248" s="20" t="s">
        <v>526</v>
      </c>
      <c r="E248" s="20" t="str">
        <f t="shared" si="46"/>
        <v>Pilbara</v>
      </c>
      <c r="F248" s="20" t="str">
        <f t="shared" si="46"/>
        <v>Summer</v>
      </c>
      <c r="G248" s="20">
        <f t="shared" si="46"/>
        <v>0.77</v>
      </c>
      <c r="H248" s="20">
        <f t="shared" si="46"/>
        <v>0.55000000000000004</v>
      </c>
      <c r="I248" s="20">
        <f t="shared" si="46"/>
        <v>0.77</v>
      </c>
      <c r="J248" s="20">
        <f t="shared" si="46"/>
        <v>0.66</v>
      </c>
      <c r="K248" s="20">
        <f t="shared" si="46"/>
        <v>0.55000000000000004</v>
      </c>
      <c r="L248" s="20">
        <f t="shared" ref="L248:N254" si="47">K176</f>
        <v>0.55000000000000004</v>
      </c>
      <c r="M248" s="20">
        <f t="shared" si="47"/>
        <v>0.77</v>
      </c>
      <c r="N248" s="20">
        <f t="shared" si="47"/>
        <v>0.33</v>
      </c>
      <c r="O248" s="20">
        <f t="shared" si="44"/>
        <v>0.33</v>
      </c>
      <c r="P248" s="20">
        <f t="shared" si="45"/>
        <v>0.33</v>
      </c>
    </row>
    <row r="249" spans="4:16" x14ac:dyDescent="0.25" ht="20" customHeight="1">
      <c r="D249" s="20" t="s">
        <v>526</v>
      </c>
      <c r="E249" s="20" t="str">
        <f t="shared" si="46"/>
        <v>Pilbara</v>
      </c>
      <c r="F249" s="20" t="str">
        <f t="shared" si="46"/>
        <v>Autumn</v>
      </c>
      <c r="G249" s="20">
        <f t="shared" si="46"/>
        <v>0.88</v>
      </c>
      <c r="H249" s="20">
        <f t="shared" si="46"/>
        <v>0.55000000000000004</v>
      </c>
      <c r="I249" s="20">
        <f t="shared" si="46"/>
        <v>0.88</v>
      </c>
      <c r="J249" s="20">
        <f t="shared" si="46"/>
        <v>0.22</v>
      </c>
      <c r="K249" s="20">
        <f t="shared" si="46"/>
        <v>0.22</v>
      </c>
      <c r="L249" s="20">
        <f t="shared" si="47"/>
        <v>0.22</v>
      </c>
      <c r="M249" s="20">
        <f t="shared" si="47"/>
        <v>0.88</v>
      </c>
      <c r="N249" s="20">
        <f t="shared" si="47"/>
        <v>0.22</v>
      </c>
      <c r="O249" s="20">
        <f t="shared" si="44"/>
        <v>0.22</v>
      </c>
      <c r="P249" s="20">
        <f t="shared" si="45"/>
        <v>0.22</v>
      </c>
    </row>
    <row r="250" spans="4:16" x14ac:dyDescent="0.25" ht="20" customHeight="1">
      <c r="D250" s="20" t="s">
        <v>526</v>
      </c>
      <c r="E250" s="20" t="str">
        <f t="shared" si="46"/>
        <v>Pilbara</v>
      </c>
      <c r="F250" s="20" t="str">
        <f t="shared" si="46"/>
        <v>Winter</v>
      </c>
      <c r="G250" s="20">
        <f t="shared" si="46"/>
        <v>0.22</v>
      </c>
      <c r="H250" s="20">
        <f t="shared" si="46"/>
        <v>-0.55000000000000004</v>
      </c>
      <c r="I250" s="20">
        <f t="shared" si="46"/>
        <v>0.22</v>
      </c>
      <c r="J250" s="20">
        <f t="shared" si="46"/>
        <v>0.11</v>
      </c>
      <c r="K250" s="20">
        <f t="shared" si="46"/>
        <v>-0.22</v>
      </c>
      <c r="L250" s="20">
        <f t="shared" si="47"/>
        <v>-0.22</v>
      </c>
      <c r="M250" s="20">
        <f t="shared" si="47"/>
        <v>0.22</v>
      </c>
      <c r="N250" s="20">
        <f t="shared" si="47"/>
        <v>-0.33</v>
      </c>
      <c r="O250" s="20">
        <f t="shared" si="44"/>
        <v>-0.33</v>
      </c>
      <c r="P250" s="20">
        <f t="shared" si="45"/>
        <v>-0.33</v>
      </c>
    </row>
    <row r="251" spans="4:16" x14ac:dyDescent="0.25" ht="20" customHeight="1">
      <c r="D251" s="20" t="s">
        <v>526</v>
      </c>
      <c r="E251" s="20" t="str">
        <f t="shared" si="46"/>
        <v>Kimberley</v>
      </c>
      <c r="F251" s="20" t="str">
        <f t="shared" si="46"/>
        <v>Spring</v>
      </c>
      <c r="G251" s="20">
        <f t="shared" si="46"/>
        <v>0.22</v>
      </c>
      <c r="H251" s="20">
        <f t="shared" si="46"/>
        <v>-0.55000000000000004</v>
      </c>
      <c r="I251" s="20">
        <f t="shared" si="46"/>
        <v>0.33</v>
      </c>
      <c r="J251" s="20">
        <f t="shared" si="46"/>
        <v>0.22</v>
      </c>
      <c r="K251" s="20">
        <f t="shared" si="46"/>
        <v>-0.33</v>
      </c>
      <c r="L251" s="20">
        <f t="shared" si="47"/>
        <v>-0.33</v>
      </c>
      <c r="M251" s="20">
        <f t="shared" si="47"/>
        <v>0.22</v>
      </c>
      <c r="N251" s="20">
        <f t="shared" si="47"/>
        <v>-0.55000000000000004</v>
      </c>
      <c r="O251" s="20">
        <f t="shared" si="44"/>
        <v>-0.55000000000000004</v>
      </c>
      <c r="P251" s="20">
        <f t="shared" si="45"/>
        <v>-0.55000000000000004</v>
      </c>
    </row>
    <row r="252" spans="4:16" x14ac:dyDescent="0.25" ht="20" customHeight="1">
      <c r="D252" s="20" t="s">
        <v>526</v>
      </c>
      <c r="E252" s="20" t="str">
        <f t="shared" si="46"/>
        <v>Kimberley</v>
      </c>
      <c r="F252" s="20" t="str">
        <f t="shared" si="46"/>
        <v>Summer</v>
      </c>
      <c r="G252" s="20">
        <f t="shared" si="46"/>
        <v>0.8</v>
      </c>
      <c r="H252" s="20">
        <f t="shared" si="46"/>
        <v>0.55000000000000004</v>
      </c>
      <c r="I252" s="20">
        <f t="shared" si="46"/>
        <v>0.7</v>
      </c>
      <c r="J252" s="20">
        <f t="shared" si="46"/>
        <v>0.44</v>
      </c>
      <c r="K252" s="20">
        <f t="shared" si="46"/>
        <v>0.66</v>
      </c>
      <c r="L252" s="20">
        <f t="shared" si="47"/>
        <v>0.66</v>
      </c>
      <c r="M252" s="20">
        <f t="shared" si="47"/>
        <v>0.8</v>
      </c>
      <c r="N252" s="20">
        <f t="shared" si="47"/>
        <v>0.55000000000000004</v>
      </c>
      <c r="O252" s="20">
        <f t="shared" si="44"/>
        <v>0.55000000000000004</v>
      </c>
      <c r="P252" s="20">
        <f t="shared" si="45"/>
        <v>0.55000000000000004</v>
      </c>
    </row>
    <row r="253" spans="4:16" x14ac:dyDescent="0.25" ht="20" customHeight="1">
      <c r="D253" s="20" t="s">
        <v>526</v>
      </c>
      <c r="E253" s="20" t="str">
        <f t="shared" si="46"/>
        <v>Kimberley</v>
      </c>
      <c r="F253" s="20" t="str">
        <f t="shared" si="46"/>
        <v>Autumn</v>
      </c>
      <c r="G253" s="20">
        <f t="shared" si="46"/>
        <v>0.66</v>
      </c>
      <c r="H253" s="20">
        <f t="shared" si="46"/>
        <v>0.55000000000000004</v>
      </c>
      <c r="I253" s="20">
        <f t="shared" si="46"/>
        <v>0.55000000000000004</v>
      </c>
      <c r="J253" s="20">
        <f t="shared" si="46"/>
        <v>0.55000000000000004</v>
      </c>
      <c r="K253" s="20">
        <f t="shared" si="46"/>
        <v>0.11</v>
      </c>
      <c r="L253" s="20">
        <f t="shared" si="47"/>
        <v>0.11</v>
      </c>
      <c r="M253" s="20">
        <f t="shared" si="47"/>
        <v>0.66</v>
      </c>
      <c r="N253" s="20">
        <f t="shared" si="47"/>
        <v>0.55000000000000004</v>
      </c>
      <c r="O253" s="20">
        <f t="shared" si="44"/>
        <v>0.55000000000000004</v>
      </c>
      <c r="P253" s="20">
        <f t="shared" si="45"/>
        <v>0.55000000000000004</v>
      </c>
    </row>
    <row r="254" spans="4:16" x14ac:dyDescent="0.25" ht="20" customHeight="1">
      <c r="D254" s="20" t="s">
        <v>526</v>
      </c>
      <c r="E254" s="20" t="str">
        <f t="shared" si="46"/>
        <v>Kimberley</v>
      </c>
      <c r="F254" s="20" t="str">
        <f t="shared" si="46"/>
        <v>Winter</v>
      </c>
      <c r="G254" s="20">
        <f t="shared" si="46"/>
        <v>0.33</v>
      </c>
      <c r="H254" s="20">
        <f t="shared" si="46"/>
        <v>-0.55000000000000004</v>
      </c>
      <c r="I254" s="20">
        <f t="shared" si="46"/>
        <v>0.11</v>
      </c>
      <c r="J254" s="20">
        <f t="shared" si="46"/>
        <v>0.11</v>
      </c>
      <c r="K254" s="20">
        <f t="shared" si="46"/>
        <v>-0.44</v>
      </c>
      <c r="L254" s="20">
        <f t="shared" si="47"/>
        <v>-0.44</v>
      </c>
      <c r="M254" s="20">
        <f t="shared" si="47"/>
        <v>0.33</v>
      </c>
      <c r="N254" s="20">
        <f t="shared" si="47"/>
        <v>-0.55000000000000004</v>
      </c>
      <c r="O254" s="20">
        <f t="shared" si="44"/>
        <v>-0.55000000000000004</v>
      </c>
      <c r="P254" s="20">
        <f t="shared" si="45"/>
        <v>-0.55000000000000004</v>
      </c>
    </row>
    <row r="255" spans="4:16" x14ac:dyDescent="0.25" ht="20" customHeight="1">
      <c r="D255" s="20" t="s">
        <v>530</v>
      </c>
      <c r="E255" s="20" t="str">
        <f>E190</f>
        <v>Alice Springs</v>
      </c>
      <c r="F255" s="20" t="str">
        <f>F190</f>
        <v>Spring</v>
      </c>
      <c r="G255" s="20">
        <f>G190</f>
        <v>0.22</v>
      </c>
      <c r="H255" s="20">
        <f t="shared" ref="H255:P255" si="48">H190</f>
        <v>-0.23</v>
      </c>
      <c r="I255" s="20">
        <f t="shared" si="48"/>
        <v>0.25</v>
      </c>
      <c r="J255" s="20">
        <f t="shared" si="48"/>
        <v>0.17</v>
      </c>
      <c r="K255" s="20">
        <f t="shared" si="48"/>
        <v>0.18</v>
      </c>
      <c r="L255" s="20">
        <f t="shared" si="48"/>
        <v>-0.28000000000000003</v>
      </c>
      <c r="M255" s="20">
        <f t="shared" si="48"/>
        <v>0.32</v>
      </c>
      <c r="N255" s="20">
        <f t="shared" si="48"/>
        <v>0.24</v>
      </c>
      <c r="O255" s="20">
        <f t="shared" si="48"/>
        <v>0.25</v>
      </c>
      <c r="P255" s="20">
        <f t="shared" si="48"/>
        <v>-0.05</v>
      </c>
    </row>
    <row r="256" spans="4:16" x14ac:dyDescent="0.25" ht="20" customHeight="1">
      <c r="D256" s="20" t="s">
        <v>530</v>
      </c>
      <c r="E256" s="20" t="str">
        <f t="shared" ref="E256:P271" si="49">E191</f>
        <v>Alice Springs</v>
      </c>
      <c r="F256" s="20" t="str">
        <f t="shared" si="49"/>
        <v>Summer</v>
      </c>
      <c r="G256" s="20">
        <f t="shared" si="49"/>
        <v>0.66</v>
      </c>
      <c r="H256" s="20">
        <f t="shared" si="49"/>
        <v>0.2</v>
      </c>
      <c r="I256" s="20">
        <f t="shared" si="49"/>
        <v>0.62</v>
      </c>
      <c r="J256" s="20">
        <f t="shared" si="49"/>
        <v>0.54</v>
      </c>
      <c r="K256" s="20">
        <f t="shared" si="49"/>
        <v>0.38</v>
      </c>
      <c r="L256" s="20">
        <f t="shared" si="49"/>
        <v>0.27</v>
      </c>
      <c r="M256" s="20">
        <f t="shared" si="49"/>
        <v>0.75</v>
      </c>
      <c r="N256" s="20">
        <f t="shared" si="49"/>
        <v>0.64</v>
      </c>
      <c r="O256" s="20">
        <f t="shared" si="49"/>
        <v>0.55000000000000004</v>
      </c>
      <c r="P256" s="20">
        <f t="shared" si="49"/>
        <v>0.48</v>
      </c>
    </row>
    <row r="257" spans="4:16" x14ac:dyDescent="0.25" ht="20" customHeight="1">
      <c r="D257" s="20" t="s">
        <v>530</v>
      </c>
      <c r="E257" s="20" t="str">
        <f t="shared" si="49"/>
        <v>Alice Springs</v>
      </c>
      <c r="F257" s="20" t="str">
        <f t="shared" si="49"/>
        <v>Autumn</v>
      </c>
      <c r="G257" s="20">
        <f t="shared" si="49"/>
        <v>0.49</v>
      </c>
      <c r="H257" s="20">
        <f t="shared" si="49"/>
        <v>0.13</v>
      </c>
      <c r="I257" s="20">
        <f t="shared" si="49"/>
        <v>0.54</v>
      </c>
      <c r="J257" s="20">
        <f t="shared" si="49"/>
        <v>0.45</v>
      </c>
      <c r="K257" s="20">
        <f t="shared" si="49"/>
        <v>0.35</v>
      </c>
      <c r="L257" s="20">
        <f t="shared" si="49"/>
        <v>0.15</v>
      </c>
      <c r="M257" s="20">
        <f t="shared" si="49"/>
        <v>0.63</v>
      </c>
      <c r="N257" s="20">
        <f t="shared" si="49"/>
        <v>0.54</v>
      </c>
      <c r="O257" s="20">
        <f t="shared" si="49"/>
        <v>0.42</v>
      </c>
      <c r="P257" s="20">
        <f t="shared" si="49"/>
        <v>0.26</v>
      </c>
    </row>
    <row r="258" spans="4:16" x14ac:dyDescent="0.25" ht="20" customHeight="1">
      <c r="D258" s="20" t="s">
        <v>530</v>
      </c>
      <c r="E258" s="20" t="str">
        <f t="shared" si="49"/>
        <v>Alice Springs</v>
      </c>
      <c r="F258" s="20" t="str">
        <f t="shared" si="49"/>
        <v>Winter</v>
      </c>
      <c r="G258" s="20">
        <f t="shared" si="49"/>
        <v>0.27</v>
      </c>
      <c r="H258" s="20">
        <f t="shared" si="49"/>
        <v>-0.8</v>
      </c>
      <c r="I258" s="20">
        <f t="shared" si="49"/>
        <v>0.22</v>
      </c>
      <c r="J258" s="20">
        <f t="shared" si="49"/>
        <v>0.09</v>
      </c>
      <c r="K258" s="20">
        <f t="shared" si="49"/>
        <v>0.12</v>
      </c>
      <c r="L258" s="20">
        <f t="shared" si="49"/>
        <v>0.02</v>
      </c>
      <c r="M258" s="20">
        <f t="shared" si="49"/>
        <v>0.25</v>
      </c>
      <c r="N258" s="20">
        <f t="shared" si="49"/>
        <v>0.18</v>
      </c>
      <c r="O258" s="20">
        <f t="shared" si="49"/>
        <v>0.12</v>
      </c>
      <c r="P258" s="20">
        <f t="shared" si="49"/>
        <v>0.03</v>
      </c>
    </row>
    <row r="259" spans="4:16" x14ac:dyDescent="0.25" ht="20" customHeight="1">
      <c r="D259" s="20" t="s">
        <v>530</v>
      </c>
      <c r="E259" s="20" t="str">
        <f t="shared" si="49"/>
        <v>Barkly</v>
      </c>
      <c r="F259" s="20" t="str">
        <f t="shared" si="49"/>
        <v>Spring</v>
      </c>
      <c r="G259" s="20">
        <f t="shared" si="49"/>
        <v>0.22</v>
      </c>
      <c r="H259" s="20">
        <f t="shared" si="49"/>
        <v>-0.44</v>
      </c>
      <c r="I259" s="20">
        <f t="shared" si="49"/>
        <v>0.2</v>
      </c>
      <c r="J259" s="20">
        <f t="shared" si="49"/>
        <v>0.21</v>
      </c>
      <c r="K259" s="20">
        <f t="shared" si="49"/>
        <v>0.18</v>
      </c>
      <c r="L259" s="20">
        <f t="shared" si="49"/>
        <v>0.01</v>
      </c>
      <c r="M259" s="20">
        <f t="shared" si="49"/>
        <v>0.12</v>
      </c>
      <c r="N259" s="20">
        <f t="shared" si="49"/>
        <v>0.09</v>
      </c>
      <c r="O259" s="20" t="str">
        <f t="shared" si="49"/>
        <v>NO</v>
      </c>
      <c r="P259" s="20" t="str">
        <f t="shared" si="49"/>
        <v>NO</v>
      </c>
    </row>
    <row r="260" spans="4:16" x14ac:dyDescent="0.25" ht="20" customHeight="1">
      <c r="D260" s="20" t="s">
        <v>530</v>
      </c>
      <c r="E260" s="20" t="str">
        <f t="shared" si="49"/>
        <v>Barkly</v>
      </c>
      <c r="F260" s="20" t="str">
        <f t="shared" si="49"/>
        <v>Summer</v>
      </c>
      <c r="G260" s="20">
        <f t="shared" si="49"/>
        <v>0.66</v>
      </c>
      <c r="H260" s="20">
        <f t="shared" si="49"/>
        <v>0.22</v>
      </c>
      <c r="I260" s="20">
        <f t="shared" si="49"/>
        <v>0.68</v>
      </c>
      <c r="J260" s="20">
        <f t="shared" si="49"/>
        <v>0.22</v>
      </c>
      <c r="K260" s="20">
        <f t="shared" si="49"/>
        <v>0.24</v>
      </c>
      <c r="L260" s="20">
        <f t="shared" si="49"/>
        <v>0.25</v>
      </c>
      <c r="M260" s="20">
        <f t="shared" si="49"/>
        <v>0.64</v>
      </c>
      <c r="N260" s="20">
        <f t="shared" si="49"/>
        <v>0.37</v>
      </c>
      <c r="O260" s="20" t="str">
        <f t="shared" si="49"/>
        <v>NO</v>
      </c>
      <c r="P260" s="20" t="str">
        <f t="shared" si="49"/>
        <v>NO</v>
      </c>
    </row>
    <row r="261" spans="4:16" x14ac:dyDescent="0.25" ht="20" customHeight="1">
      <c r="D261" s="20" t="s">
        <v>530</v>
      </c>
      <c r="E261" s="20" t="str">
        <f t="shared" si="49"/>
        <v>Barkly</v>
      </c>
      <c r="F261" s="20" t="str">
        <f t="shared" si="49"/>
        <v>Autumn</v>
      </c>
      <c r="G261" s="20">
        <f t="shared" si="49"/>
        <v>0.49</v>
      </c>
      <c r="H261" s="20">
        <f t="shared" si="49"/>
        <v>0.05</v>
      </c>
      <c r="I261" s="20">
        <f t="shared" si="49"/>
        <v>0.64</v>
      </c>
      <c r="J261" s="20">
        <f t="shared" si="49"/>
        <v>0.25</v>
      </c>
      <c r="K261" s="20">
        <f t="shared" si="49"/>
        <v>0.28999999999999998</v>
      </c>
      <c r="L261" s="20">
        <f t="shared" si="49"/>
        <v>0.12</v>
      </c>
      <c r="M261" s="20">
        <f t="shared" si="49"/>
        <v>0.56999999999999995</v>
      </c>
      <c r="N261" s="20">
        <f t="shared" si="49"/>
        <v>0.49</v>
      </c>
      <c r="O261" s="20" t="str">
        <f t="shared" si="49"/>
        <v>NO</v>
      </c>
      <c r="P261" s="20" t="str">
        <f t="shared" si="49"/>
        <v>NO</v>
      </c>
    </row>
    <row r="262" spans="4:16" x14ac:dyDescent="0.25" ht="20" customHeight="1">
      <c r="D262" s="20" t="s">
        <v>530</v>
      </c>
      <c r="E262" s="20" t="str">
        <f t="shared" si="49"/>
        <v>Barkly</v>
      </c>
      <c r="F262" s="20" t="str">
        <f t="shared" si="49"/>
        <v>Winter</v>
      </c>
      <c r="G262" s="20">
        <f t="shared" si="49"/>
        <v>0.27</v>
      </c>
      <c r="H262" s="20">
        <f t="shared" si="49"/>
        <v>-0.27</v>
      </c>
      <c r="I262" s="20">
        <f t="shared" si="49"/>
        <v>0.31</v>
      </c>
      <c r="J262" s="20">
        <f t="shared" si="49"/>
        <v>0.28999999999999998</v>
      </c>
      <c r="K262" s="20">
        <f t="shared" si="49"/>
        <v>0.19</v>
      </c>
      <c r="L262" s="20">
        <f t="shared" si="49"/>
        <v>0.04</v>
      </c>
      <c r="M262" s="20">
        <f t="shared" si="49"/>
        <v>0.26</v>
      </c>
      <c r="N262" s="20">
        <f t="shared" si="49"/>
        <v>0.28000000000000003</v>
      </c>
      <c r="O262" s="20" t="str">
        <f t="shared" si="49"/>
        <v>NO</v>
      </c>
      <c r="P262" s="20" t="str">
        <f t="shared" si="49"/>
        <v>NO</v>
      </c>
    </row>
    <row r="263" spans="4:16" x14ac:dyDescent="0.25" ht="20" customHeight="1">
      <c r="D263" s="20" t="s">
        <v>530</v>
      </c>
      <c r="E263" s="20" t="str">
        <f t="shared" si="49"/>
        <v>Northern</v>
      </c>
      <c r="F263" s="20" t="str">
        <f t="shared" si="49"/>
        <v>Spring</v>
      </c>
      <c r="G263" s="20">
        <f t="shared" si="49"/>
        <v>0.22</v>
      </c>
      <c r="H263" s="20">
        <f t="shared" si="49"/>
        <v>-0.44</v>
      </c>
      <c r="I263" s="20">
        <f t="shared" si="49"/>
        <v>0</v>
      </c>
      <c r="J263" s="20">
        <f t="shared" si="49"/>
        <v>0.15</v>
      </c>
      <c r="K263" s="20">
        <f t="shared" si="49"/>
        <v>0.08</v>
      </c>
      <c r="L263" s="20">
        <f t="shared" si="49"/>
        <v>0.17</v>
      </c>
      <c r="M263" s="20">
        <f t="shared" si="49"/>
        <v>0.06</v>
      </c>
      <c r="N263" s="20">
        <f t="shared" si="49"/>
        <v>0.02</v>
      </c>
      <c r="O263" s="20">
        <f t="shared" si="49"/>
        <v>-0.14000000000000001</v>
      </c>
      <c r="P263" s="20" t="str">
        <f t="shared" si="49"/>
        <v>NO</v>
      </c>
    </row>
    <row r="264" spans="4:16" x14ac:dyDescent="0.25" ht="20" customHeight="1">
      <c r="D264" s="20" t="s">
        <v>530</v>
      </c>
      <c r="E264" s="20" t="str">
        <f t="shared" si="49"/>
        <v>Northern</v>
      </c>
      <c r="F264" s="20" t="str">
        <f t="shared" si="49"/>
        <v>Summer</v>
      </c>
      <c r="G264" s="20">
        <f t="shared" si="49"/>
        <v>0.66</v>
      </c>
      <c r="H264" s="20">
        <f t="shared" si="49"/>
        <v>0.22</v>
      </c>
      <c r="I264" s="20">
        <f t="shared" si="49"/>
        <v>0.79</v>
      </c>
      <c r="J264" s="20">
        <f t="shared" si="49"/>
        <v>0.4</v>
      </c>
      <c r="K264" s="20">
        <f t="shared" si="49"/>
        <v>0.38</v>
      </c>
      <c r="L264" s="20">
        <f t="shared" si="49"/>
        <v>0.27</v>
      </c>
      <c r="M264" s="20">
        <f t="shared" si="49"/>
        <v>0.8</v>
      </c>
      <c r="N264" s="20">
        <f t="shared" si="49"/>
        <v>0.16</v>
      </c>
      <c r="O264" s="20">
        <f t="shared" si="49"/>
        <v>0.3</v>
      </c>
      <c r="P264" s="20" t="str">
        <f t="shared" si="49"/>
        <v>NO</v>
      </c>
    </row>
    <row r="265" spans="4:16" x14ac:dyDescent="0.25" ht="20" customHeight="1">
      <c r="D265" s="20" t="s">
        <v>530</v>
      </c>
      <c r="E265" s="20" t="str">
        <f t="shared" si="49"/>
        <v>Northern</v>
      </c>
      <c r="F265" s="20" t="str">
        <f t="shared" si="49"/>
        <v>Autumn</v>
      </c>
      <c r="G265" s="20">
        <f t="shared" si="49"/>
        <v>0.49</v>
      </c>
      <c r="H265" s="20">
        <f t="shared" si="49"/>
        <v>0.05</v>
      </c>
      <c r="I265" s="20">
        <f t="shared" si="49"/>
        <v>0.55000000000000004</v>
      </c>
      <c r="J265" s="20">
        <f t="shared" si="49"/>
        <v>0.38</v>
      </c>
      <c r="K265" s="20">
        <f t="shared" si="49"/>
        <v>0.36</v>
      </c>
      <c r="L265" s="20">
        <f t="shared" si="49"/>
        <v>0.06</v>
      </c>
      <c r="M265" s="20">
        <f t="shared" si="49"/>
        <v>0.57999999999999996</v>
      </c>
      <c r="N265" s="20">
        <f t="shared" si="49"/>
        <v>0.23</v>
      </c>
      <c r="O265" s="20">
        <f t="shared" si="49"/>
        <v>0.4</v>
      </c>
      <c r="P265" s="20" t="str">
        <f t="shared" si="49"/>
        <v>NO</v>
      </c>
    </row>
    <row r="266" spans="4:16" x14ac:dyDescent="0.25" ht="20" customHeight="1">
      <c r="D266" s="20" t="s">
        <v>530</v>
      </c>
      <c r="E266" s="20" t="str">
        <f t="shared" si="49"/>
        <v>Northern</v>
      </c>
      <c r="F266" s="20" t="str">
        <f t="shared" si="49"/>
        <v>Winter</v>
      </c>
      <c r="G266" s="20">
        <f t="shared" si="49"/>
        <v>0.27</v>
      </c>
      <c r="H266" s="20">
        <f t="shared" si="49"/>
        <v>-0.27</v>
      </c>
      <c r="I266" s="20">
        <f t="shared" si="49"/>
        <v>0.02</v>
      </c>
      <c r="J266" s="20">
        <f t="shared" si="49"/>
        <v>0.09</v>
      </c>
      <c r="K266" s="20">
        <f t="shared" si="49"/>
        <v>0.16</v>
      </c>
      <c r="L266" s="20">
        <f t="shared" si="49"/>
        <v>-0.04</v>
      </c>
      <c r="M266" s="20">
        <f t="shared" si="49"/>
        <v>0.21</v>
      </c>
      <c r="N266" s="20">
        <f t="shared" si="49"/>
        <v>0.03</v>
      </c>
      <c r="O266" s="20">
        <f t="shared" si="49"/>
        <v>0.11</v>
      </c>
      <c r="P266" s="20" t="str">
        <f t="shared" si="49"/>
        <v>NO</v>
      </c>
    </row>
    <row r="267" spans="4:16" x14ac:dyDescent="0.25" ht="20" customHeight="1">
      <c r="D267" s="20" t="s">
        <v>534</v>
      </c>
      <c r="E267" s="20" t="str">
        <f t="shared" si="49"/>
        <v>High</v>
      </c>
      <c r="F267" s="20" t="str">
        <f t="shared" si="49"/>
        <v>Spring</v>
      </c>
      <c r="G267" s="20">
        <f t="shared" si="49"/>
        <v>0.27</v>
      </c>
      <c r="H267" s="20">
        <f t="shared" si="49"/>
        <v>-0.19</v>
      </c>
      <c r="I267" s="20">
        <f t="shared" si="49"/>
        <v>0.38</v>
      </c>
      <c r="J267" s="20">
        <f t="shared" si="49"/>
        <v>0.25</v>
      </c>
      <c r="K267" s="20">
        <f t="shared" si="49"/>
        <v>7.0000000000000007E-2</v>
      </c>
      <c r="L267" s="20">
        <f t="shared" si="49"/>
        <v>0.05</v>
      </c>
      <c r="M267" s="20">
        <f t="shared" si="49"/>
        <v>0.52</v>
      </c>
      <c r="N267" s="20">
        <f t="shared" si="49"/>
        <v>0.55000000000000004</v>
      </c>
      <c r="O267" s="20">
        <f t="shared" si="49"/>
        <v>0.19</v>
      </c>
      <c r="P267" s="20">
        <f t="shared" si="49"/>
        <v>0.6</v>
      </c>
    </row>
    <row r="268" spans="4:16" x14ac:dyDescent="0.25" ht="20" customHeight="1">
      <c r="D268" s="20" t="s">
        <v>534</v>
      </c>
      <c r="E268" s="20" t="str">
        <f t="shared" si="49"/>
        <v>High</v>
      </c>
      <c r="F268" s="20" t="str">
        <f t="shared" si="49"/>
        <v>Summer</v>
      </c>
      <c r="G268" s="20">
        <f t="shared" si="49"/>
        <v>0.16</v>
      </c>
      <c r="H268" s="20">
        <f t="shared" si="49"/>
        <v>0.16</v>
      </c>
      <c r="I268" s="20">
        <f t="shared" si="49"/>
        <v>0.8</v>
      </c>
      <c r="J268" s="20">
        <f t="shared" si="49"/>
        <v>0.56999999999999995</v>
      </c>
      <c r="K268" s="20">
        <f t="shared" si="49"/>
        <v>0.76</v>
      </c>
      <c r="L268" s="20">
        <f t="shared" si="49"/>
        <v>0.49</v>
      </c>
      <c r="M268" s="20">
        <f t="shared" si="49"/>
        <v>0.84</v>
      </c>
      <c r="N268" s="20">
        <f t="shared" si="49"/>
        <v>0.51</v>
      </c>
      <c r="O268" s="20">
        <f t="shared" si="49"/>
        <v>0.36</v>
      </c>
      <c r="P268" s="20">
        <f t="shared" si="49"/>
        <v>0.17</v>
      </c>
    </row>
    <row r="269" spans="4:16" x14ac:dyDescent="0.25" ht="20" customHeight="1">
      <c r="D269" s="20" t="s">
        <v>534</v>
      </c>
      <c r="E269" s="20" t="str">
        <f t="shared" si="49"/>
        <v>High</v>
      </c>
      <c r="F269" s="20" t="str">
        <f t="shared" si="49"/>
        <v>Autumn</v>
      </c>
      <c r="G269" s="20">
        <f t="shared" si="49"/>
        <v>0.45</v>
      </c>
      <c r="H269" s="20">
        <f t="shared" si="49"/>
        <v>0.1</v>
      </c>
      <c r="I269" s="20">
        <f t="shared" si="49"/>
        <v>0.49</v>
      </c>
      <c r="J269" s="20">
        <f t="shared" si="49"/>
        <v>0.41</v>
      </c>
      <c r="K269" s="20">
        <f t="shared" si="49"/>
        <v>0.4</v>
      </c>
      <c r="L269" s="20">
        <f t="shared" si="49"/>
        <v>0.17</v>
      </c>
      <c r="M269" s="20">
        <f t="shared" si="49"/>
        <v>0.54</v>
      </c>
      <c r="N269" s="20">
        <f t="shared" si="49"/>
        <v>0.64</v>
      </c>
      <c r="O269" s="20">
        <f t="shared" si="49"/>
        <v>-0.05</v>
      </c>
      <c r="P269" s="20">
        <f t="shared" si="49"/>
        <v>0.32</v>
      </c>
    </row>
    <row r="270" spans="4:16" x14ac:dyDescent="0.25" ht="20" customHeight="1">
      <c r="D270" s="20" t="s">
        <v>534</v>
      </c>
      <c r="E270" s="20" t="str">
        <f t="shared" si="49"/>
        <v>High</v>
      </c>
      <c r="F270" s="20" t="str">
        <f t="shared" si="49"/>
        <v>Winter</v>
      </c>
      <c r="G270" s="20">
        <f t="shared" si="49"/>
        <v>0.51</v>
      </c>
      <c r="H270" s="20">
        <f t="shared" si="49"/>
        <v>-7.0000000000000007E-2</v>
      </c>
      <c r="I270" s="20">
        <f t="shared" si="49"/>
        <v>0.13</v>
      </c>
      <c r="J270" s="20">
        <f t="shared" si="49"/>
        <v>-0.09</v>
      </c>
      <c r="K270" s="20">
        <f t="shared" si="49"/>
        <v>-0.13</v>
      </c>
      <c r="L270" s="20">
        <f t="shared" si="49"/>
        <v>7.0000000000000007E-2</v>
      </c>
      <c r="M270" s="20">
        <f t="shared" si="49"/>
        <v>0.25</v>
      </c>
      <c r="N270" s="20">
        <f t="shared" si="49"/>
        <v>0.71</v>
      </c>
      <c r="O270" s="20">
        <f t="shared" si="49"/>
        <v>0.17</v>
      </c>
      <c r="P270" s="20">
        <f t="shared" si="49"/>
        <v>0.43</v>
      </c>
    </row>
    <row r="271" spans="4:16" x14ac:dyDescent="0.25" ht="20" customHeight="1">
      <c r="D271" s="20" t="s">
        <v>534</v>
      </c>
      <c r="E271" s="20" t="str">
        <f t="shared" si="49"/>
        <v>Moderate/High</v>
      </c>
      <c r="F271" s="20" t="str">
        <f t="shared" si="49"/>
        <v>Spring</v>
      </c>
      <c r="G271" s="20">
        <f t="shared" si="49"/>
        <v>-0.12</v>
      </c>
      <c r="H271" s="20">
        <f t="shared" si="49"/>
        <v>-0.19</v>
      </c>
      <c r="I271" s="20">
        <f t="shared" si="49"/>
        <v>0.41</v>
      </c>
      <c r="J271" s="20">
        <f t="shared" si="49"/>
        <v>0.09</v>
      </c>
      <c r="K271" s="20">
        <f t="shared" si="49"/>
        <v>0.41</v>
      </c>
      <c r="L271" s="20">
        <f t="shared" si="49"/>
        <v>-0.19</v>
      </c>
      <c r="M271" s="20">
        <f t="shared" si="49"/>
        <v>7.0000000000000007E-2</v>
      </c>
      <c r="N271" s="20">
        <f t="shared" si="49"/>
        <v>1.07</v>
      </c>
      <c r="O271" s="20">
        <f t="shared" si="49"/>
        <v>-0.08</v>
      </c>
      <c r="P271" s="20">
        <f t="shared" si="49"/>
        <v>0</v>
      </c>
    </row>
    <row r="272" spans="4:16" x14ac:dyDescent="0.25" ht="20" customHeight="1">
      <c r="D272" s="20" t="s">
        <v>534</v>
      </c>
      <c r="E272" s="20" t="str">
        <f t="shared" ref="E272:P282" si="50">E207</f>
        <v>Moderate/High</v>
      </c>
      <c r="F272" s="20" t="str">
        <f t="shared" si="50"/>
        <v>Summer</v>
      </c>
      <c r="G272" s="20">
        <f t="shared" si="50"/>
        <v>0.65</v>
      </c>
      <c r="H272" s="20">
        <f t="shared" si="50"/>
        <v>0.19</v>
      </c>
      <c r="I272" s="20">
        <f t="shared" si="50"/>
        <v>0.65</v>
      </c>
      <c r="J272" s="20">
        <f t="shared" si="50"/>
        <v>0.51</v>
      </c>
      <c r="K272" s="20">
        <f t="shared" si="50"/>
        <v>0.18</v>
      </c>
      <c r="L272" s="20">
        <f t="shared" si="50"/>
        <v>0.63</v>
      </c>
      <c r="M272" s="20">
        <f t="shared" si="50"/>
        <v>1.3</v>
      </c>
      <c r="N272" s="20">
        <f t="shared" si="50"/>
        <v>0.48</v>
      </c>
      <c r="O272" s="20">
        <f t="shared" si="50"/>
        <v>1.1200000000000001</v>
      </c>
      <c r="P272" s="20">
        <f t="shared" si="50"/>
        <v>0.38</v>
      </c>
    </row>
    <row r="273" spans="4:16" x14ac:dyDescent="0.25" ht="20" customHeight="1">
      <c r="D273" s="20" t="s">
        <v>534</v>
      </c>
      <c r="E273" s="20" t="str">
        <f t="shared" si="50"/>
        <v>Moderate/High</v>
      </c>
      <c r="F273" s="20" t="str">
        <f t="shared" si="50"/>
        <v>Autumn</v>
      </c>
      <c r="G273" s="20">
        <f t="shared" si="50"/>
        <v>0.7</v>
      </c>
      <c r="H273" s="20">
        <f t="shared" si="50"/>
        <v>0.13</v>
      </c>
      <c r="I273" s="20">
        <f t="shared" si="50"/>
        <v>0.52</v>
      </c>
      <c r="J273" s="20">
        <f t="shared" si="50"/>
        <v>0.34</v>
      </c>
      <c r="K273" s="20">
        <f t="shared" si="50"/>
        <v>0.02</v>
      </c>
      <c r="L273" s="20">
        <f t="shared" si="50"/>
        <v>0.04</v>
      </c>
      <c r="M273" s="20">
        <f t="shared" si="50"/>
        <v>0.77</v>
      </c>
      <c r="N273" s="20">
        <f t="shared" si="50"/>
        <v>0.42</v>
      </c>
      <c r="O273" s="20">
        <f t="shared" si="50"/>
        <v>0.12</v>
      </c>
      <c r="P273" s="20">
        <f t="shared" si="50"/>
        <v>0.74</v>
      </c>
    </row>
    <row r="274" spans="4:16" x14ac:dyDescent="0.25" ht="20" customHeight="1">
      <c r="D274" s="20" t="s">
        <v>534</v>
      </c>
      <c r="E274" s="20" t="str">
        <f t="shared" si="50"/>
        <v>Moderate/High</v>
      </c>
      <c r="F274" s="20" t="str">
        <f t="shared" si="50"/>
        <v>Winter</v>
      </c>
      <c r="G274" s="20">
        <f t="shared" si="50"/>
        <v>0.32</v>
      </c>
      <c r="H274" s="20">
        <f t="shared" si="50"/>
        <v>-0.06</v>
      </c>
      <c r="I274" s="20">
        <f t="shared" si="50"/>
        <v>0.25</v>
      </c>
      <c r="J274" s="20">
        <f t="shared" si="50"/>
        <v>0.19</v>
      </c>
      <c r="K274" s="20">
        <f t="shared" si="50"/>
        <v>-0.1</v>
      </c>
      <c r="L274" s="20">
        <f t="shared" si="50"/>
        <v>-0.02</v>
      </c>
      <c r="M274" s="20">
        <f t="shared" si="50"/>
        <v>0.02</v>
      </c>
      <c r="N274" s="20">
        <f t="shared" si="50"/>
        <v>0.23</v>
      </c>
      <c r="O274" s="20">
        <f t="shared" si="50"/>
        <v>-0.13</v>
      </c>
      <c r="P274" s="20">
        <f t="shared" si="50"/>
        <v>0</v>
      </c>
    </row>
    <row r="275" spans="4:16" x14ac:dyDescent="0.25" ht="20" customHeight="1">
      <c r="D275" s="20" t="s">
        <v>534</v>
      </c>
      <c r="E275" s="20" t="str">
        <f t="shared" si="50"/>
        <v>Moderate/Low</v>
      </c>
      <c r="F275" s="20" t="str">
        <f t="shared" si="50"/>
        <v>Spring</v>
      </c>
      <c r="G275" s="20">
        <f t="shared" si="50"/>
        <v>0.62</v>
      </c>
      <c r="H275" s="20">
        <f t="shared" si="50"/>
        <v>-0.19</v>
      </c>
      <c r="I275" s="20">
        <f t="shared" si="50"/>
        <v>0.37</v>
      </c>
      <c r="J275" s="20">
        <f t="shared" si="50"/>
        <v>0.41</v>
      </c>
      <c r="K275" s="20">
        <f t="shared" si="50"/>
        <v>0.06</v>
      </c>
      <c r="L275" s="20">
        <f t="shared" si="50"/>
        <v>-0.02</v>
      </c>
      <c r="M275" s="20">
        <f t="shared" si="50"/>
        <v>0.47</v>
      </c>
      <c r="N275" s="20">
        <f t="shared" si="50"/>
        <v>0.44</v>
      </c>
      <c r="O275" s="20">
        <f t="shared" si="50"/>
        <v>0.3</v>
      </c>
      <c r="P275" s="20">
        <f t="shared" si="50"/>
        <v>0.13</v>
      </c>
    </row>
    <row r="276" spans="4:16" x14ac:dyDescent="0.25" ht="20" customHeight="1">
      <c r="D276" s="20" t="s">
        <v>534</v>
      </c>
      <c r="E276" s="20" t="str">
        <f t="shared" si="50"/>
        <v>Moderate/Low</v>
      </c>
      <c r="F276" s="20" t="str">
        <f t="shared" si="50"/>
        <v>Summer</v>
      </c>
      <c r="G276" s="20">
        <f t="shared" si="50"/>
        <v>0.05</v>
      </c>
      <c r="H276" s="20">
        <f t="shared" si="50"/>
        <v>0.19</v>
      </c>
      <c r="I276" s="20">
        <f t="shared" si="50"/>
        <v>0.31</v>
      </c>
      <c r="J276" s="20">
        <f t="shared" si="50"/>
        <v>0.54</v>
      </c>
      <c r="K276" s="20">
        <f t="shared" si="50"/>
        <v>0.53</v>
      </c>
      <c r="L276" s="20">
        <f t="shared" si="50"/>
        <v>0.15</v>
      </c>
      <c r="M276" s="20">
        <f t="shared" si="50"/>
        <v>0.28000000000000003</v>
      </c>
      <c r="N276" s="20">
        <f t="shared" si="50"/>
        <v>0.56999999999999995</v>
      </c>
      <c r="O276" s="20">
        <f t="shared" si="50"/>
        <v>0.42</v>
      </c>
      <c r="P276" s="20">
        <f t="shared" si="50"/>
        <v>0.4</v>
      </c>
    </row>
    <row r="277" spans="4:16" x14ac:dyDescent="0.25" ht="20" customHeight="1">
      <c r="D277" s="20" t="s">
        <v>534</v>
      </c>
      <c r="E277" s="20" t="str">
        <f t="shared" si="50"/>
        <v>Moderate/Low</v>
      </c>
      <c r="F277" s="20" t="str">
        <f t="shared" si="50"/>
        <v>Autumn</v>
      </c>
      <c r="G277" s="20">
        <f t="shared" si="50"/>
        <v>0.33</v>
      </c>
      <c r="H277" s="20">
        <f t="shared" si="50"/>
        <v>0.13</v>
      </c>
      <c r="I277" s="20">
        <f t="shared" si="50"/>
        <v>0.39</v>
      </c>
      <c r="J277" s="20">
        <f t="shared" si="50"/>
        <v>0.36</v>
      </c>
      <c r="K277" s="20">
        <f t="shared" si="50"/>
        <v>0.26</v>
      </c>
      <c r="L277" s="20">
        <f t="shared" si="50"/>
        <v>0.11</v>
      </c>
      <c r="M277" s="20">
        <f t="shared" si="50"/>
        <v>0.4</v>
      </c>
      <c r="N277" s="20">
        <f t="shared" si="50"/>
        <v>0.44</v>
      </c>
      <c r="O277" s="20">
        <f t="shared" si="50"/>
        <v>0.37</v>
      </c>
      <c r="P277" s="20">
        <f t="shared" si="50"/>
        <v>-0.01</v>
      </c>
    </row>
    <row r="278" spans="4:16" x14ac:dyDescent="0.25" ht="20" customHeight="1">
      <c r="D278" s="20" t="s">
        <v>534</v>
      </c>
      <c r="E278" s="20" t="str">
        <f t="shared" si="50"/>
        <v>Moderate/Low</v>
      </c>
      <c r="F278" s="20" t="str">
        <f t="shared" si="50"/>
        <v>Winter</v>
      </c>
      <c r="G278" s="20">
        <f t="shared" si="50"/>
        <v>0.61</v>
      </c>
      <c r="H278" s="20">
        <f t="shared" si="50"/>
        <v>-0.06</v>
      </c>
      <c r="I278" s="20">
        <f t="shared" si="50"/>
        <v>0.21</v>
      </c>
      <c r="J278" s="20">
        <f t="shared" si="50"/>
        <v>0.18</v>
      </c>
      <c r="K278" s="20">
        <f t="shared" si="50"/>
        <v>0.12</v>
      </c>
      <c r="L278" s="20">
        <f t="shared" si="50"/>
        <v>0.06</v>
      </c>
      <c r="M278" s="20">
        <f t="shared" si="50"/>
        <v>0.28999999999999998</v>
      </c>
      <c r="N278" s="20">
        <f t="shared" si="50"/>
        <v>0.41</v>
      </c>
      <c r="O278" s="20">
        <f t="shared" si="50"/>
        <v>0.41</v>
      </c>
      <c r="P278" s="20">
        <f t="shared" si="50"/>
        <v>-0.15</v>
      </c>
    </row>
    <row r="279" spans="4:16" x14ac:dyDescent="0.25" ht="20" customHeight="1">
      <c r="D279" s="20" t="s">
        <v>534</v>
      </c>
      <c r="E279" s="20" t="str">
        <f t="shared" si="50"/>
        <v>Low</v>
      </c>
      <c r="F279" s="20" t="str">
        <f t="shared" si="50"/>
        <v>Spring</v>
      </c>
      <c r="G279" s="20">
        <f t="shared" si="50"/>
        <v>-0.2</v>
      </c>
      <c r="H279" s="20">
        <f t="shared" si="50"/>
        <v>0.02</v>
      </c>
      <c r="I279" s="20">
        <f t="shared" si="50"/>
        <v>0.24</v>
      </c>
      <c r="J279" s="20">
        <f t="shared" si="50"/>
        <v>0.3</v>
      </c>
      <c r="K279" s="20">
        <f t="shared" si="50"/>
        <v>0.23</v>
      </c>
      <c r="L279" s="20">
        <f t="shared" si="50"/>
        <v>-0.05</v>
      </c>
      <c r="M279" s="20">
        <f t="shared" si="50"/>
        <v>0.34</v>
      </c>
      <c r="N279" s="20">
        <f t="shared" si="50"/>
        <v>0.3</v>
      </c>
      <c r="O279" s="20">
        <f t="shared" si="50"/>
        <v>0.56999999999999995</v>
      </c>
      <c r="P279" s="20">
        <f t="shared" si="50"/>
        <v>0.52</v>
      </c>
    </row>
    <row r="280" spans="4:16" x14ac:dyDescent="0.25" ht="20" customHeight="1">
      <c r="D280" s="20" t="s">
        <v>534</v>
      </c>
      <c r="E280" s="20" t="str">
        <f t="shared" si="50"/>
        <v>Low</v>
      </c>
      <c r="F280" s="20" t="str">
        <f t="shared" si="50"/>
        <v>Summer</v>
      </c>
      <c r="G280" s="20">
        <f t="shared" si="50"/>
        <v>0.62</v>
      </c>
      <c r="H280" s="20">
        <f t="shared" si="50"/>
        <v>0.21</v>
      </c>
      <c r="I280" s="20">
        <f t="shared" si="50"/>
        <v>0.25</v>
      </c>
      <c r="J280" s="20">
        <f t="shared" si="50"/>
        <v>0.32</v>
      </c>
      <c r="K280" s="20">
        <f t="shared" si="50"/>
        <v>0.47</v>
      </c>
      <c r="L280" s="20">
        <f t="shared" si="50"/>
        <v>0.31</v>
      </c>
      <c r="M280" s="20">
        <f t="shared" si="50"/>
        <v>0.14000000000000001</v>
      </c>
      <c r="N280" s="20">
        <f t="shared" si="50"/>
        <v>0.4</v>
      </c>
      <c r="O280" s="20">
        <f t="shared" si="50"/>
        <v>0.26</v>
      </c>
      <c r="P280" s="20">
        <f t="shared" si="50"/>
        <v>0.43</v>
      </c>
    </row>
    <row r="281" spans="4:16" x14ac:dyDescent="0.25" ht="20" customHeight="1">
      <c r="D281" s="20" t="s">
        <v>534</v>
      </c>
      <c r="E281" s="20" t="str">
        <f t="shared" si="50"/>
        <v>Low</v>
      </c>
      <c r="F281" s="20" t="str">
        <f t="shared" si="50"/>
        <v>Autumn</v>
      </c>
      <c r="G281" s="20">
        <f t="shared" si="50"/>
        <v>0.4</v>
      </c>
      <c r="H281" s="20">
        <f t="shared" si="50"/>
        <v>0.13</v>
      </c>
      <c r="I281" s="20">
        <f t="shared" si="50"/>
        <v>0.12</v>
      </c>
      <c r="J281" s="20">
        <f t="shared" si="50"/>
        <v>0.27</v>
      </c>
      <c r="K281" s="20">
        <f t="shared" si="50"/>
        <v>0.3</v>
      </c>
      <c r="L281" s="20">
        <f t="shared" si="50"/>
        <v>0.08</v>
      </c>
      <c r="M281" s="20">
        <f t="shared" si="50"/>
        <v>0.13</v>
      </c>
      <c r="N281" s="20">
        <f t="shared" si="50"/>
        <v>0.24</v>
      </c>
      <c r="O281" s="20">
        <f t="shared" si="50"/>
        <v>0.15</v>
      </c>
      <c r="P281" s="20">
        <f t="shared" si="50"/>
        <v>0.21</v>
      </c>
    </row>
    <row r="282" spans="4:16" x14ac:dyDescent="0.25" ht="20" customHeight="1">
      <c r="D282" s="20" t="s">
        <v>534</v>
      </c>
      <c r="E282" s="20" t="str">
        <f t="shared" si="50"/>
        <v>Low</v>
      </c>
      <c r="F282" s="20" t="str">
        <f t="shared" si="50"/>
        <v>Winter</v>
      </c>
      <c r="G282" s="20">
        <f t="shared" si="50"/>
        <v>0.08</v>
      </c>
      <c r="H282" s="20">
        <f t="shared" si="50"/>
        <v>0.04</v>
      </c>
      <c r="I282" s="20">
        <f t="shared" si="50"/>
        <v>0.06</v>
      </c>
      <c r="J282" s="20">
        <f t="shared" si="50"/>
        <v>0.18</v>
      </c>
      <c r="K282" s="20">
        <f t="shared" si="50"/>
        <v>0.11</v>
      </c>
      <c r="L282" s="20">
        <f t="shared" si="50"/>
        <v>-7.0000000000000007E-2</v>
      </c>
      <c r="M282" s="20">
        <f t="shared" si="50"/>
        <v>0.13</v>
      </c>
      <c r="N282" s="20">
        <f t="shared" si="50"/>
        <v>0.16</v>
      </c>
      <c r="O282" s="20">
        <f t="shared" si="50"/>
        <v>0.4</v>
      </c>
      <c r="P282" s="20">
        <f t="shared" si="50"/>
        <v>0.33</v>
      </c>
    </row>
    <row r="283" spans="4:16" x14ac:dyDescent="0.25" ht="20" customHeight="1">
      <c r="M283" s="8"/>
    </row>
    <row r="284" spans="4:16" x14ac:dyDescent="0.25" ht="20" customHeight="1">
      <c r="M284" s="8"/>
    </row>
    <row r="285" spans="4:16" ht="20" x14ac:dyDescent="0.25" customHeight="1">
      <c r="D285" s="2" t="str" cm="1">
        <f t="array" ref="D285">SourceData_PastureBeef.SourceData_PastureBeef_DryMatterDigestibility_Title()</f>
        <v>Beef pasture cattle - Dry matter digestibility of feed intake (fraction) (DMDj)</v>
      </c>
      <c r="M285" s="8"/>
    </row>
    <row r="286" spans="4:16" x14ac:dyDescent="0.25" ht="20" customHeight="1">
      <c r="D286" s="17" t="str" cm="1">
        <f t="array" ref="D286">SourceData_PastureBeef.SourceData_PastureBeef_DryMatterDigestibility_Source()</f>
        <v>VEERG 2026: Table A.1.2.5</v>
      </c>
      <c r="M286" s="8"/>
    </row>
    <row r="287" spans="4:16" x14ac:dyDescent="0.25" ht="20" customHeight="1">
      <c r="D287" s="1" t="str" cm="1">
        <f t="array" ref="D287">SourceData_PastureBeef.SourceData_PastureBeef_DryMatterDigestibility_Variable()</f>
        <v>DMDj</v>
      </c>
      <c r="M287" s="8"/>
    </row>
    <row r="288" spans="4:16" x14ac:dyDescent="0.25" ht="20" customHeight="1">
      <c r="D288" s="9" t="str" cm="1">
        <f t="array" ref="D288">SourceData_PastureBeef.SourceData_PastureBeef_DryMatterDigestibility_Unit()</f>
        <v>fraction</v>
      </c>
      <c r="M288" s="8"/>
    </row>
    <row r="289" spans="4:13" x14ac:dyDescent="0.25" ht="20" customHeight="1">
      <c r="D289" s="26" t="str" cm="1">
        <f t="array" ref="D289">SourceData_PastureBeef.SourceData_PastureBeef_DryMatterDigestibility_Variation()</f>
        <v>VARIATION ON SOURCE: Split ACT and NSW into separate rows. Duplicated QLD and NT rows with regions from table A.1.2.2 to aid lookup</v>
      </c>
      <c r="M289" s="8"/>
    </row>
    <row r="290" spans="4:13" x14ac:dyDescent="0.25" ht="20" customHeight="1">
      <c r="D290" s="20" t="s">
        <v>105</v>
      </c>
      <c r="E290" s="20" t="s">
        <v>490</v>
      </c>
      <c r="F290" s="20" t="s">
        <v>335</v>
      </c>
      <c r="G290" s="20" t="s">
        <v>336</v>
      </c>
      <c r="H290" s="20" t="s">
        <v>337</v>
      </c>
      <c r="I290" s="20" t="s">
        <v>338</v>
      </c>
      <c r="M290" s="8"/>
    </row>
    <row r="291" spans="4:13" x14ac:dyDescent="0.25" ht="20" customHeight="1">
      <c r="D291" s="20" t="str" cm="1">
        <f t="array" ref="D291">Common_InputFunctions.Utility_DisplayArrayInTable(SourceData_PastureBeef.SourceData_PastureBeef_DryMatterDigestibility_Data(), Table_SourceData_PastureBeef_DryMatterDigestibility[[#Headers],[State]], 0)</f>
        <v>ACT</v>
      </c>
      <c r="E291" s="20" t="str" cm="1">
        <f t="array" ref="E291">Common_InputFunctions.Utility_DisplayArrayInTable(SourceData_PastureBeef.SourceData_PastureBeef_DryMatterDigestibility_Data(), Table_SourceData_PastureBeef_DryMatterDigestibility[[#Headers],[State]], 0)</f>
        <v>n/a</v>
      </c>
      <c r="F291" s="20" cm="1">
        <f t="array" ref="F291">Common_InputFunctions.Utility_DisplayArrayInTable(SourceData_PastureBeef.SourceData_PastureBeef_DryMatterDigestibility_Data(), Table_SourceData_PastureBeef_DryMatterDigestibility[[#Headers],[State]], 0)</f>
        <v>0.55000000000000004</v>
      </c>
      <c r="G291" s="20" cm="1">
        <f t="array" ref="G291">Common_InputFunctions.Utility_DisplayArrayInTable(SourceData_PastureBeef.SourceData_PastureBeef_DryMatterDigestibility_Data(), Table_SourceData_PastureBeef_DryMatterDigestibility[[#Headers],[State]], 0)</f>
        <v>0.65</v>
      </c>
      <c r="H291" s="20" cm="1">
        <f t="array" ref="H291">Common_InputFunctions.Utility_DisplayArrayInTable(SourceData_PastureBeef.SourceData_PastureBeef_DryMatterDigestibility_Data(), Table_SourceData_PastureBeef_DryMatterDigestibility[[#Headers],[State]], 0)</f>
        <v>0.6</v>
      </c>
      <c r="I291" s="20" cm="1">
        <f t="array" ref="I291">Common_InputFunctions.Utility_DisplayArrayInTable(SourceData_PastureBeef.SourceData_PastureBeef_DryMatterDigestibility_Data(), Table_SourceData_PastureBeef_DryMatterDigestibility[[#Headers],[State]], 0)</f>
        <v>0.5</v>
      </c>
      <c r="M291" s="8"/>
    </row>
    <row r="292" spans="4:13" x14ac:dyDescent="0.25" ht="20" customHeight="1">
      <c r="D292" s="1" t="str" cm="1">
        <f t="array" ref="D292">Common_InputFunctions.Utility_DisplayArrayInTable(SourceData_PastureBeef.SourceData_PastureBeef_DryMatterDigestibility_Data(), Table_SourceData_PastureBeef_DryMatterDigestibility[[#Headers],[State]], 0)</f>
        <v>NSW</v>
      </c>
      <c r="E292" s="20" t="str" cm="1">
        <f t="array" ref="E292">Common_InputFunctions.Utility_DisplayArrayInTable(SourceData_PastureBeef.SourceData_PastureBeef_DryMatterDigestibility_Data(), Table_SourceData_PastureBeef_DryMatterDigestibility[[#Headers],[State]], 0)</f>
        <v>n/a</v>
      </c>
      <c r="F292" s="20" cm="1">
        <f t="array" ref="F292">Common_InputFunctions.Utility_DisplayArrayInTable(SourceData_PastureBeef.SourceData_PastureBeef_DryMatterDigestibility_Data(), Table_SourceData_PastureBeef_DryMatterDigestibility[[#Headers],[State]], 0)</f>
        <v>0.55000000000000004</v>
      </c>
      <c r="G292" s="20" cm="1">
        <f t="array" ref="G292">Common_InputFunctions.Utility_DisplayArrayInTable(SourceData_PastureBeef.SourceData_PastureBeef_DryMatterDigestibility_Data(), Table_SourceData_PastureBeef_DryMatterDigestibility[[#Headers],[State]], 0)</f>
        <v>0.65</v>
      </c>
      <c r="H292" s="20" cm="1">
        <f t="array" ref="H292">Common_InputFunctions.Utility_DisplayArrayInTable(SourceData_PastureBeef.SourceData_PastureBeef_DryMatterDigestibility_Data(), Table_SourceData_PastureBeef_DryMatterDigestibility[[#Headers],[State]], 0)</f>
        <v>0.6</v>
      </c>
      <c r="I292" s="20" cm="1">
        <f t="array" ref="I292">Common_InputFunctions.Utility_DisplayArrayInTable(SourceData_PastureBeef.SourceData_PastureBeef_DryMatterDigestibility_Data(), Table_SourceData_PastureBeef_DryMatterDigestibility[[#Headers],[State]], 0)</f>
        <v>0.5</v>
      </c>
      <c r="M292" s="8"/>
    </row>
    <row r="293" spans="4:13" x14ac:dyDescent="0.25" ht="20" customHeight="1">
      <c r="D293" s="1" t="str" cm="1">
        <f t="array" ref="D293">Common_InputFunctions.Utility_DisplayArrayInTable(SourceData_PastureBeef.SourceData_PastureBeef_DryMatterDigestibility_Data(), Table_SourceData_PastureBeef_DryMatterDigestibility[[#Headers],[State]], 0)</f>
        <v>NT</v>
      </c>
      <c r="E293" s="20" t="str" cm="1">
        <f t="array" ref="E293">Common_InputFunctions.Utility_DisplayArrayInTable(SourceData_PastureBeef.SourceData_PastureBeef_DryMatterDigestibility_Data(), Table_SourceData_PastureBeef_DryMatterDigestibility[[#Headers],[State]], 0)</f>
        <v>Alice Springs</v>
      </c>
      <c r="F293" s="20" cm="1">
        <f t="array" ref="F293">Common_InputFunctions.Utility_DisplayArrayInTable(SourceData_PastureBeef.SourceData_PastureBeef_DryMatterDigestibility_Data(), Table_SourceData_PastureBeef_DryMatterDigestibility[[#Headers],[State]], 0)</f>
        <v>0.55000000000000004</v>
      </c>
      <c r="G293" s="20" cm="1">
        <f t="array" ref="G293">Common_InputFunctions.Utility_DisplayArrayInTable(SourceData_PastureBeef.SourceData_PastureBeef_DryMatterDigestibility_Data(), Table_SourceData_PastureBeef_DryMatterDigestibility[[#Headers],[State]], 0)</f>
        <v>0.61</v>
      </c>
      <c r="H293" s="20" cm="1">
        <f t="array" ref="H293">Common_InputFunctions.Utility_DisplayArrayInTable(SourceData_PastureBeef.SourceData_PastureBeef_DryMatterDigestibility_Data(), Table_SourceData_PastureBeef_DryMatterDigestibility[[#Headers],[State]], 0)</f>
        <v>0.56999999999999995</v>
      </c>
      <c r="I293" s="20" cm="1">
        <f t="array" ref="I293">Common_InputFunctions.Utility_DisplayArrayInTable(SourceData_PastureBeef.SourceData_PastureBeef_DryMatterDigestibility_Data(), Table_SourceData_PastureBeef_DryMatterDigestibility[[#Headers],[State]], 0)</f>
        <v>0.54</v>
      </c>
      <c r="M293" s="8"/>
    </row>
    <row r="294" spans="4:13" x14ac:dyDescent="0.25" ht="20" customHeight="1">
      <c r="D294" s="1" t="str" cm="1">
        <f t="array" ref="D294">Common_InputFunctions.Utility_DisplayArrayInTable(SourceData_PastureBeef.SourceData_PastureBeef_DryMatterDigestibility_Data(), Table_SourceData_PastureBeef_DryMatterDigestibility[[#Headers],[State]], 0)</f>
        <v>NT</v>
      </c>
      <c r="E294" s="20" t="str" cm="1">
        <f t="array" ref="E294">Common_InputFunctions.Utility_DisplayArrayInTable(SourceData_PastureBeef.SourceData_PastureBeef_DryMatterDigestibility_Data(), Table_SourceData_PastureBeef_DryMatterDigestibility[[#Headers],[State]], 0)</f>
        <v>Barkly</v>
      </c>
      <c r="F294" s="20" cm="1">
        <f t="array" ref="F294">Common_InputFunctions.Utility_DisplayArrayInTable(SourceData_PastureBeef.SourceData_PastureBeef_DryMatterDigestibility_Data(), Table_SourceData_PastureBeef_DryMatterDigestibility[[#Headers],[State]], 0)</f>
        <v>0.55000000000000004</v>
      </c>
      <c r="G294" s="20" cm="1">
        <f t="array" ref="G294">Common_InputFunctions.Utility_DisplayArrayInTable(SourceData_PastureBeef.SourceData_PastureBeef_DryMatterDigestibility_Data(), Table_SourceData_PastureBeef_DryMatterDigestibility[[#Headers],[State]], 0)</f>
        <v>0.61</v>
      </c>
      <c r="H294" s="20" cm="1">
        <f t="array" ref="H294">Common_InputFunctions.Utility_DisplayArrayInTable(SourceData_PastureBeef.SourceData_PastureBeef_DryMatterDigestibility_Data(), Table_SourceData_PastureBeef_DryMatterDigestibility[[#Headers],[State]], 0)</f>
        <v>0.56999999999999995</v>
      </c>
      <c r="I294" s="20" cm="1">
        <f t="array" ref="I294">Common_InputFunctions.Utility_DisplayArrayInTable(SourceData_PastureBeef.SourceData_PastureBeef_DryMatterDigestibility_Data(), Table_SourceData_PastureBeef_DryMatterDigestibility[[#Headers],[State]], 0)</f>
        <v>0.54</v>
      </c>
      <c r="M294" s="8"/>
    </row>
    <row r="295" spans="4:13" x14ac:dyDescent="0.25" ht="20" customHeight="1">
      <c r="D295" s="1" t="str" cm="1">
        <f t="array" ref="D295">Common_InputFunctions.Utility_DisplayArrayInTable(SourceData_PastureBeef.SourceData_PastureBeef_DryMatterDigestibility_Data(), Table_SourceData_PastureBeef_DryMatterDigestibility[[#Headers],[State]], 0)</f>
        <v>NT</v>
      </c>
      <c r="E295" s="20" t="str" cm="1">
        <f t="array" ref="E295">Common_InputFunctions.Utility_DisplayArrayInTable(SourceData_PastureBeef.SourceData_PastureBeef_DryMatterDigestibility_Data(), Table_SourceData_PastureBeef_DryMatterDigestibility[[#Headers],[State]], 0)</f>
        <v>Northern</v>
      </c>
      <c r="F295" s="20" cm="1">
        <f t="array" ref="F295">Common_InputFunctions.Utility_DisplayArrayInTable(SourceData_PastureBeef.SourceData_PastureBeef_DryMatterDigestibility_Data(), Table_SourceData_PastureBeef_DryMatterDigestibility[[#Headers],[State]], 0)</f>
        <v>0.55000000000000004</v>
      </c>
      <c r="G295" s="20" cm="1">
        <f t="array" ref="G295">Common_InputFunctions.Utility_DisplayArrayInTable(SourceData_PastureBeef.SourceData_PastureBeef_DryMatterDigestibility_Data(), Table_SourceData_PastureBeef_DryMatterDigestibility[[#Headers],[State]], 0)</f>
        <v>0.61</v>
      </c>
      <c r="H295" s="20" cm="1">
        <f t="array" ref="H295">Common_InputFunctions.Utility_DisplayArrayInTable(SourceData_PastureBeef.SourceData_PastureBeef_DryMatterDigestibility_Data(), Table_SourceData_PastureBeef_DryMatterDigestibility[[#Headers],[State]], 0)</f>
        <v>0.56999999999999995</v>
      </c>
      <c r="I295" s="20" cm="1">
        <f t="array" ref="I295">Common_InputFunctions.Utility_DisplayArrayInTable(SourceData_PastureBeef.SourceData_PastureBeef_DryMatterDigestibility_Data(), Table_SourceData_PastureBeef_DryMatterDigestibility[[#Headers],[State]], 0)</f>
        <v>0.54</v>
      </c>
      <c r="M295" s="8"/>
    </row>
    <row r="296" spans="4:13" x14ac:dyDescent="0.25" ht="20" customHeight="1">
      <c r="D296" s="1" t="str" cm="1">
        <f t="array" ref="D296">Common_InputFunctions.Utility_DisplayArrayInTable(SourceData_PastureBeef.SourceData_PastureBeef_DryMatterDigestibility_Data(), Table_SourceData_PastureBeef_DryMatterDigestibility[[#Headers],[State]], 0)</f>
        <v>QLD</v>
      </c>
      <c r="E296" s="20" t="str" cm="1">
        <f t="array" ref="E296">Common_InputFunctions.Utility_DisplayArrayInTable(SourceData_PastureBeef.SourceData_PastureBeef_DryMatterDigestibility_Data(), Table_SourceData_PastureBeef_DryMatterDigestibility[[#Headers],[State]], 0)</f>
        <v>High</v>
      </c>
      <c r="F296" s="20" cm="1">
        <f t="array" ref="F296">Common_InputFunctions.Utility_DisplayArrayInTable(SourceData_PastureBeef.SourceData_PastureBeef_DryMatterDigestibility_Data(), Table_SourceData_PastureBeef_DryMatterDigestibility[[#Headers],[State]], 0)</f>
        <v>0.53</v>
      </c>
      <c r="G296" s="20" cm="1">
        <f t="array" ref="G296">Common_InputFunctions.Utility_DisplayArrayInTable(SourceData_PastureBeef.SourceData_PastureBeef_DryMatterDigestibility_Data(), Table_SourceData_PastureBeef_DryMatterDigestibility[[#Headers],[State]], 0)</f>
        <v>0.56999999999999995</v>
      </c>
      <c r="H296" s="20" cm="1">
        <f t="array" ref="H296">Common_InputFunctions.Utility_DisplayArrayInTable(SourceData_PastureBeef.SourceData_PastureBeef_DryMatterDigestibility_Data(), Table_SourceData_PastureBeef_DryMatterDigestibility[[#Headers],[State]], 0)</f>
        <v>0.55000000000000004</v>
      </c>
      <c r="I296" s="20" cm="1">
        <f t="array" ref="I296">Common_InputFunctions.Utility_DisplayArrayInTable(SourceData_PastureBeef.SourceData_PastureBeef_DryMatterDigestibility_Data(), Table_SourceData_PastureBeef_DryMatterDigestibility[[#Headers],[State]], 0)</f>
        <v>0.51</v>
      </c>
      <c r="M296" s="8"/>
    </row>
    <row r="297" spans="4:13" x14ac:dyDescent="0.25" ht="20" customHeight="1">
      <c r="D297" s="1" t="str" cm="1">
        <f t="array" ref="D297">Common_InputFunctions.Utility_DisplayArrayInTable(SourceData_PastureBeef.SourceData_PastureBeef_DryMatterDigestibility_Data(), Table_SourceData_PastureBeef_DryMatterDigestibility[[#Headers],[State]], 0)</f>
        <v>QLD</v>
      </c>
      <c r="E297" s="20" t="str" cm="1">
        <f t="array" ref="E297">Common_InputFunctions.Utility_DisplayArrayInTable(SourceData_PastureBeef.SourceData_PastureBeef_DryMatterDigestibility_Data(), Table_SourceData_PastureBeef_DryMatterDigestibility[[#Headers],[State]], 0)</f>
        <v>Moderate/High</v>
      </c>
      <c r="F297" s="20" cm="1">
        <f t="array" ref="F297">Common_InputFunctions.Utility_DisplayArrayInTable(SourceData_PastureBeef.SourceData_PastureBeef_DryMatterDigestibility_Data(), Table_SourceData_PastureBeef_DryMatterDigestibility[[#Headers],[State]], 0)</f>
        <v>0.53</v>
      </c>
      <c r="G297" s="20" cm="1">
        <f t="array" ref="G297">Common_InputFunctions.Utility_DisplayArrayInTable(SourceData_PastureBeef.SourceData_PastureBeef_DryMatterDigestibility_Data(), Table_SourceData_PastureBeef_DryMatterDigestibility[[#Headers],[State]], 0)</f>
        <v>0.56999999999999995</v>
      </c>
      <c r="H297" s="20" cm="1">
        <f t="array" ref="H297">Common_InputFunctions.Utility_DisplayArrayInTable(SourceData_PastureBeef.SourceData_PastureBeef_DryMatterDigestibility_Data(), Table_SourceData_PastureBeef_DryMatterDigestibility[[#Headers],[State]], 0)</f>
        <v>0.55000000000000004</v>
      </c>
      <c r="I297" s="20" cm="1">
        <f t="array" ref="I297">Common_InputFunctions.Utility_DisplayArrayInTable(SourceData_PastureBeef.SourceData_PastureBeef_DryMatterDigestibility_Data(), Table_SourceData_PastureBeef_DryMatterDigestibility[[#Headers],[State]], 0)</f>
        <v>0.51</v>
      </c>
      <c r="M297" s="8"/>
    </row>
    <row r="298" spans="4:13" x14ac:dyDescent="0.25" ht="20" customHeight="1">
      <c r="D298" s="1" t="str" cm="1">
        <f t="array" ref="D298">Common_InputFunctions.Utility_DisplayArrayInTable(SourceData_PastureBeef.SourceData_PastureBeef_DryMatterDigestibility_Data(), Table_SourceData_PastureBeef_DryMatterDigestibility[[#Headers],[State]], 0)</f>
        <v>QLD</v>
      </c>
      <c r="E298" s="20" t="str" cm="1">
        <f t="array" ref="E298">Common_InputFunctions.Utility_DisplayArrayInTable(SourceData_PastureBeef.SourceData_PastureBeef_DryMatterDigestibility_Data(), Table_SourceData_PastureBeef_DryMatterDigestibility[[#Headers],[State]], 0)</f>
        <v>Moderate/Low</v>
      </c>
      <c r="F298" s="20" cm="1">
        <f t="array" ref="F298">Common_InputFunctions.Utility_DisplayArrayInTable(SourceData_PastureBeef.SourceData_PastureBeef_DryMatterDigestibility_Data(), Table_SourceData_PastureBeef_DryMatterDigestibility[[#Headers],[State]], 0)</f>
        <v>0.53</v>
      </c>
      <c r="G298" s="20" cm="1">
        <f t="array" ref="G298">Common_InputFunctions.Utility_DisplayArrayInTable(SourceData_PastureBeef.SourceData_PastureBeef_DryMatterDigestibility_Data(), Table_SourceData_PastureBeef_DryMatterDigestibility[[#Headers],[State]], 0)</f>
        <v>0.56999999999999995</v>
      </c>
      <c r="H298" s="20" cm="1">
        <f t="array" ref="H298">Common_InputFunctions.Utility_DisplayArrayInTable(SourceData_PastureBeef.SourceData_PastureBeef_DryMatterDigestibility_Data(), Table_SourceData_PastureBeef_DryMatterDigestibility[[#Headers],[State]], 0)</f>
        <v>0.55000000000000004</v>
      </c>
      <c r="I298" s="20" cm="1">
        <f t="array" ref="I298">Common_InputFunctions.Utility_DisplayArrayInTable(SourceData_PastureBeef.SourceData_PastureBeef_DryMatterDigestibility_Data(), Table_SourceData_PastureBeef_DryMatterDigestibility[[#Headers],[State]], 0)</f>
        <v>0.51</v>
      </c>
      <c r="M298" s="8"/>
    </row>
    <row r="299" spans="4:13" x14ac:dyDescent="0.25" ht="20" customHeight="1">
      <c r="D299" s="1" t="str" cm="1">
        <f t="array" ref="D299">Common_InputFunctions.Utility_DisplayArrayInTable(SourceData_PastureBeef.SourceData_PastureBeef_DryMatterDigestibility_Data(), Table_SourceData_PastureBeef_DryMatterDigestibility[[#Headers],[State]], 0)</f>
        <v>QLD</v>
      </c>
      <c r="E299" s="20" t="str" cm="1">
        <f t="array" ref="E299">Common_InputFunctions.Utility_DisplayArrayInTable(SourceData_PastureBeef.SourceData_PastureBeef_DryMatterDigestibility_Data(), Table_SourceData_PastureBeef_DryMatterDigestibility[[#Headers],[State]], 0)</f>
        <v>Low</v>
      </c>
      <c r="F299" s="20" cm="1">
        <f t="array" ref="F299">Common_InputFunctions.Utility_DisplayArrayInTable(SourceData_PastureBeef.SourceData_PastureBeef_DryMatterDigestibility_Data(), Table_SourceData_PastureBeef_DryMatterDigestibility[[#Headers],[State]], 0)</f>
        <v>0.53</v>
      </c>
      <c r="G299" s="20" cm="1">
        <f t="array" ref="G299">Common_InputFunctions.Utility_DisplayArrayInTable(SourceData_PastureBeef.SourceData_PastureBeef_DryMatterDigestibility_Data(), Table_SourceData_PastureBeef_DryMatterDigestibility[[#Headers],[State]], 0)</f>
        <v>0.56999999999999995</v>
      </c>
      <c r="H299" s="20" cm="1">
        <f t="array" ref="H299">Common_InputFunctions.Utility_DisplayArrayInTable(SourceData_PastureBeef.SourceData_PastureBeef_DryMatterDigestibility_Data(), Table_SourceData_PastureBeef_DryMatterDigestibility[[#Headers],[State]], 0)</f>
        <v>0.55000000000000004</v>
      </c>
      <c r="I299" s="20" cm="1">
        <f t="array" ref="I299">Common_InputFunctions.Utility_DisplayArrayInTable(SourceData_PastureBeef.SourceData_PastureBeef_DryMatterDigestibility_Data(), Table_SourceData_PastureBeef_DryMatterDigestibility[[#Headers],[State]], 0)</f>
        <v>0.51</v>
      </c>
      <c r="M299" s="8"/>
    </row>
    <row r="300" spans="4:13" x14ac:dyDescent="0.25" ht="20" customHeight="1">
      <c r="D300" s="1" t="str" cm="1">
        <f t="array" ref="D300">Common_InputFunctions.Utility_DisplayArrayInTable(SourceData_PastureBeef.SourceData_PastureBeef_DryMatterDigestibility_Data(), Table_SourceData_PastureBeef_DryMatterDigestibility[[#Headers],[State]], 0)</f>
        <v>SA</v>
      </c>
      <c r="E300" s="20" t="str" cm="1">
        <f t="array" ref="E300">Common_InputFunctions.Utility_DisplayArrayInTable(SourceData_PastureBeef.SourceData_PastureBeef_DryMatterDigestibility_Data(), Table_SourceData_PastureBeef_DryMatterDigestibility[[#Headers],[State]], 0)</f>
        <v>n/a</v>
      </c>
      <c r="F300" s="20" cm="1">
        <f t="array" ref="F300">Common_InputFunctions.Utility_DisplayArrayInTable(SourceData_PastureBeef.SourceData_PastureBeef_DryMatterDigestibility_Data(), Table_SourceData_PastureBeef_DryMatterDigestibility[[#Headers],[State]], 0)</f>
        <v>0.7</v>
      </c>
      <c r="G300" s="20" cm="1">
        <f t="array" ref="G300">Common_InputFunctions.Utility_DisplayArrayInTable(SourceData_PastureBeef.SourceData_PastureBeef_DryMatterDigestibility_Data(), Table_SourceData_PastureBeef_DryMatterDigestibility[[#Headers],[State]], 0)</f>
        <v>0.55000000000000004</v>
      </c>
      <c r="H300" s="20" cm="1">
        <f t="array" ref="H300">Common_InputFunctions.Utility_DisplayArrayInTable(SourceData_PastureBeef.SourceData_PastureBeef_DryMatterDigestibility_Data(), Table_SourceData_PastureBeef_DryMatterDigestibility[[#Headers],[State]], 0)</f>
        <v>0.55000000000000004</v>
      </c>
      <c r="I300" s="20" cm="1">
        <f t="array" ref="I300">Common_InputFunctions.Utility_DisplayArrayInTable(SourceData_PastureBeef.SourceData_PastureBeef_DryMatterDigestibility_Data(), Table_SourceData_PastureBeef_DryMatterDigestibility[[#Headers],[State]], 0)</f>
        <v>0.75</v>
      </c>
      <c r="M300" s="8"/>
    </row>
    <row r="301" spans="4:13" x14ac:dyDescent="0.25" ht="20" customHeight="1">
      <c r="D301" s="1" t="str" cm="1">
        <f t="array" ref="D301">Common_InputFunctions.Utility_DisplayArrayInTable(SourceData_PastureBeef.SourceData_PastureBeef_DryMatterDigestibility_Data(), Table_SourceData_PastureBeef_DryMatterDigestibility[[#Headers],[State]], 0)</f>
        <v>TAS</v>
      </c>
      <c r="E301" s="20" t="str" cm="1">
        <f t="array" ref="E301">Common_InputFunctions.Utility_DisplayArrayInTable(SourceData_PastureBeef.SourceData_PastureBeef_DryMatterDigestibility_Data(), Table_SourceData_PastureBeef_DryMatterDigestibility[[#Headers],[State]], 0)</f>
        <v>n/a</v>
      </c>
      <c r="F301" s="20" cm="1">
        <f t="array" ref="F301">Common_InputFunctions.Utility_DisplayArrayInTable(SourceData_PastureBeef.SourceData_PastureBeef_DryMatterDigestibility_Data(), Table_SourceData_PastureBeef_DryMatterDigestibility[[#Headers],[State]], 0)</f>
        <v>0.75</v>
      </c>
      <c r="G301" s="20" cm="1">
        <f t="array" ref="G301">Common_InputFunctions.Utility_DisplayArrayInTable(SourceData_PastureBeef.SourceData_PastureBeef_DryMatterDigestibility_Data(), Table_SourceData_PastureBeef_DryMatterDigestibility[[#Headers],[State]], 0)</f>
        <v>0.6</v>
      </c>
      <c r="H301" s="20" cm="1">
        <f t="array" ref="H301">Common_InputFunctions.Utility_DisplayArrayInTable(SourceData_PastureBeef.SourceData_PastureBeef_DryMatterDigestibility_Data(), Table_SourceData_PastureBeef_DryMatterDigestibility[[#Headers],[State]], 0)</f>
        <v>0.7</v>
      </c>
      <c r="I301" s="20" cm="1">
        <f t="array" ref="I301">Common_InputFunctions.Utility_DisplayArrayInTable(SourceData_PastureBeef.SourceData_PastureBeef_DryMatterDigestibility_Data(), Table_SourceData_PastureBeef_DryMatterDigestibility[[#Headers],[State]], 0)</f>
        <v>0.75</v>
      </c>
      <c r="M301" s="8"/>
    </row>
    <row r="302" spans="4:13" x14ac:dyDescent="0.25" ht="20" customHeight="1">
      <c r="D302" s="1" t="str" cm="1">
        <f t="array" ref="D302">Common_InputFunctions.Utility_DisplayArrayInTable(SourceData_PastureBeef.SourceData_PastureBeef_DryMatterDigestibility_Data(), Table_SourceData_PastureBeef_DryMatterDigestibility[[#Headers],[State]], 0)</f>
        <v>VIC</v>
      </c>
      <c r="E302" s="20" t="str" cm="1">
        <f t="array" ref="E302">Common_InputFunctions.Utility_DisplayArrayInTable(SourceData_PastureBeef.SourceData_PastureBeef_DryMatterDigestibility_Data(), Table_SourceData_PastureBeef_DryMatterDigestibility[[#Headers],[State]], 0)</f>
        <v>n/a</v>
      </c>
      <c r="F302" s="20" cm="1">
        <f t="array" ref="F302">Common_InputFunctions.Utility_DisplayArrayInTable(SourceData_PastureBeef.SourceData_PastureBeef_DryMatterDigestibility_Data(), Table_SourceData_PastureBeef_DryMatterDigestibility[[#Headers],[State]], 0)</f>
        <v>0.8</v>
      </c>
      <c r="G302" s="20" cm="1">
        <f t="array" ref="G302">Common_InputFunctions.Utility_DisplayArrayInTable(SourceData_PastureBeef.SourceData_PastureBeef_DryMatterDigestibility_Data(), Table_SourceData_PastureBeef_DryMatterDigestibility[[#Headers],[State]], 0)</f>
        <v>0.55000000000000004</v>
      </c>
      <c r="H302" s="20" cm="1">
        <f t="array" ref="H302">Common_InputFunctions.Utility_DisplayArrayInTable(SourceData_PastureBeef.SourceData_PastureBeef_DryMatterDigestibility_Data(), Table_SourceData_PastureBeef_DryMatterDigestibility[[#Headers],[State]], 0)</f>
        <v>0.6</v>
      </c>
      <c r="I302" s="20" cm="1">
        <f t="array" ref="I302">Common_InputFunctions.Utility_DisplayArrayInTable(SourceData_PastureBeef.SourceData_PastureBeef_DryMatterDigestibility_Data(), Table_SourceData_PastureBeef_DryMatterDigestibility[[#Headers],[State]], 0)</f>
        <v>0.76</v>
      </c>
      <c r="M302" s="8"/>
    </row>
    <row r="303" spans="4:13" x14ac:dyDescent="0.25" ht="20" customHeight="1">
      <c r="D303" s="1" t="str" cm="1">
        <f t="array" ref="D303">Common_InputFunctions.Utility_DisplayArrayInTable(SourceData_PastureBeef.SourceData_PastureBeef_DryMatterDigestibility_Data(), Table_SourceData_PastureBeef_DryMatterDigestibility[[#Headers],[State]], 0)</f>
        <v>WA</v>
      </c>
      <c r="E303" s="20" t="str" cm="1">
        <f t="array" ref="E303">Common_InputFunctions.Utility_DisplayArrayInTable(SourceData_PastureBeef.SourceData_PastureBeef_DryMatterDigestibility_Data(), Table_SourceData_PastureBeef_DryMatterDigestibility[[#Headers],[State]], 0)</f>
        <v>South West</v>
      </c>
      <c r="F303" s="20" cm="1">
        <f t="array" ref="F303">Common_InputFunctions.Utility_DisplayArrayInTable(SourceData_PastureBeef.SourceData_PastureBeef_DryMatterDigestibility_Data(), Table_SourceData_PastureBeef_DryMatterDigestibility[[#Headers],[State]], 0)</f>
        <v>0.8</v>
      </c>
      <c r="G303" s="20" cm="1">
        <f t="array" ref="G303">Common_InputFunctions.Utility_DisplayArrayInTable(SourceData_PastureBeef.SourceData_PastureBeef_DryMatterDigestibility_Data(), Table_SourceData_PastureBeef_DryMatterDigestibility[[#Headers],[State]], 0)</f>
        <v>0.57999999999999996</v>
      </c>
      <c r="H303" s="20" cm="1">
        <f t="array" ref="H303">Common_InputFunctions.Utility_DisplayArrayInTable(SourceData_PastureBeef.SourceData_PastureBeef_DryMatterDigestibility_Data(), Table_SourceData_PastureBeef_DryMatterDigestibility[[#Headers],[State]], 0)</f>
        <v>0.5</v>
      </c>
      <c r="I303" s="20" cm="1">
        <f t="array" ref="I303">Common_InputFunctions.Utility_DisplayArrayInTable(SourceData_PastureBeef.SourceData_PastureBeef_DryMatterDigestibility_Data(), Table_SourceData_PastureBeef_DryMatterDigestibility[[#Headers],[State]], 0)</f>
        <v>0.75</v>
      </c>
      <c r="M303" s="8"/>
    </row>
    <row r="304" spans="4:13" x14ac:dyDescent="0.25" ht="20" customHeight="1">
      <c r="D304" s="1" t="str" cm="1">
        <f t="array" ref="D304">Common_InputFunctions.Utility_DisplayArrayInTable(SourceData_PastureBeef.SourceData_PastureBeef_DryMatterDigestibility_Data(), Table_SourceData_PastureBeef_DryMatterDigestibility[[#Headers],[State]], 0)</f>
        <v>WA</v>
      </c>
      <c r="E304" s="20" t="str" cm="1">
        <f t="array" ref="E304">Common_InputFunctions.Utility_DisplayArrayInTable(SourceData_PastureBeef.SourceData_PastureBeef_DryMatterDigestibility_Data(), Table_SourceData_PastureBeef_DryMatterDigestibility[[#Headers],[State]], 0)</f>
        <v>Pilbara</v>
      </c>
      <c r="F304" s="20" cm="1">
        <f t="array" ref="F304">Common_InputFunctions.Utility_DisplayArrayInTable(SourceData_PastureBeef.SourceData_PastureBeef_DryMatterDigestibility_Data(), Table_SourceData_PastureBeef_DryMatterDigestibility[[#Headers],[State]], 0)</f>
        <v>0.4</v>
      </c>
      <c r="G304" s="20" cm="1">
        <f t="array" ref="G304">Common_InputFunctions.Utility_DisplayArrayInTable(SourceData_PastureBeef.SourceData_PastureBeef_DryMatterDigestibility_Data(), Table_SourceData_PastureBeef_DryMatterDigestibility[[#Headers],[State]], 0)</f>
        <v>0.65</v>
      </c>
      <c r="H304" s="20" cm="1">
        <f t="array" ref="H304">Common_InputFunctions.Utility_DisplayArrayInTable(SourceData_PastureBeef.SourceData_PastureBeef_DryMatterDigestibility_Data(), Table_SourceData_PastureBeef_DryMatterDigestibility[[#Headers],[State]], 0)</f>
        <v>0.55000000000000004</v>
      </c>
      <c r="I304" s="20" cm="1">
        <f t="array" ref="I304">Common_InputFunctions.Utility_DisplayArrayInTable(SourceData_PastureBeef.SourceData_PastureBeef_DryMatterDigestibility_Data(), Table_SourceData_PastureBeef_DryMatterDigestibility[[#Headers],[State]], 0)</f>
        <v>0.45</v>
      </c>
      <c r="M304" s="8"/>
    </row>
    <row r="305" spans="4:13" x14ac:dyDescent="0.25" ht="20" customHeight="1">
      <c r="D305" s="1" t="str" cm="1">
        <f t="array" ref="D305">Common_InputFunctions.Utility_DisplayArrayInTable(SourceData_PastureBeef.SourceData_PastureBeef_DryMatterDigestibility_Data(), Table_SourceData_PastureBeef_DryMatterDigestibility[[#Headers],[State]], 0)</f>
        <v>WA</v>
      </c>
      <c r="E305" s="20" t="str" cm="1">
        <f t="array" ref="E305">Common_InputFunctions.Utility_DisplayArrayInTable(SourceData_PastureBeef.SourceData_PastureBeef_DryMatterDigestibility_Data(), Table_SourceData_PastureBeef_DryMatterDigestibility[[#Headers],[State]], 0)</f>
        <v>Kimberley</v>
      </c>
      <c r="F305" s="20" cm="1">
        <f t="array" ref="F305">Common_InputFunctions.Utility_DisplayArrayInTable(SourceData_PastureBeef.SourceData_PastureBeef_DryMatterDigestibility_Data(), Table_SourceData_PastureBeef_DryMatterDigestibility[[#Headers],[State]], 0)</f>
        <v>0.4</v>
      </c>
      <c r="G305" s="20" cm="1">
        <f t="array" ref="G305">Common_InputFunctions.Utility_DisplayArrayInTable(SourceData_PastureBeef.SourceData_PastureBeef_DryMatterDigestibility_Data(), Table_SourceData_PastureBeef_DryMatterDigestibility[[#Headers],[State]], 0)</f>
        <v>0.65</v>
      </c>
      <c r="H305" s="20" cm="1">
        <f t="array" ref="H305">Common_InputFunctions.Utility_DisplayArrayInTable(SourceData_PastureBeef.SourceData_PastureBeef_DryMatterDigestibility_Data(), Table_SourceData_PastureBeef_DryMatterDigestibility[[#Headers],[State]], 0)</f>
        <v>0.55000000000000004</v>
      </c>
      <c r="I305" s="20" cm="1">
        <f t="array" ref="I305">Common_InputFunctions.Utility_DisplayArrayInTable(SourceData_PastureBeef.SourceData_PastureBeef_DryMatterDigestibility_Data(), Table_SourceData_PastureBeef_DryMatterDigestibility[[#Headers],[State]], 0)</f>
        <v>0.45</v>
      </c>
      <c r="M305" s="8"/>
    </row>
    <row r="306" spans="4:13" x14ac:dyDescent="0.25" ht="20" customHeight="1">
      <c r="M306" s="8"/>
    </row>
    <row r="307" spans="4:13" x14ac:dyDescent="0.25" ht="20" customHeight="1">
      <c r="M307" s="8"/>
    </row>
    <row r="308" spans="4:13" ht="20" x14ac:dyDescent="0.25" customHeight="1">
      <c r="D308" s="2" t="str" cm="1">
        <f t="array" ref="D308">SourceData_PastureBeef.SourceData_PastureBeef_CrudeProteinContent_Title()</f>
        <v>Beef pasture cattle - Crude protein content of feed intake (fraction) (CPj)</v>
      </c>
      <c r="M308" s="8"/>
    </row>
    <row r="309" spans="4:13" x14ac:dyDescent="0.25" ht="20" customHeight="1">
      <c r="D309" s="17" t="str" cm="1">
        <f t="array" ref="D309">SourceData_PastureBeef.SourceData_PastureBeef_CrudeProteinContent_Source()</f>
        <v>VEERG 2026: Table A.1.2.6</v>
      </c>
      <c r="M309" s="8"/>
    </row>
    <row r="310" spans="4:13" x14ac:dyDescent="0.25" ht="20" customHeight="1">
      <c r="D310" s="1" t="str" cm="1">
        <f t="array" ref="D310">SourceData_PastureBeef.SourceData_PastureBeef_CrudeProteinContent_Variable()</f>
        <v>CPj</v>
      </c>
      <c r="M310" s="8"/>
    </row>
    <row r="311" spans="4:13" x14ac:dyDescent="0.25" ht="20" customHeight="1">
      <c r="D311" s="9" t="str" cm="1">
        <f t="array" ref="D311">SourceData_PastureBeef.SourceData_PastureBeef_CrudeProteinContent_Unit()</f>
        <v>fraction</v>
      </c>
      <c r="M311" s="8"/>
    </row>
    <row r="312" spans="4:13" x14ac:dyDescent="0.25" ht="20" customHeight="1">
      <c r="D312" s="26" t="str" cm="1">
        <f t="array" ref="D312">SourceData_PastureBeef.SourceData_PastureBeef_CrudeProteinContent_Variation()</f>
        <v>VARIATION ON SOURCE: Split ACT and NSW into separate rows. Duplicated QLD and NT rows with regions from table A.1.2.2 to aid lookup</v>
      </c>
      <c r="M312" s="8"/>
    </row>
    <row r="313" spans="4:13" x14ac:dyDescent="0.25" ht="20" customHeight="1">
      <c r="D313" s="20" t="s">
        <v>105</v>
      </c>
      <c r="E313" s="20" t="s">
        <v>490</v>
      </c>
      <c r="F313" s="20" t="s">
        <v>335</v>
      </c>
      <c r="G313" s="20" t="s">
        <v>336</v>
      </c>
      <c r="H313" s="20" t="s">
        <v>337</v>
      </c>
      <c r="I313" s="20" t="s">
        <v>338</v>
      </c>
      <c r="M313" s="8"/>
    </row>
    <row r="314" spans="4:13" x14ac:dyDescent="0.25" ht="20" customHeight="1">
      <c r="D314" s="20" t="str" cm="1">
        <f t="array" ref="D314">Common_InputFunctions.Utility_DisplayArrayInTable(SourceData_PastureBeef.SourceData_PastureBeef_CrudeProteinContent_Data(), Table_SourceData_PastureBeef_CrudeProtein[[#Headers],[State]], 0)</f>
        <v>ACT</v>
      </c>
      <c r="E314" s="20" t="str" cm="1">
        <f t="array" ref="E314">Common_InputFunctions.Utility_DisplayArrayInTable(SourceData_PastureBeef.SourceData_PastureBeef_CrudeProteinContent_Data(), Table_SourceData_PastureBeef_CrudeProtein[[#Headers],[State]], 0)</f>
        <v>n/a</v>
      </c>
      <c r="F314" s="20" cm="1">
        <f t="array" ref="F314">Common_InputFunctions.Utility_DisplayArrayInTable(SourceData_PastureBeef.SourceData_PastureBeef_CrudeProteinContent_Data(), Table_SourceData_PastureBeef_CrudeProtein[[#Headers],[State]], 0)</f>
        <v>7.0000000000000007E-2</v>
      </c>
      <c r="G314" s="20" cm="1">
        <f t="array" ref="G314">Common_InputFunctions.Utility_DisplayArrayInTable(SourceData_PastureBeef.SourceData_PastureBeef_CrudeProteinContent_Data(), Table_SourceData_PastureBeef_CrudeProtein[[#Headers],[State]], 0)</f>
        <v>0.13</v>
      </c>
      <c r="H314" s="20" cm="1">
        <f t="array" ref="H314">Common_InputFunctions.Utility_DisplayArrayInTable(SourceData_PastureBeef.SourceData_PastureBeef_CrudeProteinContent_Data(), Table_SourceData_PastureBeef_CrudeProtein[[#Headers],[State]], 0)</f>
        <v>0.1</v>
      </c>
      <c r="I314" s="20" cm="1">
        <f t="array" ref="I314">Common_InputFunctions.Utility_DisplayArrayInTable(SourceData_PastureBeef.SourceData_PastureBeef_CrudeProteinContent_Data(), Table_SourceData_PastureBeef_CrudeProtein[[#Headers],[State]], 0)</f>
        <v>0.06</v>
      </c>
      <c r="M314" s="8"/>
    </row>
    <row r="315" spans="4:13" x14ac:dyDescent="0.25" ht="20" customHeight="1">
      <c r="D315" s="20" t="str" cm="1">
        <f t="array" ref="D315">Common_InputFunctions.Utility_DisplayArrayInTable(SourceData_PastureBeef.SourceData_PastureBeef_CrudeProteinContent_Data(), Table_SourceData_PastureBeef_CrudeProtein[[#Headers],[State]], 0)</f>
        <v>NSW</v>
      </c>
      <c r="E315" s="20" t="str" cm="1">
        <f t="array" ref="E315">Common_InputFunctions.Utility_DisplayArrayInTable(SourceData_PastureBeef.SourceData_PastureBeef_CrudeProteinContent_Data(), Table_SourceData_PastureBeef_CrudeProtein[[#Headers],[State]], 0)</f>
        <v>n/a</v>
      </c>
      <c r="F315" s="20" cm="1">
        <f t="array" ref="F315">Common_InputFunctions.Utility_DisplayArrayInTable(SourceData_PastureBeef.SourceData_PastureBeef_CrudeProteinContent_Data(), Table_SourceData_PastureBeef_CrudeProtein[[#Headers],[State]], 0)</f>
        <v>7.0000000000000007E-2</v>
      </c>
      <c r="G315" s="20" cm="1">
        <f t="array" ref="G315">Common_InputFunctions.Utility_DisplayArrayInTable(SourceData_PastureBeef.SourceData_PastureBeef_CrudeProteinContent_Data(), Table_SourceData_PastureBeef_CrudeProtein[[#Headers],[State]], 0)</f>
        <v>0.13</v>
      </c>
      <c r="H315" s="20" cm="1">
        <f t="array" ref="H315">Common_InputFunctions.Utility_DisplayArrayInTable(SourceData_PastureBeef.SourceData_PastureBeef_CrudeProteinContent_Data(), Table_SourceData_PastureBeef_CrudeProtein[[#Headers],[State]], 0)</f>
        <v>0.1</v>
      </c>
      <c r="I315" s="20" cm="1">
        <f t="array" ref="I315">Common_InputFunctions.Utility_DisplayArrayInTable(SourceData_PastureBeef.SourceData_PastureBeef_CrudeProteinContent_Data(), Table_SourceData_PastureBeef_CrudeProtein[[#Headers],[State]], 0)</f>
        <v>0.06</v>
      </c>
      <c r="M315" s="8"/>
    </row>
    <row r="316" spans="4:13" x14ac:dyDescent="0.25" ht="20" customHeight="1">
      <c r="D316" s="20" t="str" cm="1">
        <f t="array" ref="D316">Common_InputFunctions.Utility_DisplayArrayInTable(SourceData_PastureBeef.SourceData_PastureBeef_CrudeProteinContent_Data(), Table_SourceData_PastureBeef_CrudeProtein[[#Headers],[State]], 0)</f>
        <v>NT</v>
      </c>
      <c r="E316" s="20" t="str" cm="1">
        <f t="array" ref="E316">Common_InputFunctions.Utility_DisplayArrayInTable(SourceData_PastureBeef.SourceData_PastureBeef_CrudeProteinContent_Data(), Table_SourceData_PastureBeef_CrudeProtein[[#Headers],[State]], 0)</f>
        <v>Alice Springs</v>
      </c>
      <c r="F316" s="20" cm="1">
        <f t="array" ref="F316">Common_InputFunctions.Utility_DisplayArrayInTable(SourceData_PastureBeef.SourceData_PastureBeef_CrudeProteinContent_Data(), Table_SourceData_PastureBeef_CrudeProtein[[#Headers],[State]], 0)</f>
        <v>5.8000000000000003E-2</v>
      </c>
      <c r="G316" s="20" cm="1">
        <f t="array" ref="G316">Common_InputFunctions.Utility_DisplayArrayInTable(SourceData_PastureBeef.SourceData_PastureBeef_CrudeProteinContent_Data(), Table_SourceData_PastureBeef_CrudeProtein[[#Headers],[State]], 0)</f>
        <v>9.1999999999999998E-2</v>
      </c>
      <c r="H316" s="20" cm="1">
        <f t="array" ref="H316">Common_InputFunctions.Utility_DisplayArrayInTable(SourceData_PastureBeef.SourceData_PastureBeef_CrudeProteinContent_Data(), Table_SourceData_PastureBeef_CrudeProtein[[#Headers],[State]], 0)</f>
        <v>7.4999999999999997E-2</v>
      </c>
      <c r="I316" s="20" cm="1">
        <f t="array" ref="I316">Common_InputFunctions.Utility_DisplayArrayInTable(SourceData_PastureBeef.SourceData_PastureBeef_CrudeProteinContent_Data(), Table_SourceData_PastureBeef_CrudeProtein[[#Headers],[State]], 0)</f>
        <v>5.2999999999999999E-2</v>
      </c>
      <c r="M316" s="8"/>
    </row>
    <row r="317" spans="4:13" x14ac:dyDescent="0.25" ht="20" customHeight="1">
      <c r="D317" s="20" t="str" cm="1">
        <f t="array" ref="D317">Common_InputFunctions.Utility_DisplayArrayInTable(SourceData_PastureBeef.SourceData_PastureBeef_CrudeProteinContent_Data(), Table_SourceData_PastureBeef_CrudeProtein[[#Headers],[State]], 0)</f>
        <v>NT</v>
      </c>
      <c r="E317" s="20" t="str" cm="1">
        <f t="array" ref="E317">Common_InputFunctions.Utility_DisplayArrayInTable(SourceData_PastureBeef.SourceData_PastureBeef_CrudeProteinContent_Data(), Table_SourceData_PastureBeef_CrudeProtein[[#Headers],[State]], 0)</f>
        <v>Barkly</v>
      </c>
      <c r="F317" s="20" cm="1">
        <f t="array" ref="F317">Common_InputFunctions.Utility_DisplayArrayInTable(SourceData_PastureBeef.SourceData_PastureBeef_CrudeProteinContent_Data(), Table_SourceData_PastureBeef_CrudeProtein[[#Headers],[State]], 0)</f>
        <v>5.8000000000000003E-2</v>
      </c>
      <c r="G317" s="20" cm="1">
        <f t="array" ref="G317">Common_InputFunctions.Utility_DisplayArrayInTable(SourceData_PastureBeef.SourceData_PastureBeef_CrudeProteinContent_Data(), Table_SourceData_PastureBeef_CrudeProtein[[#Headers],[State]], 0)</f>
        <v>9.1999999999999998E-2</v>
      </c>
      <c r="H317" s="20" cm="1">
        <f t="array" ref="H317">Common_InputFunctions.Utility_DisplayArrayInTable(SourceData_PastureBeef.SourceData_PastureBeef_CrudeProteinContent_Data(), Table_SourceData_PastureBeef_CrudeProtein[[#Headers],[State]], 0)</f>
        <v>7.4999999999999997E-2</v>
      </c>
      <c r="I317" s="20" cm="1">
        <f t="array" ref="I317">Common_InputFunctions.Utility_DisplayArrayInTable(SourceData_PastureBeef.SourceData_PastureBeef_CrudeProteinContent_Data(), Table_SourceData_PastureBeef_CrudeProtein[[#Headers],[State]], 0)</f>
        <v>5.2999999999999999E-2</v>
      </c>
      <c r="M317" s="8"/>
    </row>
    <row r="318" spans="4:13" x14ac:dyDescent="0.25" ht="20" customHeight="1">
      <c r="D318" s="20" t="str" cm="1">
        <f t="array" ref="D318">Common_InputFunctions.Utility_DisplayArrayInTable(SourceData_PastureBeef.SourceData_PastureBeef_CrudeProteinContent_Data(), Table_SourceData_PastureBeef_CrudeProtein[[#Headers],[State]], 0)</f>
        <v>NT</v>
      </c>
      <c r="E318" s="20" t="str" cm="1">
        <f t="array" ref="E318">Common_InputFunctions.Utility_DisplayArrayInTable(SourceData_PastureBeef.SourceData_PastureBeef_CrudeProteinContent_Data(), Table_SourceData_PastureBeef_CrudeProtein[[#Headers],[State]], 0)</f>
        <v>Northern</v>
      </c>
      <c r="F318" s="20" cm="1">
        <f t="array" ref="F318">Common_InputFunctions.Utility_DisplayArrayInTable(SourceData_PastureBeef.SourceData_PastureBeef_CrudeProteinContent_Data(), Table_SourceData_PastureBeef_CrudeProtein[[#Headers],[State]], 0)</f>
        <v>5.8000000000000003E-2</v>
      </c>
      <c r="G318" s="20" cm="1">
        <f t="array" ref="G318">Common_InputFunctions.Utility_DisplayArrayInTable(SourceData_PastureBeef.SourceData_PastureBeef_CrudeProteinContent_Data(), Table_SourceData_PastureBeef_CrudeProtein[[#Headers],[State]], 0)</f>
        <v>9.1999999999999998E-2</v>
      </c>
      <c r="H318" s="20" cm="1">
        <f t="array" ref="H318">Common_InputFunctions.Utility_DisplayArrayInTable(SourceData_PastureBeef.SourceData_PastureBeef_CrudeProteinContent_Data(), Table_SourceData_PastureBeef_CrudeProtein[[#Headers],[State]], 0)</f>
        <v>7.4999999999999997E-2</v>
      </c>
      <c r="I318" s="20" cm="1">
        <f t="array" ref="I318">Common_InputFunctions.Utility_DisplayArrayInTable(SourceData_PastureBeef.SourceData_PastureBeef_CrudeProteinContent_Data(), Table_SourceData_PastureBeef_CrudeProtein[[#Headers],[State]], 0)</f>
        <v>5.2999999999999999E-2</v>
      </c>
      <c r="M318" s="8"/>
    </row>
    <row r="319" spans="4:13" x14ac:dyDescent="0.25" ht="20" customHeight="1">
      <c r="D319" s="20" t="str" cm="1">
        <f t="array" ref="D319">Common_InputFunctions.Utility_DisplayArrayInTable(SourceData_PastureBeef.SourceData_PastureBeef_CrudeProteinContent_Data(), Table_SourceData_PastureBeef_CrudeProtein[[#Headers],[State]], 0)</f>
        <v>QLD</v>
      </c>
      <c r="E319" s="20" t="str" cm="1">
        <f t="array" ref="E319">Common_InputFunctions.Utility_DisplayArrayInTable(SourceData_PastureBeef.SourceData_PastureBeef_CrudeProteinContent_Data(), Table_SourceData_PastureBeef_CrudeProtein[[#Headers],[State]], 0)</f>
        <v>High</v>
      </c>
      <c r="F319" s="20" cm="1">
        <f t="array" ref="F319">Common_InputFunctions.Utility_DisplayArrayInTable(SourceData_PastureBeef.SourceData_PastureBeef_CrudeProteinContent_Data(), Table_SourceData_PastureBeef_CrudeProtein[[#Headers],[State]], 0)</f>
        <v>7.1999999999999995E-2</v>
      </c>
      <c r="G319" s="20" cm="1">
        <f t="array" ref="G319">Common_InputFunctions.Utility_DisplayArrayInTable(SourceData_PastureBeef.SourceData_PastureBeef_CrudeProteinContent_Data(), Table_SourceData_PastureBeef_CrudeProtein[[#Headers],[State]], 0)</f>
        <v>9.9000000000000005E-2</v>
      </c>
      <c r="H319" s="20" cm="1">
        <f t="array" ref="H319">Common_InputFunctions.Utility_DisplayArrayInTable(SourceData_PastureBeef.SourceData_PastureBeef_CrudeProteinContent_Data(), Table_SourceData_PastureBeef_CrudeProtein[[#Headers],[State]], 0)</f>
        <v>7.8E-2</v>
      </c>
      <c r="I319" s="20" cm="1">
        <f t="array" ref="I319">Common_InputFunctions.Utility_DisplayArrayInTable(SourceData_PastureBeef.SourceData_PastureBeef_CrudeProteinContent_Data(), Table_SourceData_PastureBeef_CrudeProtein[[#Headers],[State]], 0)</f>
        <v>5.8999999999999997E-2</v>
      </c>
      <c r="M319" s="1"/>
    </row>
    <row r="320" spans="4:13" x14ac:dyDescent="0.25" ht="20" customHeight="1">
      <c r="D320" s="20" t="str" cm="1">
        <f t="array" ref="D320">Common_InputFunctions.Utility_DisplayArrayInTable(SourceData_PastureBeef.SourceData_PastureBeef_CrudeProteinContent_Data(), Table_SourceData_PastureBeef_CrudeProtein[[#Headers],[State]], 0)</f>
        <v>QLD</v>
      </c>
      <c r="E320" s="20" t="str" cm="1">
        <f t="array" ref="E320">Common_InputFunctions.Utility_DisplayArrayInTable(SourceData_PastureBeef.SourceData_PastureBeef_CrudeProteinContent_Data(), Table_SourceData_PastureBeef_CrudeProtein[[#Headers],[State]], 0)</f>
        <v>Moderate/High</v>
      </c>
      <c r="F320" s="20" cm="1">
        <f t="array" ref="F320">Common_InputFunctions.Utility_DisplayArrayInTable(SourceData_PastureBeef.SourceData_PastureBeef_CrudeProteinContent_Data(), Table_SourceData_PastureBeef_CrudeProtein[[#Headers],[State]], 0)</f>
        <v>7.1999999999999995E-2</v>
      </c>
      <c r="G320" s="20" cm="1">
        <f t="array" ref="G320">Common_InputFunctions.Utility_DisplayArrayInTable(SourceData_PastureBeef.SourceData_PastureBeef_CrudeProteinContent_Data(), Table_SourceData_PastureBeef_CrudeProtein[[#Headers],[State]], 0)</f>
        <v>9.9000000000000005E-2</v>
      </c>
      <c r="H320" s="20" cm="1">
        <f t="array" ref="H320">Common_InputFunctions.Utility_DisplayArrayInTable(SourceData_PastureBeef.SourceData_PastureBeef_CrudeProteinContent_Data(), Table_SourceData_PastureBeef_CrudeProtein[[#Headers],[State]], 0)</f>
        <v>7.8E-2</v>
      </c>
      <c r="I320" s="20" cm="1">
        <f t="array" ref="I320">Common_InputFunctions.Utility_DisplayArrayInTable(SourceData_PastureBeef.SourceData_PastureBeef_CrudeProteinContent_Data(), Table_SourceData_PastureBeef_CrudeProtein[[#Headers],[State]], 0)</f>
        <v>5.8999999999999997E-2</v>
      </c>
      <c r="M320" s="1"/>
    </row>
    <row r="321" spans="4:13" x14ac:dyDescent="0.25" ht="20" customHeight="1">
      <c r="D321" s="20" t="str" cm="1">
        <f t="array" ref="D321">Common_InputFunctions.Utility_DisplayArrayInTable(SourceData_PastureBeef.SourceData_PastureBeef_CrudeProteinContent_Data(), Table_SourceData_PastureBeef_CrudeProtein[[#Headers],[State]], 0)</f>
        <v>QLD</v>
      </c>
      <c r="E321" s="20" t="str" cm="1">
        <f t="array" ref="E321">Common_InputFunctions.Utility_DisplayArrayInTable(SourceData_PastureBeef.SourceData_PastureBeef_CrudeProteinContent_Data(), Table_SourceData_PastureBeef_CrudeProtein[[#Headers],[State]], 0)</f>
        <v>Moderate/Low</v>
      </c>
      <c r="F321" s="20" cm="1">
        <f t="array" ref="F321">Common_InputFunctions.Utility_DisplayArrayInTable(SourceData_PastureBeef.SourceData_PastureBeef_CrudeProteinContent_Data(), Table_SourceData_PastureBeef_CrudeProtein[[#Headers],[State]], 0)</f>
        <v>7.1999999999999995E-2</v>
      </c>
      <c r="G321" s="20" cm="1">
        <f t="array" ref="G321">Common_InputFunctions.Utility_DisplayArrayInTable(SourceData_PastureBeef.SourceData_PastureBeef_CrudeProteinContent_Data(), Table_SourceData_PastureBeef_CrudeProtein[[#Headers],[State]], 0)</f>
        <v>9.9000000000000005E-2</v>
      </c>
      <c r="H321" s="20" cm="1">
        <f t="array" ref="H321">Common_InputFunctions.Utility_DisplayArrayInTable(SourceData_PastureBeef.SourceData_PastureBeef_CrudeProteinContent_Data(), Table_SourceData_PastureBeef_CrudeProtein[[#Headers],[State]], 0)</f>
        <v>7.8E-2</v>
      </c>
      <c r="I321" s="20" cm="1">
        <f t="array" ref="I321">Common_InputFunctions.Utility_DisplayArrayInTable(SourceData_PastureBeef.SourceData_PastureBeef_CrudeProteinContent_Data(), Table_SourceData_PastureBeef_CrudeProtein[[#Headers],[State]], 0)</f>
        <v>5.8999999999999997E-2</v>
      </c>
      <c r="M321" s="1"/>
    </row>
    <row r="322" spans="4:13" x14ac:dyDescent="0.25" ht="20" customHeight="1">
      <c r="D322" s="20" t="str" cm="1">
        <f t="array" ref="D322">Common_InputFunctions.Utility_DisplayArrayInTable(SourceData_PastureBeef.SourceData_PastureBeef_CrudeProteinContent_Data(), Table_SourceData_PastureBeef_CrudeProtein[[#Headers],[State]], 0)</f>
        <v>QLD</v>
      </c>
      <c r="E322" s="20" t="str" cm="1">
        <f t="array" ref="E322">Common_InputFunctions.Utility_DisplayArrayInTable(SourceData_PastureBeef.SourceData_PastureBeef_CrudeProteinContent_Data(), Table_SourceData_PastureBeef_CrudeProtein[[#Headers],[State]], 0)</f>
        <v>Low</v>
      </c>
      <c r="F322" s="20" cm="1">
        <f t="array" ref="F322">Common_InputFunctions.Utility_DisplayArrayInTable(SourceData_PastureBeef.SourceData_PastureBeef_CrudeProteinContent_Data(), Table_SourceData_PastureBeef_CrudeProtein[[#Headers],[State]], 0)</f>
        <v>7.1999999999999995E-2</v>
      </c>
      <c r="G322" s="20" cm="1">
        <f t="array" ref="G322">Common_InputFunctions.Utility_DisplayArrayInTable(SourceData_PastureBeef.SourceData_PastureBeef_CrudeProteinContent_Data(), Table_SourceData_PastureBeef_CrudeProtein[[#Headers],[State]], 0)</f>
        <v>9.9000000000000005E-2</v>
      </c>
      <c r="H322" s="20" cm="1">
        <f t="array" ref="H322">Common_InputFunctions.Utility_DisplayArrayInTable(SourceData_PastureBeef.SourceData_PastureBeef_CrudeProteinContent_Data(), Table_SourceData_PastureBeef_CrudeProtein[[#Headers],[State]], 0)</f>
        <v>7.8E-2</v>
      </c>
      <c r="I322" s="20" cm="1">
        <f t="array" ref="I322">Common_InputFunctions.Utility_DisplayArrayInTable(SourceData_PastureBeef.SourceData_PastureBeef_CrudeProteinContent_Data(), Table_SourceData_PastureBeef_CrudeProtein[[#Headers],[State]], 0)</f>
        <v>5.8999999999999997E-2</v>
      </c>
      <c r="M322" s="1"/>
    </row>
    <row r="323" spans="4:13" x14ac:dyDescent="0.25" ht="20" customHeight="1">
      <c r="D323" s="20" t="str" cm="1">
        <f t="array" ref="D323">Common_InputFunctions.Utility_DisplayArrayInTable(SourceData_PastureBeef.SourceData_PastureBeef_CrudeProteinContent_Data(), Table_SourceData_PastureBeef_CrudeProtein[[#Headers],[State]], 0)</f>
        <v>SA</v>
      </c>
      <c r="E323" s="20" t="str" cm="1">
        <f t="array" ref="E323">Common_InputFunctions.Utility_DisplayArrayInTable(SourceData_PastureBeef.SourceData_PastureBeef_CrudeProteinContent_Data(), Table_SourceData_PastureBeef_CrudeProtein[[#Headers],[State]], 0)</f>
        <v>n/a</v>
      </c>
      <c r="F323" s="20" cm="1">
        <f t="array" ref="F323">Common_InputFunctions.Utility_DisplayArrayInTable(SourceData_PastureBeef.SourceData_PastureBeef_CrudeProteinContent_Data(), Table_SourceData_PastureBeef_CrudeProtein[[#Headers],[State]], 0)</f>
        <v>0.16</v>
      </c>
      <c r="G323" s="20" cm="1">
        <f t="array" ref="G323">Common_InputFunctions.Utility_DisplayArrayInTable(SourceData_PastureBeef.SourceData_PastureBeef_CrudeProteinContent_Data(), Table_SourceData_PastureBeef_CrudeProtein[[#Headers],[State]], 0)</f>
        <v>7.0000000000000007E-2</v>
      </c>
      <c r="H323" s="20" cm="1">
        <f t="array" ref="H323">Common_InputFunctions.Utility_DisplayArrayInTable(SourceData_PastureBeef.SourceData_PastureBeef_CrudeProteinContent_Data(), Table_SourceData_PastureBeef_CrudeProtein[[#Headers],[State]], 0)</f>
        <v>0.09</v>
      </c>
      <c r="I323" s="20" cm="1">
        <f t="array" ref="I323">Common_InputFunctions.Utility_DisplayArrayInTable(SourceData_PastureBeef.SourceData_PastureBeef_CrudeProteinContent_Data(), Table_SourceData_PastureBeef_CrudeProtein[[#Headers],[State]], 0)</f>
        <v>0.2</v>
      </c>
      <c r="M323" s="1"/>
    </row>
    <row r="324" spans="4:13" x14ac:dyDescent="0.25" ht="20" customHeight="1">
      <c r="D324" s="20" t="str" cm="1">
        <f t="array" ref="D324">Common_InputFunctions.Utility_DisplayArrayInTable(SourceData_PastureBeef.SourceData_PastureBeef_CrudeProteinContent_Data(), Table_SourceData_PastureBeef_CrudeProtein[[#Headers],[State]], 0)</f>
        <v>TAS</v>
      </c>
      <c r="E324" s="20" t="str" cm="1">
        <f t="array" ref="E324">Common_InputFunctions.Utility_DisplayArrayInTable(SourceData_PastureBeef.SourceData_PastureBeef_CrudeProteinContent_Data(), Table_SourceData_PastureBeef_CrudeProtein[[#Headers],[State]], 0)</f>
        <v>n/a</v>
      </c>
      <c r="F324" s="20" cm="1">
        <f t="array" ref="F324">Common_InputFunctions.Utility_DisplayArrayInTable(SourceData_PastureBeef.SourceData_PastureBeef_CrudeProteinContent_Data(), Table_SourceData_PastureBeef_CrudeProtein[[#Headers],[State]], 0)</f>
        <v>0.2</v>
      </c>
      <c r="G324" s="20" cm="1">
        <f t="array" ref="G324">Common_InputFunctions.Utility_DisplayArrayInTable(SourceData_PastureBeef.SourceData_PastureBeef_CrudeProteinContent_Data(), Table_SourceData_PastureBeef_CrudeProtein[[#Headers],[State]], 0)</f>
        <v>0.1</v>
      </c>
      <c r="H324" s="20" cm="1">
        <f t="array" ref="H324">Common_InputFunctions.Utility_DisplayArrayInTable(SourceData_PastureBeef.SourceData_PastureBeef_CrudeProteinContent_Data(), Table_SourceData_PastureBeef_CrudeProtein[[#Headers],[State]], 0)</f>
        <v>0.16</v>
      </c>
      <c r="I324" s="20" cm="1">
        <f t="array" ref="I324">Common_InputFunctions.Utility_DisplayArrayInTable(SourceData_PastureBeef.SourceData_PastureBeef_CrudeProteinContent_Data(), Table_SourceData_PastureBeef_CrudeProtein[[#Headers],[State]], 0)</f>
        <v>0.2</v>
      </c>
      <c r="M324" s="1"/>
    </row>
    <row r="325" spans="4:13" x14ac:dyDescent="0.25" ht="20" customHeight="1">
      <c r="D325" s="20" t="str" cm="1">
        <f t="array" ref="D325">Common_InputFunctions.Utility_DisplayArrayInTable(SourceData_PastureBeef.SourceData_PastureBeef_CrudeProteinContent_Data(), Table_SourceData_PastureBeef_CrudeProtein[[#Headers],[State]], 0)</f>
        <v>VIC</v>
      </c>
      <c r="E325" s="20" t="str" cm="1">
        <f t="array" ref="E325">Common_InputFunctions.Utility_DisplayArrayInTable(SourceData_PastureBeef.SourceData_PastureBeef_CrudeProteinContent_Data(), Table_SourceData_PastureBeef_CrudeProtein[[#Headers],[State]], 0)</f>
        <v>n/a</v>
      </c>
      <c r="F325" s="20" cm="1">
        <f t="array" ref="F325">Common_InputFunctions.Utility_DisplayArrayInTable(SourceData_PastureBeef.SourceData_PastureBeef_CrudeProteinContent_Data(), Table_SourceData_PastureBeef_CrudeProtein[[#Headers],[State]], 0)</f>
        <v>0.25</v>
      </c>
      <c r="G325" s="20" cm="1">
        <f t="array" ref="G325">Common_InputFunctions.Utility_DisplayArrayInTable(SourceData_PastureBeef.SourceData_PastureBeef_CrudeProteinContent_Data(), Table_SourceData_PastureBeef_CrudeProtein[[#Headers],[State]], 0)</f>
        <v>7.0000000000000007E-2</v>
      </c>
      <c r="H325" s="20" cm="1">
        <f t="array" ref="H325">Common_InputFunctions.Utility_DisplayArrayInTable(SourceData_PastureBeef.SourceData_PastureBeef_CrudeProteinContent_Data(), Table_SourceData_PastureBeef_CrudeProtein[[#Headers],[State]], 0)</f>
        <v>0.1</v>
      </c>
      <c r="I325" s="20" cm="1">
        <f t="array" ref="I325">Common_InputFunctions.Utility_DisplayArrayInTable(SourceData_PastureBeef.SourceData_PastureBeef_CrudeProteinContent_Data(), Table_SourceData_PastureBeef_CrudeProtein[[#Headers],[State]], 0)</f>
        <v>0.21</v>
      </c>
      <c r="M325" s="1"/>
    </row>
    <row r="326" spans="4:13" x14ac:dyDescent="0.25" ht="20" customHeight="1">
      <c r="D326" s="20" t="str" cm="1">
        <f t="array" ref="D326">Common_InputFunctions.Utility_DisplayArrayInTable(SourceData_PastureBeef.SourceData_PastureBeef_CrudeProteinContent_Data(), Table_SourceData_PastureBeef_CrudeProtein[[#Headers],[State]], 0)</f>
        <v>WA</v>
      </c>
      <c r="E326" s="20" t="str" cm="1">
        <f t="array" ref="E326">Common_InputFunctions.Utility_DisplayArrayInTable(SourceData_PastureBeef.SourceData_PastureBeef_CrudeProteinContent_Data(), Table_SourceData_PastureBeef_CrudeProtein[[#Headers],[State]], 0)</f>
        <v>South West</v>
      </c>
      <c r="F326" s="20" cm="1">
        <f t="array" ref="F326">Common_InputFunctions.Utility_DisplayArrayInTable(SourceData_PastureBeef.SourceData_PastureBeef_CrudeProteinContent_Data(), Table_SourceData_PastureBeef_CrudeProtein[[#Headers],[State]], 0)</f>
        <v>0.2</v>
      </c>
      <c r="G326" s="20" cm="1">
        <f t="array" ref="G326">Common_InputFunctions.Utility_DisplayArrayInTable(SourceData_PastureBeef.SourceData_PastureBeef_CrudeProteinContent_Data(), Table_SourceData_PastureBeef_CrudeProtein[[#Headers],[State]], 0)</f>
        <v>0.09</v>
      </c>
      <c r="H326" s="20" cm="1">
        <f t="array" ref="H326">Common_InputFunctions.Utility_DisplayArrayInTable(SourceData_PastureBeef.SourceData_PastureBeef_CrudeProteinContent_Data(), Table_SourceData_PastureBeef_CrudeProtein[[#Headers],[State]], 0)</f>
        <v>0.06</v>
      </c>
      <c r="I326" s="20" cm="1">
        <f t="array" ref="I326">Common_InputFunctions.Utility_DisplayArrayInTable(SourceData_PastureBeef.SourceData_PastureBeef_CrudeProteinContent_Data(), Table_SourceData_PastureBeef_CrudeProtein[[#Headers],[State]], 0)</f>
        <v>0.2</v>
      </c>
      <c r="M326" s="1"/>
    </row>
    <row r="327" spans="4:13" x14ac:dyDescent="0.25" ht="20" customHeight="1">
      <c r="D327" s="20" t="str" cm="1">
        <f t="array" ref="D327">Common_InputFunctions.Utility_DisplayArrayInTable(SourceData_PastureBeef.SourceData_PastureBeef_CrudeProteinContent_Data(), Table_SourceData_PastureBeef_CrudeProtein[[#Headers],[State]], 0)</f>
        <v>WA</v>
      </c>
      <c r="E327" s="20" t="str" cm="1">
        <f t="array" ref="E327">Common_InputFunctions.Utility_DisplayArrayInTable(SourceData_PastureBeef.SourceData_PastureBeef_CrudeProteinContent_Data(), Table_SourceData_PastureBeef_CrudeProtein[[#Headers],[State]], 0)</f>
        <v>Pilbara</v>
      </c>
      <c r="F327" s="20" cm="1">
        <f t="array" ref="F327">Common_InputFunctions.Utility_DisplayArrayInTable(SourceData_PastureBeef.SourceData_PastureBeef_CrudeProteinContent_Data(), Table_SourceData_PastureBeef_CrudeProtein[[#Headers],[State]], 0)</f>
        <v>0.04</v>
      </c>
      <c r="G327" s="20" cm="1">
        <f t="array" ref="G327">Common_InputFunctions.Utility_DisplayArrayInTable(SourceData_PastureBeef.SourceData_PastureBeef_CrudeProteinContent_Data(), Table_SourceData_PastureBeef_CrudeProtein[[#Headers],[State]], 0)</f>
        <v>0.12</v>
      </c>
      <c r="H327" s="20" cm="1">
        <f t="array" ref="H327">Common_InputFunctions.Utility_DisplayArrayInTable(SourceData_PastureBeef.SourceData_PastureBeef_CrudeProteinContent_Data(), Table_SourceData_PastureBeef_CrudeProtein[[#Headers],[State]], 0)</f>
        <v>0.09</v>
      </c>
      <c r="I327" s="20" cm="1">
        <f t="array" ref="I327">Common_InputFunctions.Utility_DisplayArrayInTable(SourceData_PastureBeef.SourceData_PastureBeef_CrudeProteinContent_Data(), Table_SourceData_PastureBeef_CrudeProtein[[#Headers],[State]], 0)</f>
        <v>0.06</v>
      </c>
      <c r="M327" s="1"/>
    </row>
    <row r="328" spans="4:13" x14ac:dyDescent="0.25" ht="20" customHeight="1">
      <c r="D328" s="20" t="str" cm="1">
        <f t="array" ref="D328">Common_InputFunctions.Utility_DisplayArrayInTable(SourceData_PastureBeef.SourceData_PastureBeef_CrudeProteinContent_Data(), Table_SourceData_PastureBeef_CrudeProtein[[#Headers],[State]], 0)</f>
        <v>WA</v>
      </c>
      <c r="E328" s="20" t="str" cm="1">
        <f t="array" ref="E328">Common_InputFunctions.Utility_DisplayArrayInTable(SourceData_PastureBeef.SourceData_PastureBeef_CrudeProteinContent_Data(), Table_SourceData_PastureBeef_CrudeProtein[[#Headers],[State]], 0)</f>
        <v>Kimberley</v>
      </c>
      <c r="F328" s="20" cm="1">
        <f t="array" ref="F328">Common_InputFunctions.Utility_DisplayArrayInTable(SourceData_PastureBeef.SourceData_PastureBeef_CrudeProteinContent_Data(), Table_SourceData_PastureBeef_CrudeProtein[[#Headers],[State]], 0)</f>
        <v>0.04</v>
      </c>
      <c r="G328" s="20" cm="1">
        <f t="array" ref="G328">Common_InputFunctions.Utility_DisplayArrayInTable(SourceData_PastureBeef.SourceData_PastureBeef_CrudeProteinContent_Data(), Table_SourceData_PastureBeef_CrudeProtein[[#Headers],[State]], 0)</f>
        <v>0.12</v>
      </c>
      <c r="H328" s="20" cm="1">
        <f t="array" ref="H328">Common_InputFunctions.Utility_DisplayArrayInTable(SourceData_PastureBeef.SourceData_PastureBeef_CrudeProteinContent_Data(), Table_SourceData_PastureBeef_CrudeProtein[[#Headers],[State]], 0)</f>
        <v>0.09</v>
      </c>
      <c r="I328" s="20" cm="1">
        <f t="array" ref="I328">Common_InputFunctions.Utility_DisplayArrayInTable(SourceData_PastureBeef.SourceData_PastureBeef_CrudeProteinContent_Data(), Table_SourceData_PastureBeef_CrudeProtein[[#Headers],[State]], 0)</f>
        <v>0.06</v>
      </c>
      <c r="M328" s="1"/>
    </row>
    <row r="329" spans="4:13" x14ac:dyDescent="0.25" ht="20" customHeight="1">
      <c r="M329" s="1"/>
    </row>
    <row r="330" spans="4:13" x14ac:dyDescent="0.25" ht="20" customHeight="1">
      <c r="M330" s="1"/>
    </row>
    <row r="331" spans="4:13" ht="20" x14ac:dyDescent="0.25" customHeight="1">
      <c r="D331" s="2" t="str" cm="1">
        <f t="array" ref="D331">SourceData_PastureBeef.SourceData_PastureBeef_FeedAdjustmentAndMilkProduction_Title()</f>
        <v>Beef pasture cattle - Feed intake adjustment and milk production (kg/head/day)</v>
      </c>
      <c r="M331" s="1"/>
    </row>
    <row r="332" spans="4:13" x14ac:dyDescent="0.25" ht="20" customHeight="1">
      <c r="D332" s="17" t="str" cm="1">
        <f t="array" ref="D332">SourceData_PastureBeef.SourceData_PastureBeef_FeedAdjustmentAndMilkProduction_Source()</f>
        <v>VEERG 2026: Table A.1.2.7</v>
      </c>
      <c r="M332" s="1"/>
    </row>
    <row r="333" spans="4:13" x14ac:dyDescent="0.25" ht="20" customHeight="1">
      <c r="D333" s="1" t="str" cm="1">
        <f t="array" ref="D333">SourceData_PastureBeef.SourceData_PastureBeef_FeedAdjustmentAndMilkProduction_Variable()</f>
        <v>MCjk=1,3,6; DMPjk=5</v>
      </c>
      <c r="I333" s="26" t="s">
        <v>555</v>
      </c>
      <c r="M333" s="1"/>
    </row>
    <row r="334" spans="4:13" x14ac:dyDescent="0.25" ht="20" customHeight="1">
      <c r="D334" s="20" t="s">
        <v>556</v>
      </c>
      <c r="E334" s="20" t="s">
        <v>76</v>
      </c>
      <c r="F334" s="20" t="s">
        <v>557</v>
      </c>
      <c r="G334" s="20" t="s">
        <v>558</v>
      </c>
      <c r="I334" s="20" t="s">
        <v>556</v>
      </c>
      <c r="J334" s="20" t="s">
        <v>76</v>
      </c>
      <c r="K334" s="20" t="s">
        <v>557</v>
      </c>
      <c r="L334" s="20" t="s">
        <v>558</v>
      </c>
      <c r="M334" s="1"/>
    </row>
    <row r="335" spans="4:13" x14ac:dyDescent="0.25" ht="20" customHeight="1">
      <c r="D335" s="20" t="str" cm="1">
        <f t="array" ref="D335">Common_InputFunctions.Utility_DisplayArrayInTable(SourceData_PastureBeef.SourceData_PastureBeef_FeedAdjustmentAndMilkProduction_Data(), Table_SourceData_PastureBeef_FeedIntakeAdjustment[[#Headers],[Breed]], 0)</f>
        <v>Hereford or Shorthorn breeds</v>
      </c>
      <c r="E335" s="20" t="str" cm="1">
        <f t="array" ref="E335">Common_InputFunctions.Utility_DisplayArrayInTable(SourceData_PastureBeef.SourceData_PastureBeef_FeedAdjustmentAndMilkProduction_Data(), Table_SourceData_PastureBeef_FeedIntakeAdjustment[[#Headers],[Breed]], 0)</f>
        <v>Spring</v>
      </c>
      <c r="F335" s="20" cm="1">
        <f t="array" ref="F335">Common_InputFunctions.Utility_DisplayArrayInTable(SourceData_PastureBeef.SourceData_PastureBeef_FeedAdjustmentAndMilkProduction_Data(), Table_SourceData_PastureBeef_FeedIntakeAdjustment[[#Headers],[Breed]], 0)</f>
        <v>1.3</v>
      </c>
      <c r="G335" s="20" cm="1">
        <f t="array" ref="G335">Common_InputFunctions.Utility_DisplayArrayInTable(SourceData_PastureBeef.SourceData_PastureBeef_FeedAdjustmentAndMilkProduction_Data(), Table_SourceData_PastureBeef_FeedIntakeAdjustment[[#Headers],[Breed]], 0)</f>
        <v>6</v>
      </c>
      <c r="I335" s="20" t="str">
        <f>Table_SourceData_PastureBeef_FeedIntakeAdjustment[[#This Row],[Breed]]</f>
        <v>Hereford or Shorthorn breeds</v>
      </c>
      <c r="J335" s="20" t="s">
        <v>357</v>
      </c>
      <c r="K335" s="20">
        <f>Table_SourceData_PastureBeef_FeedIntakeAdjustment[[#This Row],[Feed adjustment]]</f>
        <v>1.3</v>
      </c>
      <c r="L335" s="20">
        <f>Table_SourceData_PastureBeef_FeedIntakeAdjustment[[#This Row],[Milk intake/production]]</f>
        <v>6</v>
      </c>
      <c r="M335" s="1"/>
    </row>
    <row r="336" spans="4:13" x14ac:dyDescent="0.25" ht="20" customHeight="1">
      <c r="D336" s="1" t="str" cm="1">
        <f t="array" ref="D336">Common_InputFunctions.Utility_DisplayArrayInTable(SourceData_PastureBeef.SourceData_PastureBeef_FeedAdjustmentAndMilkProduction_Data(), Table_SourceData_PastureBeef_FeedIntakeAdjustment[[#Headers],[Breed]], 0)</f>
        <v>Hereford or Shorthorn breeds</v>
      </c>
      <c r="E336" s="20" t="str" cm="1">
        <f t="array" ref="E336">Common_InputFunctions.Utility_DisplayArrayInTable(SourceData_PastureBeef.SourceData_PastureBeef_FeedAdjustmentAndMilkProduction_Data(), Table_SourceData_PastureBeef_FeedIntakeAdjustment[[#Headers],[Breed]], 0)</f>
        <v>Summer</v>
      </c>
      <c r="F336" s="20" cm="1">
        <f t="array" ref="F336">Common_InputFunctions.Utility_DisplayArrayInTable(SourceData_PastureBeef.SourceData_PastureBeef_FeedAdjustmentAndMilkProduction_Data(), Table_SourceData_PastureBeef_FeedIntakeAdjustment[[#Headers],[Breed]], 0)</f>
        <v>1.1000000000000001</v>
      </c>
      <c r="G336" s="20"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20" t="s">
        <v>385</v>
      </c>
      <c r="K336" s="20">
        <f>Table_SourceData_PastureBeef_FeedIntakeAdjustment[[#This Row],[Feed adjustment]]</f>
        <v>1.1000000000000001</v>
      </c>
      <c r="L336" s="20">
        <f>Table_SourceData_PastureBeef_FeedIntakeAdjustment[[#This Row],[Milk intake/production]]</f>
        <v>4</v>
      </c>
      <c r="M336" s="1"/>
    </row>
    <row r="337" spans="4:13" x14ac:dyDescent="0.25" ht="20" customHeight="1">
      <c r="D337" s="1" t="str" cm="1">
        <f t="array" ref="D337">Common_InputFunctions.Utility_DisplayArrayInTable(SourceData_PastureBeef.SourceData_PastureBeef_FeedAdjustmentAndMilkProduction_Data(), Table_SourceData_PastureBeef_FeedIntakeAdjustment[[#Headers],[Breed]], 0)</f>
        <v>Hereford or Shorthorn breeds</v>
      </c>
      <c r="E337" s="20" t="str" cm="1">
        <f t="array" ref="E337">Common_InputFunctions.Utility_DisplayArrayInTable(SourceData_PastureBeef.SourceData_PastureBeef_FeedAdjustmentAndMilkProduction_Data(), Table_SourceData_PastureBeef_FeedIntakeAdjustment[[#Headers],[Breed]], 0)</f>
        <v>Autumn</v>
      </c>
      <c r="F337" s="20" cm="1">
        <f t="array" ref="F337">Common_InputFunctions.Utility_DisplayArrayInTable(SourceData_PastureBeef.SourceData_PastureBeef_FeedAdjustmentAndMilkProduction_Data(), Table_SourceData_PastureBeef_FeedIntakeAdjustment[[#Headers],[Breed]], 0)</f>
        <v>0</v>
      </c>
      <c r="G337" s="20"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20" t="s">
        <v>357</v>
      </c>
      <c r="K337" s="20">
        <f>F340</f>
        <v>1.3</v>
      </c>
      <c r="L337" s="20">
        <f t="shared" ref="L337:L338" si="51">G340</f>
        <v>4</v>
      </c>
      <c r="M337" s="1"/>
    </row>
    <row r="338" spans="4:13" x14ac:dyDescent="0.25" ht="20" customHeight="1">
      <c r="D338" s="1" t="str" cm="1">
        <f t="array" ref="D338">Common_InputFunctions.Utility_DisplayArrayInTable(SourceData_PastureBeef.SourceData_PastureBeef_FeedAdjustmentAndMilkProduction_Data(), Table_SourceData_PastureBeef_FeedIntakeAdjustment[[#Headers],[Breed]], 0)</f>
        <v>Hereford or Shorthorn breeds</v>
      </c>
      <c r="E338" s="20" t="str" cm="1">
        <f t="array" ref="E338">Common_InputFunctions.Utility_DisplayArrayInTable(SourceData_PastureBeef.SourceData_PastureBeef_FeedAdjustmentAndMilkProduction_Data(), Table_SourceData_PastureBeef_FeedIntakeAdjustment[[#Headers],[Breed]], 0)</f>
        <v>Winter</v>
      </c>
      <c r="F338" s="20" cm="1">
        <f t="array" ref="F338">Common_InputFunctions.Utility_DisplayArrayInTable(SourceData_PastureBeef.SourceData_PastureBeef_FeedAdjustmentAndMilkProduction_Data(), Table_SourceData_PastureBeef_FeedIntakeAdjustment[[#Headers],[Breed]], 0)</f>
        <v>0</v>
      </c>
      <c r="G338" s="20"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20" t="s">
        <v>385</v>
      </c>
      <c r="K338" s="20">
        <f t="shared" ref="K338" si="52">F341</f>
        <v>1.1000000000000001</v>
      </c>
      <c r="L338" s="20">
        <f t="shared" si="51"/>
        <v>3</v>
      </c>
      <c r="M338" s="1"/>
    </row>
    <row r="339" spans="4:13" x14ac:dyDescent="0.25" ht="20" customHeight="1">
      <c r="D339" s="1" t="str" cm="1">
        <f t="array" ref="D339">Common_InputFunctions.Utility_DisplayArrayInTable(SourceData_PastureBeef.SourceData_PastureBeef_FeedAdjustmentAndMilkProduction_Data(), Table_SourceData_PastureBeef_FeedIntakeAdjustment[[#Headers],[Breed]], 0)</f>
        <v>Northern Brahman cross breed</v>
      </c>
      <c r="E339" s="20" t="str" cm="1">
        <f t="array" ref="E339">Common_InputFunctions.Utility_DisplayArrayInTable(SourceData_PastureBeef.SourceData_PastureBeef_FeedAdjustmentAndMilkProduction_Data(), Table_SourceData_PastureBeef_FeedIntakeAdjustment[[#Headers],[Breed]], 0)</f>
        <v>Spring</v>
      </c>
      <c r="F339" s="20" cm="1">
        <f t="array" ref="F339">Common_InputFunctions.Utility_DisplayArrayInTable(SourceData_PastureBeef.SourceData_PastureBeef_FeedAdjustmentAndMilkProduction_Data(), Table_SourceData_PastureBeef_FeedIntakeAdjustment[[#Headers],[Breed]], 0)</f>
        <v>0</v>
      </c>
      <c r="G339" s="20" cm="1">
        <f t="array" ref="G339">Common_InputFunctions.Utility_DisplayArrayInTable(SourceData_PastureBeef.SourceData_PastureBeef_FeedAdjustmentAndMilkProduction_Data(), Table_SourceData_PastureBeef_FeedIntakeAdjustment[[#Headers],[Breed]], 0)</f>
        <v>0</v>
      </c>
      <c r="M339" s="1"/>
    </row>
    <row r="340" spans="4:13" x14ac:dyDescent="0.25" ht="20" customHeight="1">
      <c r="D340" s="1" t="str" cm="1">
        <f t="array" ref="D340">Common_InputFunctions.Utility_DisplayArrayInTable(SourceData_PastureBeef.SourceData_PastureBeef_FeedAdjustmentAndMilkProduction_Data(), Table_SourceData_PastureBeef_FeedIntakeAdjustment[[#Headers],[Breed]], 0)</f>
        <v>Northern Brahman cross breed</v>
      </c>
      <c r="E340" s="20" t="str" cm="1">
        <f t="array" ref="E340">Common_InputFunctions.Utility_DisplayArrayInTable(SourceData_PastureBeef.SourceData_PastureBeef_FeedAdjustmentAndMilkProduction_Data(), Table_SourceData_PastureBeef_FeedIntakeAdjustment[[#Headers],[Breed]], 0)</f>
        <v>Summer</v>
      </c>
      <c r="F340" s="20" cm="1">
        <f t="array" ref="F340">Common_InputFunctions.Utility_DisplayArrayInTable(SourceData_PastureBeef.SourceData_PastureBeef_FeedAdjustmentAndMilkProduction_Data(), Table_SourceData_PastureBeef_FeedIntakeAdjustment[[#Headers],[Breed]], 0)</f>
        <v>1.3</v>
      </c>
      <c r="G340" s="20" cm="1">
        <f t="array" ref="G340">Common_InputFunctions.Utility_DisplayArrayInTable(SourceData_PastureBeef.SourceData_PastureBeef_FeedAdjustmentAndMilkProduction_Data(), Table_SourceData_PastureBeef_FeedIntakeAdjustment[[#Headers],[Breed]], 0)</f>
        <v>4</v>
      </c>
      <c r="M340" s="1"/>
    </row>
    <row r="341" spans="4:13" x14ac:dyDescent="0.25" ht="20" customHeight="1">
      <c r="D341" s="1" t="str" cm="1">
        <f t="array" ref="D341">Common_InputFunctions.Utility_DisplayArrayInTable(SourceData_PastureBeef.SourceData_PastureBeef_FeedAdjustmentAndMilkProduction_Data(), Table_SourceData_PastureBeef_FeedIntakeAdjustment[[#Headers],[Breed]], 0)</f>
        <v>Northern Brahman cross breed</v>
      </c>
      <c r="E341" s="20" t="str" cm="1">
        <f t="array" ref="E341">Common_InputFunctions.Utility_DisplayArrayInTable(SourceData_PastureBeef.SourceData_PastureBeef_FeedAdjustmentAndMilkProduction_Data(), Table_SourceData_PastureBeef_FeedIntakeAdjustment[[#Headers],[Breed]], 0)</f>
        <v>Autumn</v>
      </c>
      <c r="F341" s="20" cm="1">
        <f t="array" ref="F341">Common_InputFunctions.Utility_DisplayArrayInTable(SourceData_PastureBeef.SourceData_PastureBeef_FeedAdjustmentAndMilkProduction_Data(), Table_SourceData_PastureBeef_FeedIntakeAdjustment[[#Headers],[Breed]], 0)</f>
        <v>1.1000000000000001</v>
      </c>
      <c r="G341" s="20" cm="1">
        <f t="array" ref="G341">Common_InputFunctions.Utility_DisplayArrayInTable(SourceData_PastureBeef.SourceData_PastureBeef_FeedAdjustmentAndMilkProduction_Data(), Table_SourceData_PastureBeef_FeedIntakeAdjustment[[#Headers],[Breed]], 0)</f>
        <v>3</v>
      </c>
      <c r="M341" s="1"/>
    </row>
    <row r="342" spans="4:13" x14ac:dyDescent="0.25" ht="20" customHeight="1">
      <c r="D342" s="1" t="str" cm="1">
        <f t="array" ref="D342">Common_InputFunctions.Utility_DisplayArrayInTable(SourceData_PastureBeef.SourceData_PastureBeef_FeedAdjustmentAndMilkProduction_Data(), Table_SourceData_PastureBeef_FeedIntakeAdjustment[[#Headers],[Breed]], 0)</f>
        <v>Northern Brahman cross breed</v>
      </c>
      <c r="E342" s="20" t="str" cm="1">
        <f t="array" ref="E342">Common_InputFunctions.Utility_DisplayArrayInTable(SourceData_PastureBeef.SourceData_PastureBeef_FeedAdjustmentAndMilkProduction_Data(), Table_SourceData_PastureBeef_FeedIntakeAdjustment[[#Headers],[Breed]], 0)</f>
        <v>Winter</v>
      </c>
      <c r="F342" s="20" cm="1">
        <f t="array" ref="F342">Common_InputFunctions.Utility_DisplayArrayInTable(SourceData_PastureBeef.SourceData_PastureBeef_FeedAdjustmentAndMilkProduction_Data(), Table_SourceData_PastureBeef_FeedIntakeAdjustment[[#Headers],[Breed]], 0)</f>
        <v>0</v>
      </c>
      <c r="G342" s="20" cm="1">
        <f t="array" ref="G342">Common_InputFunctions.Utility_DisplayArrayInTable(SourceData_PastureBeef.SourceData_PastureBeef_FeedAdjustmentAndMilkProduction_Data(), Table_SourceData_PastureBeef_FeedIntakeAdjustment[[#Headers],[Breed]], 0)</f>
        <v>0</v>
      </c>
      <c r="M342" s="1"/>
    </row>
    <row r="343" spans="4:13" x14ac:dyDescent="0.25" ht="20" customHeight="1">
      <c r="M343" s="1"/>
    </row>
    <row r="344" spans="4:13" x14ac:dyDescent="0.25" ht="20" customHeight="1">
      <c r="M344" s="1"/>
    </row>
    <row r="345" spans="4:13" ht="20" x14ac:dyDescent="0.25" customHeight="1">
      <c r="D345" s="2" t="str" cm="1">
        <f t="array" ref="D345">SourceData_PastureBeef.SourceData_PastureBeef_StandardReferenceWeights_Title()</f>
        <v>Beef pasture cattle - Standard reference weights (kg) (SRWk)</v>
      </c>
      <c r="M345" s="1"/>
    </row>
    <row r="346" spans="4:13" x14ac:dyDescent="0.25" ht="20" customHeight="1">
      <c r="D346" s="17" t="str" cm="1">
        <f t="array" ref="D346">SourceData_PastureBeef.SourceData_PastureBeef_StandardReferenceWeights_Source()</f>
        <v>VEERG 2026: Table A.1.2.8</v>
      </c>
      <c r="M346" s="1"/>
    </row>
    <row r="347" spans="4:13" x14ac:dyDescent="0.25" ht="20" customHeight="1">
      <c r="D347" s="1" t="str" cm="1">
        <f t="array" ref="D347">SourceData_PastureBeef.SourceData_PastureBeef_StandardReferenceWeights_Variable()</f>
        <v>SRWk</v>
      </c>
      <c r="M347" s="1"/>
    </row>
    <row r="348" spans="4:13" x14ac:dyDescent="0.25" ht="20" customHeight="1">
      <c r="D348" s="9" t="str" cm="1">
        <f t="array" ref="D348">SourceData_PastureBeef.SourceData_PastureBeef_StandardReferenceWeights_Unit()</f>
        <v>kg</v>
      </c>
      <c r="M348" s="1"/>
    </row>
    <row r="349" spans="4:13" x14ac:dyDescent="0.25" ht="20" customHeight="1">
      <c r="D349" s="26" t="str" cm="1">
        <f t="array" ref="D349">SourceData_PastureBeef.SourceData_PastureBeef_StandardReferenceWeights_Variation()</f>
        <v>VARIATION ON SOURCE: Split ACT and NSW into separate rows. Added 'State abbreviation' column to aid lookup.</v>
      </c>
      <c r="M349" s="1"/>
    </row>
    <row r="350" spans="4:13" x14ac:dyDescent="0.25" ht="20" customHeight="1">
      <c r="D350" s="20" t="s">
        <v>105</v>
      </c>
      <c r="E350" s="20" t="s">
        <v>559</v>
      </c>
      <c r="F350" s="20" t="s">
        <v>560</v>
      </c>
      <c r="G350" s="20" t="s">
        <v>541</v>
      </c>
      <c r="H350" s="20" t="s">
        <v>542</v>
      </c>
      <c r="I350" s="20" t="s">
        <v>561</v>
      </c>
      <c r="J350" s="20" t="s">
        <v>545</v>
      </c>
      <c r="K350" s="20" t="s">
        <v>552</v>
      </c>
      <c r="L350" s="20" t="s">
        <v>562</v>
      </c>
      <c r="M350" s="1"/>
    </row>
    <row r="351" spans="4:13" x14ac:dyDescent="0.25" ht="20" customHeight="1">
      <c r="D351" s="20" t="str" cm="1">
        <f t="array" ref="D351">Common_InputFunctions.Utility_DisplayArrayInTable(SourceData_PastureBeef.SourceData_PastureBeef_StandardReferenceWeights_Data(), Table_SourceData_PastureBeef_StandardReferenceWeights[[#Headers],[State]], 0)</f>
        <v>ACT</v>
      </c>
      <c r="E351" s="20" cm="1">
        <f t="array" ref="E351">Common_InputFunctions.Utility_DisplayArrayInTable(SourceData_PastureBeef.SourceData_PastureBeef_StandardReferenceWeights_Data(), Table_SourceData_PastureBeef_StandardReferenceWeights[[#Headers],[State]], 0)</f>
        <v>700</v>
      </c>
      <c r="F351" s="20" cm="1">
        <f t="array" ref="F351">Common_InputFunctions.Utility_DisplayArrayInTable(SourceData_PastureBeef.SourceData_PastureBeef_StandardReferenceWeights_Data(), Table_SourceData_PastureBeef_StandardReferenceWeights[[#Headers],[State]], 0)</f>
        <v>700</v>
      </c>
      <c r="G351" s="20" cm="1">
        <f t="array" ref="G351">Common_InputFunctions.Utility_DisplayArrayInTable(SourceData_PastureBeef.SourceData_PastureBeef_StandardReferenceWeights_Data(), Table_SourceData_PastureBeef_StandardReferenceWeights[[#Headers],[State]], 0)</f>
        <v>500</v>
      </c>
      <c r="H351" s="20" cm="1">
        <f t="array" ref="H351">Common_InputFunctions.Utility_DisplayArrayInTable(SourceData_PastureBeef.SourceData_PastureBeef_StandardReferenceWeights_Data(), Table_SourceData_PastureBeef_StandardReferenceWeights[[#Headers],[State]], 0)</f>
        <v>500</v>
      </c>
      <c r="I351" s="20" cm="1">
        <f t="array" ref="I351">Common_InputFunctions.Utility_DisplayArrayInTable(SourceData_PastureBeef.SourceData_PastureBeef_StandardReferenceWeights_Data(), Table_SourceData_PastureBeef_StandardReferenceWeights[[#Headers],[State]], 0)</f>
        <v>500</v>
      </c>
      <c r="J351" s="20" cm="1">
        <f t="array" ref="J351">Common_InputFunctions.Utility_DisplayArrayInTable(SourceData_PastureBeef.SourceData_PastureBeef_StandardReferenceWeights_Data(), Table_SourceData_PastureBeef_StandardReferenceWeights[[#Headers],[State]], 0)</f>
        <v>600</v>
      </c>
      <c r="K351" s="20" cm="1">
        <f t="array" ref="K351">Common_InputFunctions.Utility_DisplayArrayInTable(SourceData_PastureBeef.SourceData_PastureBeef_StandardReferenceWeights_Data(), Table_SourceData_PastureBeef_StandardReferenceWeights[[#Headers],[State]], 0)</f>
        <v>600</v>
      </c>
      <c r="L351" s="20" t="str" cm="1">
        <f t="array" ref="L351">Common_InputFunctions.Utility_DisplayArrayInTable(SourceData_PastureBeef.SourceData_PastureBeef_StandardReferenceWeights_Data(), Table_SourceData_PastureBeef_StandardReferenceWeights[[#Headers],[State]], 0)</f>
        <v>ACT</v>
      </c>
      <c r="M351" s="1"/>
    </row>
    <row r="352" spans="4:13" x14ac:dyDescent="0.25" ht="20" customHeight="1">
      <c r="D352" s="1" t="str" cm="1">
        <f t="array" ref="D352">Common_InputFunctions.Utility_DisplayArrayInTable(SourceData_PastureBeef.SourceData_PastureBeef_StandardReferenceWeights_Data(), Table_SourceData_PastureBeef_StandardReferenceWeights[[#Headers],[State]], 0)</f>
        <v>NSW</v>
      </c>
      <c r="E352" s="20" cm="1">
        <f t="array" ref="E352">Common_InputFunctions.Utility_DisplayArrayInTable(SourceData_PastureBeef.SourceData_PastureBeef_StandardReferenceWeights_Data(), Table_SourceData_PastureBeef_StandardReferenceWeights[[#Headers],[State]], 0)</f>
        <v>700</v>
      </c>
      <c r="F352" s="20" cm="1">
        <f t="array" ref="F352">Common_InputFunctions.Utility_DisplayArrayInTable(SourceData_PastureBeef.SourceData_PastureBeef_StandardReferenceWeights_Data(), Table_SourceData_PastureBeef_StandardReferenceWeights[[#Headers],[State]], 0)</f>
        <v>700</v>
      </c>
      <c r="G352" s="20" cm="1">
        <f t="array" ref="G352">Common_InputFunctions.Utility_DisplayArrayInTable(SourceData_PastureBeef.SourceData_PastureBeef_StandardReferenceWeights_Data(), Table_SourceData_PastureBeef_StandardReferenceWeights[[#Headers],[State]], 0)</f>
        <v>500</v>
      </c>
      <c r="H352" s="20" cm="1">
        <f t="array" ref="H352">Common_InputFunctions.Utility_DisplayArrayInTable(SourceData_PastureBeef.SourceData_PastureBeef_StandardReferenceWeights_Data(), Table_SourceData_PastureBeef_StandardReferenceWeights[[#Headers],[State]], 0)</f>
        <v>500</v>
      </c>
      <c r="I352" s="20" cm="1">
        <f t="array" ref="I352">Common_InputFunctions.Utility_DisplayArrayInTable(SourceData_PastureBeef.SourceData_PastureBeef_StandardReferenceWeights_Data(), Table_SourceData_PastureBeef_StandardReferenceWeights[[#Headers],[State]], 0)</f>
        <v>500</v>
      </c>
      <c r="J352" s="20" cm="1">
        <f t="array" ref="J352">Common_InputFunctions.Utility_DisplayArrayInTable(SourceData_PastureBeef.SourceData_PastureBeef_StandardReferenceWeights_Data(), Table_SourceData_PastureBeef_StandardReferenceWeights[[#Headers],[State]], 0)</f>
        <v>600</v>
      </c>
      <c r="K352" s="20" cm="1">
        <f t="array" ref="K352">Common_InputFunctions.Utility_DisplayArrayInTable(SourceData_PastureBeef.SourceData_PastureBeef_StandardReferenceWeights_Data(), Table_SourceData_PastureBeef_StandardReferenceWeights[[#Headers],[State]], 0)</f>
        <v>600</v>
      </c>
      <c r="L352" s="20" t="str" cm="1">
        <f t="array" ref="L352">Common_InputFunctions.Utility_DisplayArrayInTable(SourceData_PastureBeef.SourceData_PastureBeef_StandardReferenceWeights_Data(), Table_SourceData_PastureBeef_StandardReferenceWeights[[#Headers],[State]], 0)</f>
        <v>NSW</v>
      </c>
      <c r="M352" s="1"/>
    </row>
    <row r="353" spans="4:15" x14ac:dyDescent="0.25" ht="20" customHeight="1">
      <c r="D353" s="1" t="str" cm="1">
        <f t="array" ref="D353">Common_InputFunctions.Utility_DisplayArrayInTable(SourceData_PastureBeef.SourceData_PastureBeef_StandardReferenceWeights_Data(), Table_SourceData_PastureBeef_StandardReferenceWeights[[#Headers],[State]], 0)</f>
        <v>Northern Territory</v>
      </c>
      <c r="E353" s="20" cm="1">
        <f t="array" ref="E353">Common_InputFunctions.Utility_DisplayArrayInTable(SourceData_PastureBeef.SourceData_PastureBeef_StandardReferenceWeights_Data(), Table_SourceData_PastureBeef_StandardReferenceWeights[[#Headers],[State]], 0)</f>
        <v>770</v>
      </c>
      <c r="F353" s="20" cm="1">
        <f t="array" ref="F353">Common_InputFunctions.Utility_DisplayArrayInTable(SourceData_PastureBeef.SourceData_PastureBeef_StandardReferenceWeights_Data(), Table_SourceData_PastureBeef_StandardReferenceWeights[[#Headers],[State]], 0)</f>
        <v>770</v>
      </c>
      <c r="G353" s="20" cm="1">
        <f t="array" ref="G353">Common_InputFunctions.Utility_DisplayArrayInTable(SourceData_PastureBeef.SourceData_PastureBeef_StandardReferenceWeights_Data(), Table_SourceData_PastureBeef_StandardReferenceWeights[[#Headers],[State]], 0)</f>
        <v>550</v>
      </c>
      <c r="H353" s="20" cm="1">
        <f t="array" ref="H353">Common_InputFunctions.Utility_DisplayArrayInTable(SourceData_PastureBeef.SourceData_PastureBeef_StandardReferenceWeights_Data(), Table_SourceData_PastureBeef_StandardReferenceWeights[[#Headers],[State]], 0)</f>
        <v>550</v>
      </c>
      <c r="I353" s="20" cm="1">
        <f t="array" ref="I353">Common_InputFunctions.Utility_DisplayArrayInTable(SourceData_PastureBeef.SourceData_PastureBeef_StandardReferenceWeights_Data(), Table_SourceData_PastureBeef_StandardReferenceWeights[[#Headers],[State]], 0)</f>
        <v>550</v>
      </c>
      <c r="J353" s="20" cm="1">
        <f t="array" ref="J353">Common_InputFunctions.Utility_DisplayArrayInTable(SourceData_PastureBeef.SourceData_PastureBeef_StandardReferenceWeights_Data(), Table_SourceData_PastureBeef_StandardReferenceWeights[[#Headers],[State]], 0)</f>
        <v>660</v>
      </c>
      <c r="K353" s="20" cm="1">
        <f t="array" ref="K353">Common_InputFunctions.Utility_DisplayArrayInTable(SourceData_PastureBeef.SourceData_PastureBeef_StandardReferenceWeights_Data(), Table_SourceData_PastureBeef_StandardReferenceWeights[[#Headers],[State]], 0)</f>
        <v>660</v>
      </c>
      <c r="L353" s="20" t="str" cm="1">
        <f t="array" ref="L353">Common_InputFunctions.Utility_DisplayArrayInTable(SourceData_PastureBeef.SourceData_PastureBeef_StandardReferenceWeights_Data(), Table_SourceData_PastureBeef_StandardReferenceWeights[[#Headers],[State]], 0)</f>
        <v>NT</v>
      </c>
      <c r="M353" s="1"/>
    </row>
    <row r="354" spans="4:15" x14ac:dyDescent="0.25" ht="20" customHeight="1">
      <c r="D354" s="1" t="str" cm="1">
        <f t="array" ref="D354">Common_InputFunctions.Utility_DisplayArrayInTable(SourceData_PastureBeef.SourceData_PastureBeef_StandardReferenceWeights_Data(), Table_SourceData_PastureBeef_StandardReferenceWeights[[#Headers],[State]], 0)</f>
        <v>Queensland</v>
      </c>
      <c r="E354" s="20" cm="1">
        <f t="array" ref="E354">Common_InputFunctions.Utility_DisplayArrayInTable(SourceData_PastureBeef.SourceData_PastureBeef_StandardReferenceWeights_Data(), Table_SourceData_PastureBeef_StandardReferenceWeights[[#Headers],[State]], 0)</f>
        <v>770</v>
      </c>
      <c r="F354" s="20" cm="1">
        <f t="array" ref="F354">Common_InputFunctions.Utility_DisplayArrayInTable(SourceData_PastureBeef.SourceData_PastureBeef_StandardReferenceWeights_Data(), Table_SourceData_PastureBeef_StandardReferenceWeights[[#Headers],[State]], 0)</f>
        <v>770</v>
      </c>
      <c r="G354" s="20" cm="1">
        <f t="array" ref="G354">Common_InputFunctions.Utility_DisplayArrayInTable(SourceData_PastureBeef.SourceData_PastureBeef_StandardReferenceWeights_Data(), Table_SourceData_PastureBeef_StandardReferenceWeights[[#Headers],[State]], 0)</f>
        <v>550</v>
      </c>
      <c r="H354" s="20" cm="1">
        <f t="array" ref="H354">Common_InputFunctions.Utility_DisplayArrayInTable(SourceData_PastureBeef.SourceData_PastureBeef_StandardReferenceWeights_Data(), Table_SourceData_PastureBeef_StandardReferenceWeights[[#Headers],[State]], 0)</f>
        <v>550</v>
      </c>
      <c r="I354" s="20" cm="1">
        <f t="array" ref="I354">Common_InputFunctions.Utility_DisplayArrayInTable(SourceData_PastureBeef.SourceData_PastureBeef_StandardReferenceWeights_Data(), Table_SourceData_PastureBeef_StandardReferenceWeights[[#Headers],[State]], 0)</f>
        <v>550</v>
      </c>
      <c r="J354" s="20" cm="1">
        <f t="array" ref="J354">Common_InputFunctions.Utility_DisplayArrayInTable(SourceData_PastureBeef.SourceData_PastureBeef_StandardReferenceWeights_Data(), Table_SourceData_PastureBeef_StandardReferenceWeights[[#Headers],[State]], 0)</f>
        <v>660</v>
      </c>
      <c r="K354" s="20" cm="1">
        <f t="array" ref="K354">Common_InputFunctions.Utility_DisplayArrayInTable(SourceData_PastureBeef.SourceData_PastureBeef_StandardReferenceWeights_Data(), Table_SourceData_PastureBeef_StandardReferenceWeights[[#Headers],[State]], 0)</f>
        <v>660</v>
      </c>
      <c r="L354" s="20" t="str" cm="1">
        <f t="array" ref="L354">Common_InputFunctions.Utility_DisplayArrayInTable(SourceData_PastureBeef.SourceData_PastureBeef_StandardReferenceWeights_Data(), Table_SourceData_PastureBeef_StandardReferenceWeights[[#Headers],[State]], 0)</f>
        <v>QLD</v>
      </c>
      <c r="M354" s="1"/>
    </row>
    <row r="355" spans="4:15" x14ac:dyDescent="0.25" ht="20" customHeight="1">
      <c r="D355" s="1" t="str" cm="1">
        <f t="array" ref="D355">Common_InputFunctions.Utility_DisplayArrayInTable(SourceData_PastureBeef.SourceData_PastureBeef_StandardReferenceWeights_Data(), Table_SourceData_PastureBeef_StandardReferenceWeights[[#Headers],[State]], 0)</f>
        <v>South Australia</v>
      </c>
      <c r="E355" s="20" cm="1">
        <f t="array" ref="E355">Common_InputFunctions.Utility_DisplayArrayInTable(SourceData_PastureBeef.SourceData_PastureBeef_StandardReferenceWeights_Data(), Table_SourceData_PastureBeef_StandardReferenceWeights[[#Headers],[State]], 0)</f>
        <v>770</v>
      </c>
      <c r="F355" s="20" cm="1">
        <f t="array" ref="F355">Common_InputFunctions.Utility_DisplayArrayInTable(SourceData_PastureBeef.SourceData_PastureBeef_StandardReferenceWeights_Data(), Table_SourceData_PastureBeef_StandardReferenceWeights[[#Headers],[State]], 0)</f>
        <v>770</v>
      </c>
      <c r="G355" s="20" cm="1">
        <f t="array" ref="G355">Common_InputFunctions.Utility_DisplayArrayInTable(SourceData_PastureBeef.SourceData_PastureBeef_StandardReferenceWeights_Data(), Table_SourceData_PastureBeef_StandardReferenceWeights[[#Headers],[State]], 0)</f>
        <v>550</v>
      </c>
      <c r="H355" s="20" cm="1">
        <f t="array" ref="H355">Common_InputFunctions.Utility_DisplayArrayInTable(SourceData_PastureBeef.SourceData_PastureBeef_StandardReferenceWeights_Data(), Table_SourceData_PastureBeef_StandardReferenceWeights[[#Headers],[State]], 0)</f>
        <v>550</v>
      </c>
      <c r="I355" s="20" cm="1">
        <f t="array" ref="I355">Common_InputFunctions.Utility_DisplayArrayInTable(SourceData_PastureBeef.SourceData_PastureBeef_StandardReferenceWeights_Data(), Table_SourceData_PastureBeef_StandardReferenceWeights[[#Headers],[State]], 0)</f>
        <v>550</v>
      </c>
      <c r="J355" s="20" cm="1">
        <f t="array" ref="J355">Common_InputFunctions.Utility_DisplayArrayInTable(SourceData_PastureBeef.SourceData_PastureBeef_StandardReferenceWeights_Data(), Table_SourceData_PastureBeef_StandardReferenceWeights[[#Headers],[State]], 0)</f>
        <v>660</v>
      </c>
      <c r="K355" s="20" cm="1">
        <f t="array" ref="K355">Common_InputFunctions.Utility_DisplayArrayInTable(SourceData_PastureBeef.SourceData_PastureBeef_StandardReferenceWeights_Data(), Table_SourceData_PastureBeef_StandardReferenceWeights[[#Headers],[State]], 0)</f>
        <v>660</v>
      </c>
      <c r="L355" s="20" t="str" cm="1">
        <f t="array" ref="L355">Common_InputFunctions.Utility_DisplayArrayInTable(SourceData_PastureBeef.SourceData_PastureBeef_StandardReferenceWeights_Data(), Table_SourceData_PastureBeef_StandardReferenceWeights[[#Headers],[State]], 0)</f>
        <v>SA</v>
      </c>
      <c r="M355" s="1"/>
    </row>
    <row r="356" spans="4:15" x14ac:dyDescent="0.25" ht="20" customHeight="1">
      <c r="D356" s="1" t="str" cm="1">
        <f t="array" ref="D356">Common_InputFunctions.Utility_DisplayArrayInTable(SourceData_PastureBeef.SourceData_PastureBeef_StandardReferenceWeights_Data(), Table_SourceData_PastureBeef_StandardReferenceWeights[[#Headers],[State]], 0)</f>
        <v>Tasmania</v>
      </c>
      <c r="E356" s="20" cm="1">
        <f t="array" ref="E356">Common_InputFunctions.Utility_DisplayArrayInTable(SourceData_PastureBeef.SourceData_PastureBeef_StandardReferenceWeights_Data(), Table_SourceData_PastureBeef_StandardReferenceWeights[[#Headers],[State]], 0)</f>
        <v>770</v>
      </c>
      <c r="F356" s="20" cm="1">
        <f t="array" ref="F356">Common_InputFunctions.Utility_DisplayArrayInTable(SourceData_PastureBeef.SourceData_PastureBeef_StandardReferenceWeights_Data(), Table_SourceData_PastureBeef_StandardReferenceWeights[[#Headers],[State]], 0)</f>
        <v>770</v>
      </c>
      <c r="G356" s="20" cm="1">
        <f t="array" ref="G356">Common_InputFunctions.Utility_DisplayArrayInTable(SourceData_PastureBeef.SourceData_PastureBeef_StandardReferenceWeights_Data(), Table_SourceData_PastureBeef_StandardReferenceWeights[[#Headers],[State]], 0)</f>
        <v>550</v>
      </c>
      <c r="H356" s="20" cm="1">
        <f t="array" ref="H356">Common_InputFunctions.Utility_DisplayArrayInTable(SourceData_PastureBeef.SourceData_PastureBeef_StandardReferenceWeights_Data(), Table_SourceData_PastureBeef_StandardReferenceWeights[[#Headers],[State]], 0)</f>
        <v>550</v>
      </c>
      <c r="I356" s="20" cm="1">
        <f t="array" ref="I356">Common_InputFunctions.Utility_DisplayArrayInTable(SourceData_PastureBeef.SourceData_PastureBeef_StandardReferenceWeights_Data(), Table_SourceData_PastureBeef_StandardReferenceWeights[[#Headers],[State]], 0)</f>
        <v>550</v>
      </c>
      <c r="J356" s="20" cm="1">
        <f t="array" ref="J356">Common_InputFunctions.Utility_DisplayArrayInTable(SourceData_PastureBeef.SourceData_PastureBeef_StandardReferenceWeights_Data(), Table_SourceData_PastureBeef_StandardReferenceWeights[[#Headers],[State]], 0)</f>
        <v>660</v>
      </c>
      <c r="K356" s="20" cm="1">
        <f t="array" ref="K356">Common_InputFunctions.Utility_DisplayArrayInTable(SourceData_PastureBeef.SourceData_PastureBeef_StandardReferenceWeights_Data(), Table_SourceData_PastureBeef_StandardReferenceWeights[[#Headers],[State]], 0)</f>
        <v>660</v>
      </c>
      <c r="L356" s="20" t="str" cm="1">
        <f t="array" ref="L356">Common_InputFunctions.Utility_DisplayArrayInTable(SourceData_PastureBeef.SourceData_PastureBeef_StandardReferenceWeights_Data(), Table_SourceData_PastureBeef_StandardReferenceWeights[[#Headers],[State]], 0)</f>
        <v>TAS</v>
      </c>
      <c r="M356" s="1"/>
    </row>
    <row r="357" spans="4:15" x14ac:dyDescent="0.25" ht="20" customHeight="1">
      <c r="D357" s="1" t="str" cm="1">
        <f t="array" ref="D357">Common_InputFunctions.Utility_DisplayArrayInTable(SourceData_PastureBeef.SourceData_PastureBeef_StandardReferenceWeights_Data(), Table_SourceData_PastureBeef_StandardReferenceWeights[[#Headers],[State]], 0)</f>
        <v>Victoria</v>
      </c>
      <c r="E357" s="20" cm="1">
        <f t="array" ref="E357">Common_InputFunctions.Utility_DisplayArrayInTable(SourceData_PastureBeef.SourceData_PastureBeef_StandardReferenceWeights_Data(), Table_SourceData_PastureBeef_StandardReferenceWeights[[#Headers],[State]], 0)</f>
        <v>770</v>
      </c>
      <c r="F357" s="20" cm="1">
        <f t="array" ref="F357">Common_InputFunctions.Utility_DisplayArrayInTable(SourceData_PastureBeef.SourceData_PastureBeef_StandardReferenceWeights_Data(), Table_SourceData_PastureBeef_StandardReferenceWeights[[#Headers],[State]], 0)</f>
        <v>770</v>
      </c>
      <c r="G357" s="20" cm="1">
        <f t="array" ref="G357">Common_InputFunctions.Utility_DisplayArrayInTable(SourceData_PastureBeef.SourceData_PastureBeef_StandardReferenceWeights_Data(), Table_SourceData_PastureBeef_StandardReferenceWeights[[#Headers],[State]], 0)</f>
        <v>550</v>
      </c>
      <c r="H357" s="20" cm="1">
        <f t="array" ref="H357">Common_InputFunctions.Utility_DisplayArrayInTable(SourceData_PastureBeef.SourceData_PastureBeef_StandardReferenceWeights_Data(), Table_SourceData_PastureBeef_StandardReferenceWeights[[#Headers],[State]], 0)</f>
        <v>550</v>
      </c>
      <c r="I357" s="20" cm="1">
        <f t="array" ref="I357">Common_InputFunctions.Utility_DisplayArrayInTable(SourceData_PastureBeef.SourceData_PastureBeef_StandardReferenceWeights_Data(), Table_SourceData_PastureBeef_StandardReferenceWeights[[#Headers],[State]], 0)</f>
        <v>550</v>
      </c>
      <c r="J357" s="20" cm="1">
        <f t="array" ref="J357">Common_InputFunctions.Utility_DisplayArrayInTable(SourceData_PastureBeef.SourceData_PastureBeef_StandardReferenceWeights_Data(), Table_SourceData_PastureBeef_StandardReferenceWeights[[#Headers],[State]], 0)</f>
        <v>660</v>
      </c>
      <c r="K357" s="20" cm="1">
        <f t="array" ref="K357">Common_InputFunctions.Utility_DisplayArrayInTable(SourceData_PastureBeef.SourceData_PastureBeef_StandardReferenceWeights_Data(), Table_SourceData_PastureBeef_StandardReferenceWeights[[#Headers],[State]], 0)</f>
        <v>660</v>
      </c>
      <c r="L357" s="20" t="str" cm="1">
        <f t="array" ref="L357">Common_InputFunctions.Utility_DisplayArrayInTable(SourceData_PastureBeef.SourceData_PastureBeef_StandardReferenceWeights_Data(), Table_SourceData_PastureBeef_StandardReferenceWeights[[#Headers],[State]], 0)</f>
        <v>VIC</v>
      </c>
      <c r="M357" s="1"/>
    </row>
    <row r="358" spans="4:15" x14ac:dyDescent="0.25" ht="20" customHeight="1">
      <c r="D358" s="1" t="str" cm="1">
        <f t="array" ref="D358">Common_InputFunctions.Utility_DisplayArrayInTable(SourceData_PastureBeef.SourceData_PastureBeef_StandardReferenceWeights_Data(), Table_SourceData_PastureBeef_StandardReferenceWeights[[#Headers],[State]], 0)</f>
        <v>Western Australia</v>
      </c>
      <c r="E358" s="20" cm="1">
        <f t="array" ref="E358">Common_InputFunctions.Utility_DisplayArrayInTable(SourceData_PastureBeef.SourceData_PastureBeef_StandardReferenceWeights_Data(), Table_SourceData_PastureBeef_StandardReferenceWeights[[#Headers],[State]], 0)</f>
        <v>770</v>
      </c>
      <c r="F358" s="20" cm="1">
        <f t="array" ref="F358">Common_InputFunctions.Utility_DisplayArrayInTable(SourceData_PastureBeef.SourceData_PastureBeef_StandardReferenceWeights_Data(), Table_SourceData_PastureBeef_StandardReferenceWeights[[#Headers],[State]], 0)</f>
        <v>770</v>
      </c>
      <c r="G358" s="20" cm="1">
        <f t="array" ref="G358">Common_InputFunctions.Utility_DisplayArrayInTable(SourceData_PastureBeef.SourceData_PastureBeef_StandardReferenceWeights_Data(), Table_SourceData_PastureBeef_StandardReferenceWeights[[#Headers],[State]], 0)</f>
        <v>550</v>
      </c>
      <c r="H358" s="20" cm="1">
        <f t="array" ref="H358">Common_InputFunctions.Utility_DisplayArrayInTable(SourceData_PastureBeef.SourceData_PastureBeef_StandardReferenceWeights_Data(), Table_SourceData_PastureBeef_StandardReferenceWeights[[#Headers],[State]], 0)</f>
        <v>550</v>
      </c>
      <c r="I358" s="20" cm="1">
        <f t="array" ref="I358">Common_InputFunctions.Utility_DisplayArrayInTable(SourceData_PastureBeef.SourceData_PastureBeef_StandardReferenceWeights_Data(), Table_SourceData_PastureBeef_StandardReferenceWeights[[#Headers],[State]], 0)</f>
        <v>550</v>
      </c>
      <c r="J358" s="20" cm="1">
        <f t="array" ref="J358">Common_InputFunctions.Utility_DisplayArrayInTable(SourceData_PastureBeef.SourceData_PastureBeef_StandardReferenceWeights_Data(), Table_SourceData_PastureBeef_StandardReferenceWeights[[#Headers],[State]], 0)</f>
        <v>660</v>
      </c>
      <c r="K358" s="20" cm="1">
        <f t="array" ref="K358">Common_InputFunctions.Utility_DisplayArrayInTable(SourceData_PastureBeef.SourceData_PastureBeef_StandardReferenceWeights_Data(), Table_SourceData_PastureBeef_StandardReferenceWeights[[#Headers],[State]], 0)</f>
        <v>660</v>
      </c>
      <c r="L358" s="20" t="str" cm="1">
        <f t="array" ref="L358">Common_InputFunctions.Utility_DisplayArrayInTable(SourceData_PastureBeef.SourceData_PastureBeef_StandardReferenceWeights_Data(), Table_SourceData_PastureBeef_StandardReferenceWeights[[#Headers],[State]], 0)</f>
        <v>WA</v>
      </c>
      <c r="M358" s="1"/>
    </row>
    <row r="359" spans="4:15" x14ac:dyDescent="0.25" ht="20" customHeight="1">
      <c r="M359" s="1"/>
    </row>
    <row r="360" spans="4:15" x14ac:dyDescent="0.25" ht="20" customHeight="1">
      <c r="M360" s="1"/>
    </row>
    <row r="361" spans="4:15" x14ac:dyDescent="0.25" ht="20" customHeight="1">
      <c r="D361" s="20" t="s">
        <v>105</v>
      </c>
      <c r="E361" s="123" t="s">
        <v>326</v>
      </c>
      <c r="F361" s="123" t="s">
        <v>184</v>
      </c>
      <c r="G361" s="123" t="s">
        <v>327</v>
      </c>
      <c r="H361" s="123" t="s">
        <v>328</v>
      </c>
      <c r="I361" s="123" t="s">
        <v>329</v>
      </c>
      <c r="J361" s="123" t="s">
        <v>330</v>
      </c>
      <c r="K361" s="123" t="s">
        <v>331</v>
      </c>
      <c r="L361" s="123" t="s">
        <v>332</v>
      </c>
      <c r="M361" s="123" t="s">
        <v>333</v>
      </c>
      <c r="N361" s="123" t="s">
        <v>334</v>
      </c>
      <c r="O361" s="20" t="s">
        <v>562</v>
      </c>
    </row>
    <row r="362" spans="4:15" x14ac:dyDescent="0.25" ht="20" customHeight="1">
      <c r="D362" s="20" t="str">
        <f>D351</f>
        <v>ACT</v>
      </c>
      <c r="E362" s="20">
        <f t="shared" ref="E362:H362" si="53">E351</f>
        <v>700</v>
      </c>
      <c r="F362" s="20">
        <f t="shared" si="53"/>
        <v>700</v>
      </c>
      <c r="G362" s="20">
        <f t="shared" si="53"/>
        <v>500</v>
      </c>
      <c r="H362" s="20">
        <f t="shared" si="53"/>
        <v>500</v>
      </c>
      <c r="I362" s="20">
        <f>I351</f>
        <v>500</v>
      </c>
      <c r="J362" s="20">
        <f>I351</f>
        <v>500</v>
      </c>
      <c r="K362" s="20">
        <f t="shared" ref="K362" si="54">J351</f>
        <v>600</v>
      </c>
      <c r="L362" s="20">
        <f>K351</f>
        <v>600</v>
      </c>
      <c r="M362" s="20">
        <f>K351</f>
        <v>600</v>
      </c>
      <c r="N362" s="20">
        <f>K351</f>
        <v>600</v>
      </c>
      <c r="O362" s="20" t="str">
        <f>L351</f>
        <v>ACT</v>
      </c>
    </row>
    <row r="363" spans="4:15" x14ac:dyDescent="0.25" ht="20" customHeight="1">
      <c r="D363" s="20" t="str">
        <f t="shared" ref="D363:I369" si="55">D352</f>
        <v>NSW</v>
      </c>
      <c r="E363" s="20">
        <f t="shared" si="55"/>
        <v>700</v>
      </c>
      <c r="F363" s="20">
        <f t="shared" si="55"/>
        <v>700</v>
      </c>
      <c r="G363" s="20">
        <f t="shared" si="55"/>
        <v>500</v>
      </c>
      <c r="H363" s="20">
        <f t="shared" si="55"/>
        <v>500</v>
      </c>
      <c r="I363" s="20">
        <f t="shared" si="55"/>
        <v>500</v>
      </c>
      <c r="J363" s="20">
        <f t="shared" ref="J363:L369" si="56">I352</f>
        <v>500</v>
      </c>
      <c r="K363" s="20">
        <f t="shared" si="56"/>
        <v>600</v>
      </c>
      <c r="L363" s="20">
        <f t="shared" si="56"/>
        <v>600</v>
      </c>
      <c r="M363" s="20">
        <f t="shared" ref="M363:M369" si="57">K352</f>
        <v>600</v>
      </c>
      <c r="N363" s="20">
        <f t="shared" ref="N363:O369" si="58">K352</f>
        <v>600</v>
      </c>
      <c r="O363" s="20" t="str">
        <f t="shared" si="58"/>
        <v>NSW</v>
      </c>
    </row>
    <row r="364" spans="4:15" x14ac:dyDescent="0.25" ht="20" customHeight="1">
      <c r="D364" s="20" t="str">
        <f t="shared" si="55"/>
        <v>Northern Territory</v>
      </c>
      <c r="E364" s="20">
        <f t="shared" si="55"/>
        <v>770</v>
      </c>
      <c r="F364" s="20">
        <f t="shared" si="55"/>
        <v>770</v>
      </c>
      <c r="G364" s="20">
        <f t="shared" si="55"/>
        <v>550</v>
      </c>
      <c r="H364" s="20">
        <f t="shared" si="55"/>
        <v>550</v>
      </c>
      <c r="I364" s="20">
        <f t="shared" si="55"/>
        <v>550</v>
      </c>
      <c r="J364" s="20">
        <f t="shared" si="56"/>
        <v>550</v>
      </c>
      <c r="K364" s="20">
        <f t="shared" si="56"/>
        <v>660</v>
      </c>
      <c r="L364" s="20">
        <f t="shared" si="56"/>
        <v>660</v>
      </c>
      <c r="M364" s="20">
        <f t="shared" si="57"/>
        <v>660</v>
      </c>
      <c r="N364" s="20">
        <f t="shared" si="58"/>
        <v>660</v>
      </c>
      <c r="O364" s="20" t="str">
        <f t="shared" si="58"/>
        <v>NT</v>
      </c>
    </row>
    <row r="365" spans="4:15" x14ac:dyDescent="0.25" ht="20" customHeight="1">
      <c r="D365" s="20" t="str">
        <f t="shared" si="55"/>
        <v>Queensland</v>
      </c>
      <c r="E365" s="20">
        <f t="shared" si="55"/>
        <v>770</v>
      </c>
      <c r="F365" s="20">
        <f t="shared" si="55"/>
        <v>770</v>
      </c>
      <c r="G365" s="20">
        <f t="shared" si="55"/>
        <v>550</v>
      </c>
      <c r="H365" s="20">
        <f t="shared" si="55"/>
        <v>550</v>
      </c>
      <c r="I365" s="20">
        <f t="shared" si="55"/>
        <v>550</v>
      </c>
      <c r="J365" s="20">
        <f t="shared" si="56"/>
        <v>550</v>
      </c>
      <c r="K365" s="20">
        <f t="shared" si="56"/>
        <v>660</v>
      </c>
      <c r="L365" s="20">
        <f t="shared" si="56"/>
        <v>660</v>
      </c>
      <c r="M365" s="20">
        <f t="shared" si="57"/>
        <v>660</v>
      </c>
      <c r="N365" s="20">
        <f t="shared" si="58"/>
        <v>660</v>
      </c>
      <c r="O365" s="20" t="str">
        <f t="shared" si="58"/>
        <v>QLD</v>
      </c>
    </row>
    <row r="366" spans="4:15" x14ac:dyDescent="0.25" ht="20" customHeight="1">
      <c r="D366" s="20" t="str">
        <f t="shared" si="55"/>
        <v>South Australia</v>
      </c>
      <c r="E366" s="20">
        <f t="shared" si="55"/>
        <v>770</v>
      </c>
      <c r="F366" s="20">
        <f t="shared" si="55"/>
        <v>770</v>
      </c>
      <c r="G366" s="20">
        <f t="shared" si="55"/>
        <v>550</v>
      </c>
      <c r="H366" s="20">
        <f t="shared" si="55"/>
        <v>550</v>
      </c>
      <c r="I366" s="20">
        <f t="shared" si="55"/>
        <v>550</v>
      </c>
      <c r="J366" s="20">
        <f t="shared" si="56"/>
        <v>550</v>
      </c>
      <c r="K366" s="20">
        <f t="shared" si="56"/>
        <v>660</v>
      </c>
      <c r="L366" s="20">
        <f t="shared" si="56"/>
        <v>660</v>
      </c>
      <c r="M366" s="20">
        <f t="shared" si="57"/>
        <v>660</v>
      </c>
      <c r="N366" s="20">
        <f t="shared" si="58"/>
        <v>660</v>
      </c>
      <c r="O366" s="20" t="str">
        <f t="shared" si="58"/>
        <v>SA</v>
      </c>
    </row>
    <row r="367" spans="4:15" x14ac:dyDescent="0.25" ht="20" customHeight="1">
      <c r="D367" s="20" t="str">
        <f t="shared" si="55"/>
        <v>Tasmania</v>
      </c>
      <c r="E367" s="20">
        <f t="shared" si="55"/>
        <v>770</v>
      </c>
      <c r="F367" s="20">
        <f t="shared" si="55"/>
        <v>770</v>
      </c>
      <c r="G367" s="20">
        <f t="shared" si="55"/>
        <v>550</v>
      </c>
      <c r="H367" s="20">
        <f t="shared" si="55"/>
        <v>550</v>
      </c>
      <c r="I367" s="20">
        <f t="shared" si="55"/>
        <v>550</v>
      </c>
      <c r="J367" s="20">
        <f t="shared" si="56"/>
        <v>550</v>
      </c>
      <c r="K367" s="20">
        <f t="shared" si="56"/>
        <v>660</v>
      </c>
      <c r="L367" s="20">
        <f t="shared" si="56"/>
        <v>660</v>
      </c>
      <c r="M367" s="20">
        <f t="shared" si="57"/>
        <v>660</v>
      </c>
      <c r="N367" s="20">
        <f t="shared" si="58"/>
        <v>660</v>
      </c>
      <c r="O367" s="20" t="str">
        <f t="shared" si="58"/>
        <v>TAS</v>
      </c>
    </row>
    <row r="368" spans="4:15" x14ac:dyDescent="0.25" ht="20" customHeight="1">
      <c r="D368" s="20" t="str">
        <f t="shared" si="55"/>
        <v>Victoria</v>
      </c>
      <c r="E368" s="20">
        <f t="shared" si="55"/>
        <v>770</v>
      </c>
      <c r="F368" s="20">
        <f t="shared" si="55"/>
        <v>770</v>
      </c>
      <c r="G368" s="20">
        <f t="shared" si="55"/>
        <v>550</v>
      </c>
      <c r="H368" s="20">
        <f t="shared" si="55"/>
        <v>550</v>
      </c>
      <c r="I368" s="20">
        <f t="shared" si="55"/>
        <v>550</v>
      </c>
      <c r="J368" s="20">
        <f t="shared" si="56"/>
        <v>550</v>
      </c>
      <c r="K368" s="20">
        <f t="shared" si="56"/>
        <v>660</v>
      </c>
      <c r="L368" s="20">
        <f t="shared" si="56"/>
        <v>660</v>
      </c>
      <c r="M368" s="20">
        <f t="shared" si="57"/>
        <v>660</v>
      </c>
      <c r="N368" s="20">
        <f t="shared" si="58"/>
        <v>660</v>
      </c>
      <c r="O368" s="20" t="str">
        <f t="shared" si="58"/>
        <v>VIC</v>
      </c>
    </row>
    <row r="369" spans="4:15" x14ac:dyDescent="0.25" ht="20" customHeight="1">
      <c r="D369" s="20" t="str">
        <f t="shared" si="55"/>
        <v>Western Australia</v>
      </c>
      <c r="E369" s="20">
        <f t="shared" si="55"/>
        <v>770</v>
      </c>
      <c r="F369" s="20">
        <f t="shared" si="55"/>
        <v>770</v>
      </c>
      <c r="G369" s="20">
        <f t="shared" si="55"/>
        <v>550</v>
      </c>
      <c r="H369" s="20">
        <f t="shared" si="55"/>
        <v>550</v>
      </c>
      <c r="I369" s="20">
        <f t="shared" si="55"/>
        <v>550</v>
      </c>
      <c r="J369" s="20">
        <f t="shared" si="56"/>
        <v>550</v>
      </c>
      <c r="K369" s="20">
        <f t="shared" si="56"/>
        <v>660</v>
      </c>
      <c r="L369" s="20">
        <f t="shared" si="56"/>
        <v>660</v>
      </c>
      <c r="M369" s="20">
        <f t="shared" si="57"/>
        <v>660</v>
      </c>
      <c r="N369" s="20">
        <f t="shared" si="58"/>
        <v>660</v>
      </c>
      <c r="O369" s="20" t="str">
        <f t="shared" si="58"/>
        <v>WA</v>
      </c>
    </row>
    <row r="370" spans="4:15" x14ac:dyDescent="0.25" ht="20" customHeight="1">
      <c r="M370" s="1"/>
    </row>
    <row r="371" spans="4:15" x14ac:dyDescent="0.25" ht="20" customHeight="1">
      <c r="M371" s="1"/>
    </row>
    <row r="372" spans="4:15" ht="20" x14ac:dyDescent="0.25" customHeight="1">
      <c r="D372" s="2" t="str" cm="1">
        <f t="array" ref="D372">SourceData_PastureBeef.SourceData_PastureBeef_FractionOfManureToMMS_Title()</f>
        <v>Beef pasture cattle - Fraction of manure to each manure management system (fraction) (MMSm)</v>
      </c>
      <c r="M372" s="1"/>
    </row>
    <row r="373" spans="4:15" x14ac:dyDescent="0.25" ht="20" customHeight="1">
      <c r="D373" s="17" t="str" cm="1">
        <f t="array" ref="D373">SourceData_PastureBeef.SourceData_PastureBeef_FractionOfManureToMMS_Source()</f>
        <v>VEERG 2026: Table A.1.2.9</v>
      </c>
      <c r="M373" s="1"/>
    </row>
    <row r="374" spans="4:15" x14ac:dyDescent="0.25" ht="20" customHeight="1">
      <c r="D374" s="1" t="str" cm="1">
        <f t="array" ref="D374">SourceData_PastureBeef.SourceData_PastureBeef_FractionOfManureToMMS_Variable()</f>
        <v>MMSm</v>
      </c>
      <c r="M374" s="1"/>
    </row>
    <row r="375" spans="4:15" x14ac:dyDescent="0.25" ht="20" customHeight="1">
      <c r="D375" s="9" t="str" cm="1">
        <f t="array" ref="D375">SourceData_PastureBeef.SourceData_PastureBeef_FractionOfManureToMMS_Unit()</f>
        <v>fraction</v>
      </c>
      <c r="E375" s="124" t="s">
        <v>563</v>
      </c>
      <c r="M375" s="1"/>
    </row>
    <row r="376" spans="4:15" x14ac:dyDescent="0.25" ht="20" customHeight="1">
      <c r="D376" s="26" t="str" cm="1">
        <f t="array" ref="D376">SourceData_PastureBeef.SourceData_PastureBeef_FractionOfManureToMMS_Variation()</f>
        <v>VARIATION ON SOURCE: Removed comma from 'Pasture range and paddock' to aid lookup</v>
      </c>
      <c r="M376" s="1"/>
    </row>
    <row r="377" spans="4:15" x14ac:dyDescent="0.25" ht="20" customHeight="1">
      <c r="D377" s="20" t="s">
        <v>105</v>
      </c>
      <c r="E377" s="20" t="s">
        <v>490</v>
      </c>
      <c r="F377" s="20" t="s">
        <v>91</v>
      </c>
      <c r="G377" s="20" t="s">
        <v>564</v>
      </c>
      <c r="M377" s="1"/>
    </row>
    <row r="378" spans="4:15" x14ac:dyDescent="0.25" ht="20" customHeight="1">
      <c r="D378" s="20" t="str" cm="1">
        <f t="array" ref="D378">Common_InputFunctions.Utility_DisplayArrayInTable(SourceData_PastureBeef.SourceData_PastureBeef_FractionOfManureToMMS_Data(),Table_SourceData_PastureBeef_FractionManureToMMS[[#Headers],[State]], 0)</f>
        <v>ACT</v>
      </c>
      <c r="E378" s="20" t="str" cm="1">
        <f t="array" ref="E378">Common_InputFunctions.Utility_DisplayArrayInTable(SourceData_PastureBeef.SourceData_PastureBeef_FractionOfManureToMMS_Data(),Table_SourceData_PastureBeef_FractionManureToMMS[[#Headers],[State]], 0)</f>
        <v>n/a</v>
      </c>
      <c r="F378" s="20" cm="1">
        <f t="array" ref="F378">Common_InputFunctions.Utility_DisplayArrayInTable(SourceData_PastureBeef.SourceData_PastureBeef_FractionOfManureToMMS_Data(),Table_SourceData_PastureBeef_FractionManureToMMS[[#Headers],[State]], 0)</f>
        <v>99.191999999999993</v>
      </c>
      <c r="G378" s="20" cm="1">
        <f t="array" ref="G378">Common_InputFunctions.Utility_DisplayArrayInTable(SourceData_PastureBeef.SourceData_PastureBeef_FractionOfManureToMMS_Data(),Table_SourceData_PastureBeef_FractionManureToMMS[[#Headers],[State]], 0)</f>
        <v>0.80800000000000005</v>
      </c>
      <c r="M378" s="1"/>
    </row>
    <row r="379" spans="4:15" x14ac:dyDescent="0.25" ht="20" customHeight="1">
      <c r="D379" s="1" t="str" cm="1">
        <f t="array" ref="D379">Common_InputFunctions.Utility_DisplayArrayInTable(SourceData_PastureBeef.SourceData_PastureBeef_FractionOfManureToMMS_Data(),Table_SourceData_PastureBeef_FractionManureToMMS[[#Headers],[State]], 0)</f>
        <v>NSW</v>
      </c>
      <c r="E379" s="20" t="str" cm="1">
        <f t="array" ref="E379">Common_InputFunctions.Utility_DisplayArrayInTable(SourceData_PastureBeef.SourceData_PastureBeef_FractionOfManureToMMS_Data(),Table_SourceData_PastureBeef_FractionManureToMMS[[#Headers],[State]], 0)</f>
        <v>n/a</v>
      </c>
      <c r="F379" s="20" cm="1">
        <f t="array" ref="F379">Common_InputFunctions.Utility_DisplayArrayInTable(SourceData_PastureBeef.SourceData_PastureBeef_FractionOfManureToMMS_Data(),Table_SourceData_PastureBeef_FractionManureToMMS[[#Headers],[State]], 0)</f>
        <v>99.451999999999998</v>
      </c>
      <c r="G379" s="20" cm="1">
        <f t="array" ref="G379">Common_InputFunctions.Utility_DisplayArrayInTable(SourceData_PastureBeef.SourceData_PastureBeef_FractionOfManureToMMS_Data(),Table_SourceData_PastureBeef_FractionManureToMMS[[#Headers],[State]], 0)</f>
        <v>0.54800000000000004</v>
      </c>
      <c r="M379" s="1"/>
    </row>
    <row r="380" spans="4:15" x14ac:dyDescent="0.25" ht="20" customHeight="1">
      <c r="D380" s="1" t="str" cm="1">
        <f t="array" ref="D380">Common_InputFunctions.Utility_DisplayArrayInTable(SourceData_PastureBeef.SourceData_PastureBeef_FractionOfManureToMMS_Data(),Table_SourceData_PastureBeef_FractionManureToMMS[[#Headers],[State]], 0)</f>
        <v>SA</v>
      </c>
      <c r="E380" s="20" t="str" cm="1">
        <f t="array" ref="E380">Common_InputFunctions.Utility_DisplayArrayInTable(SourceData_PastureBeef.SourceData_PastureBeef_FractionOfManureToMMS_Data(),Table_SourceData_PastureBeef_FractionManureToMMS[[#Headers],[State]], 0)</f>
        <v>n/a</v>
      </c>
      <c r="F380" s="20" cm="1">
        <f t="array" ref="F380">Common_InputFunctions.Utility_DisplayArrayInTable(SourceData_PastureBeef.SourceData_PastureBeef_FractionOfManureToMMS_Data(),Table_SourceData_PastureBeef_FractionManureToMMS[[#Headers],[State]], 0)</f>
        <v>99.759</v>
      </c>
      <c r="G380" s="20" cm="1">
        <f t="array" ref="G380">Common_InputFunctions.Utility_DisplayArrayInTable(SourceData_PastureBeef.SourceData_PastureBeef_FractionOfManureToMMS_Data(),Table_SourceData_PastureBeef_FractionManureToMMS[[#Headers],[State]], 0)</f>
        <v>0.24099999999999999</v>
      </c>
      <c r="M380" s="1"/>
    </row>
    <row r="381" spans="4:15" x14ac:dyDescent="0.25" ht="20" customHeight="1">
      <c r="D381" s="1" t="str" cm="1">
        <f t="array" ref="D381">Common_InputFunctions.Utility_DisplayArrayInTable(SourceData_PastureBeef.SourceData_PastureBeef_FractionOfManureToMMS_Data(),Table_SourceData_PastureBeef_FractionManureToMMS[[#Headers],[State]], 0)</f>
        <v>TAS</v>
      </c>
      <c r="E381" s="20" t="str" cm="1">
        <f t="array" ref="E381">Common_InputFunctions.Utility_DisplayArrayInTable(SourceData_PastureBeef.SourceData_PastureBeef_FractionOfManureToMMS_Data(),Table_SourceData_PastureBeef_FractionManureToMMS[[#Headers],[State]], 0)</f>
        <v>n/a</v>
      </c>
      <c r="F381" s="20" cm="1">
        <f t="array" ref="F381">Common_InputFunctions.Utility_DisplayArrayInTable(SourceData_PastureBeef.SourceData_PastureBeef_FractionOfManureToMMS_Data(),Table_SourceData_PastureBeef_FractionManureToMMS[[#Headers],[State]], 0)</f>
        <v>99.122</v>
      </c>
      <c r="G381" s="20" cm="1">
        <f t="array" ref="G381">Common_InputFunctions.Utility_DisplayArrayInTable(SourceData_PastureBeef.SourceData_PastureBeef_FractionOfManureToMMS_Data(),Table_SourceData_PastureBeef_FractionManureToMMS[[#Headers],[State]], 0)</f>
        <v>0.878</v>
      </c>
      <c r="M381" s="1"/>
    </row>
    <row r="382" spans="4:15" x14ac:dyDescent="0.25" ht="20" customHeight="1">
      <c r="D382" s="1" t="str" cm="1">
        <f t="array" ref="D382">Common_InputFunctions.Utility_DisplayArrayInTable(SourceData_PastureBeef.SourceData_PastureBeef_FractionOfManureToMMS_Data(),Table_SourceData_PastureBeef_FractionManureToMMS[[#Headers],[State]], 0)</f>
        <v>VIC</v>
      </c>
      <c r="E382" s="20" t="str" cm="1">
        <f t="array" ref="E382">Common_InputFunctions.Utility_DisplayArrayInTable(SourceData_PastureBeef.SourceData_PastureBeef_FractionOfManureToMMS_Data(),Table_SourceData_PastureBeef_FractionManureToMMS[[#Headers],[State]], 0)</f>
        <v>n/a</v>
      </c>
      <c r="F382" s="20" cm="1">
        <f t="array" ref="F382">Common_InputFunctions.Utility_DisplayArrayInTable(SourceData_PastureBeef.SourceData_PastureBeef_FractionOfManureToMMS_Data(),Table_SourceData_PastureBeef_FractionManureToMMS[[#Headers],[State]], 0)</f>
        <v>98.894000000000005</v>
      </c>
      <c r="G382" s="20" cm="1">
        <f t="array" ref="G382">Common_InputFunctions.Utility_DisplayArrayInTable(SourceData_PastureBeef.SourceData_PastureBeef_FractionOfManureToMMS_Data(),Table_SourceData_PastureBeef_FractionManureToMMS[[#Headers],[State]], 0)</f>
        <v>1.1060000000000001</v>
      </c>
      <c r="M382" s="1"/>
    </row>
    <row r="383" spans="4:15" x14ac:dyDescent="0.25" ht="20" customHeight="1">
      <c r="D383" s="1" t="str" cm="1">
        <f t="array" ref="D383">Common_InputFunctions.Utility_DisplayArrayInTable(SourceData_PastureBeef.SourceData_PastureBeef_FractionOfManureToMMS_Data(),Table_SourceData_PastureBeef_FractionManureToMMS[[#Headers],[State]], 0)</f>
        <v>WA</v>
      </c>
      <c r="E383" s="20" t="str" cm="1">
        <f t="array" ref="E383">Common_InputFunctions.Utility_DisplayArrayInTable(SourceData_PastureBeef.SourceData_PastureBeef_FractionOfManureToMMS_Data(),Table_SourceData_PastureBeef_FractionManureToMMS[[#Headers],[State]], 0)</f>
        <v>South West</v>
      </c>
      <c r="F383" s="20" cm="1">
        <f t="array" ref="F383">Common_InputFunctions.Utility_DisplayArrayInTable(SourceData_PastureBeef.SourceData_PastureBeef_FractionOfManureToMMS_Data(),Table_SourceData_PastureBeef_FractionManureToMMS[[#Headers],[State]], 0)</f>
        <v>99.622</v>
      </c>
      <c r="G383" s="20" cm="1">
        <f t="array" ref="G383">Common_InputFunctions.Utility_DisplayArrayInTable(SourceData_PastureBeef.SourceData_PastureBeef_FractionOfManureToMMS_Data(),Table_SourceData_PastureBeef_FractionManureToMMS[[#Headers],[State]], 0)</f>
        <v>0.378</v>
      </c>
      <c r="M383" s="1"/>
    </row>
    <row r="384" spans="4:15" x14ac:dyDescent="0.25" ht="20" customHeight="1">
      <c r="D384" s="1" t="str" cm="1">
        <f t="array" ref="D384">Common_InputFunctions.Utility_DisplayArrayInTable(SourceData_PastureBeef.SourceData_PastureBeef_FractionOfManureToMMS_Data(),Table_SourceData_PastureBeef_FractionManureToMMS[[#Headers],[State]], 0)</f>
        <v>WA</v>
      </c>
      <c r="E384" s="20" t="str" cm="1">
        <f t="array" ref="E384">Common_InputFunctions.Utility_DisplayArrayInTable(SourceData_PastureBeef.SourceData_PastureBeef_FractionOfManureToMMS_Data(),Table_SourceData_PastureBeef_FractionManureToMMS[[#Headers],[State]], 0)</f>
        <v>Pilbara</v>
      </c>
      <c r="F384" s="20" cm="1">
        <f t="array" ref="F384">Common_InputFunctions.Utility_DisplayArrayInTable(SourceData_PastureBeef.SourceData_PastureBeef_FractionOfManureToMMS_Data(),Table_SourceData_PastureBeef_FractionManureToMMS[[#Headers],[State]], 0)</f>
        <v>99.998999999999995</v>
      </c>
      <c r="G384" s="20" cm="1">
        <f t="array" ref="G384">Common_InputFunctions.Utility_DisplayArrayInTable(SourceData_PastureBeef.SourceData_PastureBeef_FractionOfManureToMMS_Data(),Table_SourceData_PastureBeef_FractionManureToMMS[[#Headers],[State]], 0)</f>
        <v>1E-3</v>
      </c>
      <c r="M384" s="1"/>
    </row>
    <row r="385" spans="4:13" x14ac:dyDescent="0.25" ht="20" customHeight="1">
      <c r="D385" s="1" t="str" cm="1">
        <f t="array" ref="D385">Common_InputFunctions.Utility_DisplayArrayInTable(SourceData_PastureBeef.SourceData_PastureBeef_FractionOfManureToMMS_Data(),Table_SourceData_PastureBeef_FractionManureToMMS[[#Headers],[State]], 0)</f>
        <v>WA</v>
      </c>
      <c r="E385" s="20" t="str" cm="1">
        <f t="array" ref="E385">Common_InputFunctions.Utility_DisplayArrayInTable(SourceData_PastureBeef.SourceData_PastureBeef_FractionOfManureToMMS_Data(),Table_SourceData_PastureBeef_FractionManureToMMS[[#Headers],[State]], 0)</f>
        <v>Kimberley</v>
      </c>
      <c r="F385" s="20" cm="1">
        <f t="array" ref="F385">Common_InputFunctions.Utility_DisplayArrayInTable(SourceData_PastureBeef.SourceData_PastureBeef_FractionOfManureToMMS_Data(),Table_SourceData_PastureBeef_FractionManureToMMS[[#Headers],[State]], 0)</f>
        <v>99.998999999999995</v>
      </c>
      <c r="G385" s="20" cm="1">
        <f t="array" ref="G385">Common_InputFunctions.Utility_DisplayArrayInTable(SourceData_PastureBeef.SourceData_PastureBeef_FractionOfManureToMMS_Data(),Table_SourceData_PastureBeef_FractionManureToMMS[[#Headers],[State]], 0)</f>
        <v>1E-3</v>
      </c>
      <c r="M385" s="1"/>
    </row>
    <row r="386" spans="4:13" x14ac:dyDescent="0.25" ht="20" customHeight="1">
      <c r="D386" s="1" t="str" cm="1">
        <f t="array" ref="D386">Common_InputFunctions.Utility_DisplayArrayInTable(SourceData_PastureBeef.SourceData_PastureBeef_FractionOfManureToMMS_Data(),Table_SourceData_PastureBeef_FractionManureToMMS[[#Headers],[State]], 0)</f>
        <v>NT</v>
      </c>
      <c r="E386" s="20" t="str" cm="1">
        <f t="array" ref="E386">Common_InputFunctions.Utility_DisplayArrayInTable(SourceData_PastureBeef.SourceData_PastureBeef_FractionOfManureToMMS_Data(),Table_SourceData_PastureBeef_FractionManureToMMS[[#Headers],[State]], 0)</f>
        <v>Alice Springs</v>
      </c>
      <c r="F386" s="20" cm="1">
        <f t="array" ref="F386">Common_InputFunctions.Utility_DisplayArrayInTable(SourceData_PastureBeef.SourceData_PastureBeef_FractionOfManureToMMS_Data(),Table_SourceData_PastureBeef_FractionManureToMMS[[#Headers],[State]], 0)</f>
        <v>99.998999999999995</v>
      </c>
      <c r="G386" s="20" cm="1">
        <f t="array" ref="G386">Common_InputFunctions.Utility_DisplayArrayInTable(SourceData_PastureBeef.SourceData_PastureBeef_FractionOfManureToMMS_Data(),Table_SourceData_PastureBeef_FractionManureToMMS[[#Headers],[State]], 0)</f>
        <v>1E-3</v>
      </c>
      <c r="M386" s="1"/>
    </row>
    <row r="387" spans="4:13" x14ac:dyDescent="0.25" ht="20" customHeight="1">
      <c r="D387" s="1" t="str" cm="1">
        <f t="array" ref="D387">Common_InputFunctions.Utility_DisplayArrayInTable(SourceData_PastureBeef.SourceData_PastureBeef_FractionOfManureToMMS_Data(),Table_SourceData_PastureBeef_FractionManureToMMS[[#Headers],[State]], 0)</f>
        <v>NT</v>
      </c>
      <c r="E387" s="20" t="str" cm="1">
        <f t="array" ref="E387">Common_InputFunctions.Utility_DisplayArrayInTable(SourceData_PastureBeef.SourceData_PastureBeef_FractionOfManureToMMS_Data(),Table_SourceData_PastureBeef_FractionManureToMMS[[#Headers],[State]], 0)</f>
        <v>Barkly</v>
      </c>
      <c r="F387" s="20" cm="1">
        <f t="array" ref="F387">Common_InputFunctions.Utility_DisplayArrayInTable(SourceData_PastureBeef.SourceData_PastureBeef_FractionOfManureToMMS_Data(),Table_SourceData_PastureBeef_FractionManureToMMS[[#Headers],[State]], 0)</f>
        <v>99.994</v>
      </c>
      <c r="G387" s="20" cm="1">
        <f t="array" ref="G387">Common_InputFunctions.Utility_DisplayArrayInTable(SourceData_PastureBeef.SourceData_PastureBeef_FractionOfManureToMMS_Data(),Table_SourceData_PastureBeef_FractionManureToMMS[[#Headers],[State]], 0)</f>
        <v>6.0000000000000001E-3</v>
      </c>
      <c r="M387" s="1"/>
    </row>
    <row r="388" spans="4:13" x14ac:dyDescent="0.25" ht="20" customHeight="1">
      <c r="D388" s="1" t="str" cm="1">
        <f t="array" ref="D388">Common_InputFunctions.Utility_DisplayArrayInTable(SourceData_PastureBeef.SourceData_PastureBeef_FractionOfManureToMMS_Data(),Table_SourceData_PastureBeef_FractionManureToMMS[[#Headers],[State]], 0)</f>
        <v>NT</v>
      </c>
      <c r="E388" s="20" t="str" cm="1">
        <f t="array" ref="E388">Common_InputFunctions.Utility_DisplayArrayInTable(SourceData_PastureBeef.SourceData_PastureBeef_FractionOfManureToMMS_Data(),Table_SourceData_PastureBeef_FractionManureToMMS[[#Headers],[State]], 0)</f>
        <v>Northern</v>
      </c>
      <c r="F388" s="20" cm="1">
        <f t="array" ref="F388">Common_InputFunctions.Utility_DisplayArrayInTable(SourceData_PastureBeef.SourceData_PastureBeef_FractionOfManureToMMS_Data(),Table_SourceData_PastureBeef_FractionManureToMMS[[#Headers],[State]], 0)</f>
        <v>99.998999999999995</v>
      </c>
      <c r="G388" s="20" cm="1">
        <f t="array" ref="G388">Common_InputFunctions.Utility_DisplayArrayInTable(SourceData_PastureBeef.SourceData_PastureBeef_FractionOfManureToMMS_Data(),Table_SourceData_PastureBeef_FractionManureToMMS[[#Headers],[State]], 0)</f>
        <v>1E-3</v>
      </c>
      <c r="M388" s="1"/>
    </row>
    <row r="389" spans="4:13" x14ac:dyDescent="0.25" ht="20" customHeight="1">
      <c r="D389" s="1" t="str" cm="1">
        <f t="array" ref="D389">Common_InputFunctions.Utility_DisplayArrayInTable(SourceData_PastureBeef.SourceData_PastureBeef_FractionOfManureToMMS_Data(),Table_SourceData_PastureBeef_FractionManureToMMS[[#Headers],[State]], 0)</f>
        <v>QLD</v>
      </c>
      <c r="E389" s="20" t="str" cm="1">
        <f t="array" ref="E389">Common_InputFunctions.Utility_DisplayArrayInTable(SourceData_PastureBeef.SourceData_PastureBeef_FractionOfManureToMMS_Data(),Table_SourceData_PastureBeef_FractionManureToMMS[[#Headers],[State]], 0)</f>
        <v>High</v>
      </c>
      <c r="F389" s="20" cm="1">
        <f t="array" ref="F389">Common_InputFunctions.Utility_DisplayArrayInTable(SourceData_PastureBeef.SourceData_PastureBeef_FractionOfManureToMMS_Data(),Table_SourceData_PastureBeef_FractionManureToMMS[[#Headers],[State]], 0)</f>
        <v>99.772999999999996</v>
      </c>
      <c r="G389" s="20" cm="1">
        <f t="array" ref="G389">Common_InputFunctions.Utility_DisplayArrayInTable(SourceData_PastureBeef.SourceData_PastureBeef_FractionOfManureToMMS_Data(),Table_SourceData_PastureBeef_FractionManureToMMS[[#Headers],[State]], 0)</f>
        <v>0.22700000000000001</v>
      </c>
      <c r="M389" s="1"/>
    </row>
    <row r="390" spans="4:13" x14ac:dyDescent="0.25" ht="20" customHeight="1">
      <c r="D390" s="1" t="str" cm="1">
        <f t="array" ref="D390">Common_InputFunctions.Utility_DisplayArrayInTable(SourceData_PastureBeef.SourceData_PastureBeef_FractionOfManureToMMS_Data(),Table_SourceData_PastureBeef_FractionManureToMMS[[#Headers],[State]], 0)</f>
        <v>QLD</v>
      </c>
      <c r="E390" s="20" t="str" cm="1">
        <f t="array" ref="E390">Common_InputFunctions.Utility_DisplayArrayInTable(SourceData_PastureBeef.SourceData_PastureBeef_FractionOfManureToMMS_Data(),Table_SourceData_PastureBeef_FractionManureToMMS[[#Headers],[State]], 0)</f>
        <v>Moderate/High</v>
      </c>
      <c r="F390" s="20" cm="1">
        <f t="array" ref="F390">Common_InputFunctions.Utility_DisplayArrayInTable(SourceData_PastureBeef.SourceData_PastureBeef_FractionOfManureToMMS_Data(),Table_SourceData_PastureBeef_FractionManureToMMS[[#Headers],[State]], 0)</f>
        <v>99.897999999999996</v>
      </c>
      <c r="G390" s="20" cm="1">
        <f t="array" ref="G390">Common_InputFunctions.Utility_DisplayArrayInTable(SourceData_PastureBeef.SourceData_PastureBeef_FractionOfManureToMMS_Data(),Table_SourceData_PastureBeef_FractionManureToMMS[[#Headers],[State]], 0)</f>
        <v>0.10199999999999999</v>
      </c>
      <c r="M390" s="1"/>
    </row>
    <row r="391" spans="4:13" x14ac:dyDescent="0.25" ht="20" customHeight="1">
      <c r="D391" s="1" t="str" cm="1">
        <f t="array" ref="D391">Common_InputFunctions.Utility_DisplayArrayInTable(SourceData_PastureBeef.SourceData_PastureBeef_FractionOfManureToMMS_Data(),Table_SourceData_PastureBeef_FractionManureToMMS[[#Headers],[State]], 0)</f>
        <v>QLD</v>
      </c>
      <c r="E391" s="20" t="str" cm="1">
        <f t="array" ref="E391">Common_InputFunctions.Utility_DisplayArrayInTable(SourceData_PastureBeef.SourceData_PastureBeef_FractionOfManureToMMS_Data(),Table_SourceData_PastureBeef_FractionManureToMMS[[#Headers],[State]], 0)</f>
        <v>Moderate/Low</v>
      </c>
      <c r="F391" s="20" cm="1">
        <f t="array" ref="F391">Common_InputFunctions.Utility_DisplayArrayInTable(SourceData_PastureBeef.SourceData_PastureBeef_FractionOfManureToMMS_Data(),Table_SourceData_PastureBeef_FractionManureToMMS[[#Headers],[State]], 0)</f>
        <v>99.978999999999999</v>
      </c>
      <c r="G391" s="20" cm="1">
        <f t="array" ref="G391">Common_InputFunctions.Utility_DisplayArrayInTable(SourceData_PastureBeef.SourceData_PastureBeef_FractionOfManureToMMS_Data(),Table_SourceData_PastureBeef_FractionManureToMMS[[#Headers],[State]], 0)</f>
        <v>2.1000000000000001E-2</v>
      </c>
      <c r="M391" s="1"/>
    </row>
    <row r="392" spans="4:13" x14ac:dyDescent="0.25" ht="20" customHeight="1">
      <c r="D392" s="1" t="str" cm="1">
        <f t="array" ref="D392">Common_InputFunctions.Utility_DisplayArrayInTable(SourceData_PastureBeef.SourceData_PastureBeef_FractionOfManureToMMS_Data(),Table_SourceData_PastureBeef_FractionManureToMMS[[#Headers],[State]], 0)</f>
        <v>QLD</v>
      </c>
      <c r="E392" s="20" t="str" cm="1">
        <f t="array" ref="E392">Common_InputFunctions.Utility_DisplayArrayInTable(SourceData_PastureBeef.SourceData_PastureBeef_FractionOfManureToMMS_Data(),Table_SourceData_PastureBeef_FractionManureToMMS[[#Headers],[State]], 0)</f>
        <v>Low</v>
      </c>
      <c r="F392" s="20" cm="1">
        <f t="array" ref="F392">Common_InputFunctions.Utility_DisplayArrayInTable(SourceData_PastureBeef.SourceData_PastureBeef_FractionOfManureToMMS_Data(),Table_SourceData_PastureBeef_FractionManureToMMS[[#Headers],[State]], 0)</f>
        <v>99.977000000000004</v>
      </c>
      <c r="G392" s="20" cm="1">
        <f t="array" ref="G392">Common_InputFunctions.Utility_DisplayArrayInTable(SourceData_PastureBeef.SourceData_PastureBeef_FractionOfManureToMMS_Data(),Table_SourceData_PastureBeef_FractionManureToMMS[[#Headers],[State]], 0)</f>
        <v>2.3E-2</v>
      </c>
      <c r="M392" s="1"/>
    </row>
    <row r="393" spans="4:13" x14ac:dyDescent="0.25" ht="20" customHeight="1">
      <c r="M393" s="1"/>
    </row>
    <row r="394" spans="4:13" x14ac:dyDescent="0.25" ht="20" customHeight="1">
      <c r="M394" s="1"/>
    </row>
    <row r="395" spans="4:13" ht="20" x14ac:dyDescent="0.25" customHeight="1">
      <c r="D395" s="2" t="str" cm="1">
        <f t="array" ref="D395">SourceData_PastureBeef.SourceData_PastureBeef_MethaneConversionFactorPerRegion_Title()</f>
        <v>Beef pasture cattle - Methane conversion factor per region (fraction) (MCFim)</v>
      </c>
      <c r="M395" s="1"/>
    </row>
    <row r="396" spans="4:13" x14ac:dyDescent="0.25" ht="20" customHeight="1">
      <c r="D396" s="17" t="str" cm="1">
        <f t="array" ref="D396">SourceData_PastureBeef.SourceData_PastureBeef_MethaneConversionFactorPerRegion_Source()</f>
        <v>VEERG 2026: Table A.1.2.10</v>
      </c>
      <c r="M396" s="1"/>
    </row>
    <row r="397" spans="4:13" x14ac:dyDescent="0.25" ht="20" customHeight="1">
      <c r="D397" s="1" t="str" cm="1">
        <f t="array" ref="D397">SourceData_PastureBeef.SourceData_PastureBeef_MethaneConversionFactorPerRegion_Variable()</f>
        <v>MCFim</v>
      </c>
      <c r="M397" s="1"/>
    </row>
    <row r="398" spans="4:13" x14ac:dyDescent="0.25" ht="20" customHeight="1">
      <c r="D398" s="9" t="str" cm="1">
        <f t="array" ref="D398">SourceData_PastureBeef.SourceData_PastureBeef_MethaneConversionFactorPerRegion_Unit()</f>
        <v>fraction</v>
      </c>
      <c r="M398" s="1"/>
    </row>
    <row r="399" spans="4:13" x14ac:dyDescent="0.25" ht="20" customHeight="1">
      <c r="D399" s="26" t="str" cm="1">
        <f t="array" ref="D399">SourceData_PastureBeef.SourceData_PastureBeef_MethaneConversionFactorPerRegion_Variation()</f>
        <v>VARIATION ON SOURCE: Removed comma from 'Pasture range and paddock' to aid lookup</v>
      </c>
      <c r="M399" s="1"/>
    </row>
    <row r="400" spans="4:13" x14ac:dyDescent="0.25" ht="20" customHeight="1">
      <c r="D400" s="20" t="s">
        <v>105</v>
      </c>
      <c r="E400" s="20" t="s">
        <v>490</v>
      </c>
      <c r="F400" s="20" t="s">
        <v>91</v>
      </c>
      <c r="G400" s="20" t="s">
        <v>564</v>
      </c>
      <c r="M400" s="1"/>
    </row>
    <row r="401" spans="4:13" x14ac:dyDescent="0.25" ht="20" customHeight="1">
      <c r="D401" s="20" t="str" cm="1">
        <f t="array" ref="D401">Common_InputFunctions.Utility_DisplayArrayInTable(SourceData_PastureBeef.SourceData_PastureBeef_MethaneConversionFactorPerRegion_Data(), Table_SourceData_PastureBeef_MethaneConversionFactor[[#Headers],[State]], 0)</f>
        <v>ACT</v>
      </c>
      <c r="E401" s="20" t="str" cm="1">
        <f t="array" ref="E401">Common_InputFunctions.Utility_DisplayArrayInTable(SourceData_PastureBeef.SourceData_PastureBeef_MethaneConversionFactorPerRegion_Data(), Table_SourceData_PastureBeef_MethaneConversionFactor[[#Headers],[State]], 0)</f>
        <v>n/a</v>
      </c>
      <c r="F401" s="20" cm="1">
        <f t="array" ref="F401">Common_InputFunctions.Utility_DisplayArrayInTable(SourceData_PastureBeef.SourceData_PastureBeef_MethaneConversionFactorPerRegion_Data(), Table_SourceData_PastureBeef_MethaneConversionFactor[[#Headers],[State]], 0)</f>
        <v>4.7000000000000002E-3</v>
      </c>
      <c r="G401" s="20" cm="1">
        <f t="array" ref="G401">Common_InputFunctions.Utility_DisplayArrayInTable(SourceData_PastureBeef.SourceData_PastureBeef_MethaneConversionFactorPerRegion_Data(), Table_SourceData_PastureBeef_MethaneConversionFactor[[#Headers],[State]], 0)</f>
        <v>0.71</v>
      </c>
      <c r="M401" s="1"/>
    </row>
    <row r="402" spans="4:13" x14ac:dyDescent="0.25" ht="20" customHeight="1">
      <c r="D402" s="20" t="str" cm="1">
        <f t="array" ref="D402">Common_InputFunctions.Utility_DisplayArrayInTable(SourceData_PastureBeef.SourceData_PastureBeef_MethaneConversionFactorPerRegion_Data(), Table_SourceData_PastureBeef_MethaneConversionFactor[[#Headers],[State]], 0)</f>
        <v>NSW</v>
      </c>
      <c r="E402" s="20" t="str" cm="1">
        <f t="array" ref="E402">Common_InputFunctions.Utility_DisplayArrayInTable(SourceData_PastureBeef.SourceData_PastureBeef_MethaneConversionFactorPerRegion_Data(), Table_SourceData_PastureBeef_MethaneConversionFactor[[#Headers],[State]], 0)</f>
        <v>n/a</v>
      </c>
      <c r="F402" s="20" cm="1">
        <f t="array" ref="F402">Common_InputFunctions.Utility_DisplayArrayInTable(SourceData_PastureBeef.SourceData_PastureBeef_MethaneConversionFactorPerRegion_Data(), Table_SourceData_PastureBeef_MethaneConversionFactor[[#Headers],[State]], 0)</f>
        <v>4.7000000000000002E-3</v>
      </c>
      <c r="G402" s="20" cm="1">
        <f t="array" ref="G402">Common_InputFunctions.Utility_DisplayArrayInTable(SourceData_PastureBeef.SourceData_PastureBeef_MethaneConversionFactorPerRegion_Data(), Table_SourceData_PastureBeef_MethaneConversionFactor[[#Headers],[State]], 0)</f>
        <v>0.75</v>
      </c>
      <c r="M402" s="1"/>
    </row>
    <row r="403" spans="4:13" x14ac:dyDescent="0.25" ht="20" customHeight="1">
      <c r="D403" s="20" t="str" cm="1">
        <f t="array" ref="D403">Common_InputFunctions.Utility_DisplayArrayInTable(SourceData_PastureBeef.SourceData_PastureBeef_MethaneConversionFactorPerRegion_Data(), Table_SourceData_PastureBeef_MethaneConversionFactor[[#Headers],[State]], 0)</f>
        <v>SA</v>
      </c>
      <c r="E403" s="20" t="str" cm="1">
        <f t="array" ref="E403">Common_InputFunctions.Utility_DisplayArrayInTable(SourceData_PastureBeef.SourceData_PastureBeef_MethaneConversionFactorPerRegion_Data(), Table_SourceData_PastureBeef_MethaneConversionFactor[[#Headers],[State]], 0)</f>
        <v>n/a</v>
      </c>
      <c r="F403" s="20" cm="1">
        <f t="array" ref="F403">Common_InputFunctions.Utility_DisplayArrayInTable(SourceData_PastureBeef.SourceData_PastureBeef_MethaneConversionFactorPerRegion_Data(), Table_SourceData_PastureBeef_MethaneConversionFactor[[#Headers],[State]], 0)</f>
        <v>4.7000000000000002E-3</v>
      </c>
      <c r="G403" s="20" cm="1">
        <f t="array" ref="G403">Common_InputFunctions.Utility_DisplayArrayInTable(SourceData_PastureBeef.SourceData_PastureBeef_MethaneConversionFactorPerRegion_Data(), Table_SourceData_PastureBeef_MethaneConversionFactor[[#Headers],[State]], 0)</f>
        <v>0.74</v>
      </c>
      <c r="M403" s="1"/>
    </row>
    <row r="404" spans="4:13" x14ac:dyDescent="0.25" ht="20" customHeight="1">
      <c r="D404" s="20" t="str" cm="1">
        <f t="array" ref="D404">Common_InputFunctions.Utility_DisplayArrayInTable(SourceData_PastureBeef.SourceData_PastureBeef_MethaneConversionFactorPerRegion_Data(), Table_SourceData_PastureBeef_MethaneConversionFactor[[#Headers],[State]], 0)</f>
        <v>TAS</v>
      </c>
      <c r="E404" s="20" t="str" cm="1">
        <f t="array" ref="E404">Common_InputFunctions.Utility_DisplayArrayInTable(SourceData_PastureBeef.SourceData_PastureBeef_MethaneConversionFactorPerRegion_Data(), Table_SourceData_PastureBeef_MethaneConversionFactor[[#Headers],[State]], 0)</f>
        <v>n/a</v>
      </c>
      <c r="F404" s="20" cm="1">
        <f t="array" ref="F404">Common_InputFunctions.Utility_DisplayArrayInTable(SourceData_PastureBeef.SourceData_PastureBeef_MethaneConversionFactorPerRegion_Data(), Table_SourceData_PastureBeef_MethaneConversionFactor[[#Headers],[State]], 0)</f>
        <v>4.7000000000000002E-3</v>
      </c>
      <c r="G404" s="20" cm="1">
        <f t="array" ref="G404">Common_InputFunctions.Utility_DisplayArrayInTable(SourceData_PastureBeef.SourceData_PastureBeef_MethaneConversionFactorPerRegion_Data(), Table_SourceData_PastureBeef_MethaneConversionFactor[[#Headers],[State]], 0)</f>
        <v>0.7</v>
      </c>
      <c r="M404" s="1"/>
    </row>
    <row r="405" spans="4:13" x14ac:dyDescent="0.25" ht="20" customHeight="1">
      <c r="D405" s="20" t="str" cm="1">
        <f t="array" ref="D405">Common_InputFunctions.Utility_DisplayArrayInTable(SourceData_PastureBeef.SourceData_PastureBeef_MethaneConversionFactorPerRegion_Data(), Table_SourceData_PastureBeef_MethaneConversionFactor[[#Headers],[State]], 0)</f>
        <v>VIC</v>
      </c>
      <c r="E405" s="20" t="str" cm="1">
        <f t="array" ref="E405">Common_InputFunctions.Utility_DisplayArrayInTable(SourceData_PastureBeef.SourceData_PastureBeef_MethaneConversionFactorPerRegion_Data(), Table_SourceData_PastureBeef_MethaneConversionFactor[[#Headers],[State]], 0)</f>
        <v>n/a</v>
      </c>
      <c r="F405" s="20" cm="1">
        <f t="array" ref="F405">Common_InputFunctions.Utility_DisplayArrayInTable(SourceData_PastureBeef.SourceData_PastureBeef_MethaneConversionFactorPerRegion_Data(), Table_SourceData_PastureBeef_MethaneConversionFactor[[#Headers],[State]], 0)</f>
        <v>4.7000000000000002E-3</v>
      </c>
      <c r="G405" s="20" cm="1">
        <f t="array" ref="G405">Common_InputFunctions.Utility_DisplayArrayInTable(SourceData_PastureBeef.SourceData_PastureBeef_MethaneConversionFactorPerRegion_Data(), Table_SourceData_PastureBeef_MethaneConversionFactor[[#Headers],[State]], 0)</f>
        <v>0.74</v>
      </c>
      <c r="M405" s="1"/>
    </row>
    <row r="406" spans="4:13" x14ac:dyDescent="0.25" ht="20" customHeight="1">
      <c r="D406" s="20" t="str" cm="1">
        <f t="array" ref="D406">Common_InputFunctions.Utility_DisplayArrayInTable(SourceData_PastureBeef.SourceData_PastureBeef_MethaneConversionFactorPerRegion_Data(), Table_SourceData_PastureBeef_MethaneConversionFactor[[#Headers],[State]], 0)</f>
        <v>WA</v>
      </c>
      <c r="E406" s="20" t="str" cm="1">
        <f t="array" ref="E406">Common_InputFunctions.Utility_DisplayArrayInTable(SourceData_PastureBeef.SourceData_PastureBeef_MethaneConversionFactorPerRegion_Data(), Table_SourceData_PastureBeef_MethaneConversionFactor[[#Headers],[State]], 0)</f>
        <v>South West</v>
      </c>
      <c r="F406" s="20" cm="1">
        <f t="array" ref="F406">Common_InputFunctions.Utility_DisplayArrayInTable(SourceData_PastureBeef.SourceData_PastureBeef_MethaneConversionFactorPerRegion_Data(), Table_SourceData_PastureBeef_MethaneConversionFactor[[#Headers],[State]], 0)</f>
        <v>4.7000000000000002E-3</v>
      </c>
      <c r="G406" s="20" cm="1">
        <f t="array" ref="G406">Common_InputFunctions.Utility_DisplayArrayInTable(SourceData_PastureBeef.SourceData_PastureBeef_MethaneConversionFactorPerRegion_Data(), Table_SourceData_PastureBeef_MethaneConversionFactor[[#Headers],[State]], 0)</f>
        <v>0.76</v>
      </c>
      <c r="M406" s="1"/>
    </row>
    <row r="407" spans="4:13" x14ac:dyDescent="0.25" ht="20" customHeight="1">
      <c r="D407" s="20" t="str" cm="1">
        <f t="array" ref="D407">Common_InputFunctions.Utility_DisplayArrayInTable(SourceData_PastureBeef.SourceData_PastureBeef_MethaneConversionFactorPerRegion_Data(), Table_SourceData_PastureBeef_MethaneConversionFactor[[#Headers],[State]], 0)</f>
        <v>WA</v>
      </c>
      <c r="E407" s="20" t="str" cm="1">
        <f t="array" ref="E407">Common_InputFunctions.Utility_DisplayArrayInTable(SourceData_PastureBeef.SourceData_PastureBeef_MethaneConversionFactorPerRegion_Data(), Table_SourceData_PastureBeef_MethaneConversionFactor[[#Headers],[State]], 0)</f>
        <v>Pilbara</v>
      </c>
      <c r="F407" s="20" cm="1">
        <f t="array" ref="F407">Common_InputFunctions.Utility_DisplayArrayInTable(SourceData_PastureBeef.SourceData_PastureBeef_MethaneConversionFactorPerRegion_Data(), Table_SourceData_PastureBeef_MethaneConversionFactor[[#Headers],[State]], 0)</f>
        <v>4.7000000000000002E-3</v>
      </c>
      <c r="G407" s="20" cm="1">
        <f t="array" ref="G407">Common_InputFunctions.Utility_DisplayArrayInTable(SourceData_PastureBeef.SourceData_PastureBeef_MethaneConversionFactorPerRegion_Data(), Table_SourceData_PastureBeef_MethaneConversionFactor[[#Headers],[State]], 0)</f>
        <v>0.76</v>
      </c>
      <c r="M407" s="1"/>
    </row>
    <row r="408" spans="4:13" x14ac:dyDescent="0.25" ht="20" customHeight="1">
      <c r="D408" s="20" t="str" cm="1">
        <f t="array" ref="D408">Common_InputFunctions.Utility_DisplayArrayInTable(SourceData_PastureBeef.SourceData_PastureBeef_MethaneConversionFactorPerRegion_Data(), Table_SourceData_PastureBeef_MethaneConversionFactor[[#Headers],[State]], 0)</f>
        <v>WA</v>
      </c>
      <c r="E408" s="20" t="str" cm="1">
        <f t="array" ref="E408">Common_InputFunctions.Utility_DisplayArrayInTable(SourceData_PastureBeef.SourceData_PastureBeef_MethaneConversionFactorPerRegion_Data(), Table_SourceData_PastureBeef_MethaneConversionFactor[[#Headers],[State]], 0)</f>
        <v>Kimberley</v>
      </c>
      <c r="F408" s="20" cm="1">
        <f t="array" ref="F408">Common_InputFunctions.Utility_DisplayArrayInTable(SourceData_PastureBeef.SourceData_PastureBeef_MethaneConversionFactorPerRegion_Data(), Table_SourceData_PastureBeef_MethaneConversionFactor[[#Headers],[State]], 0)</f>
        <v>4.7000000000000002E-3</v>
      </c>
      <c r="G408" s="20" cm="1">
        <f t="array" ref="G408">Common_InputFunctions.Utility_DisplayArrayInTable(SourceData_PastureBeef.SourceData_PastureBeef_MethaneConversionFactorPerRegion_Data(), Table_SourceData_PastureBeef_MethaneConversionFactor[[#Headers],[State]], 0)</f>
        <v>0.76</v>
      </c>
      <c r="M408" s="1"/>
    </row>
    <row r="409" spans="4:13" x14ac:dyDescent="0.25" ht="20" customHeight="1">
      <c r="D409" s="20" t="str" cm="1">
        <f t="array" ref="D409">Common_InputFunctions.Utility_DisplayArrayInTable(SourceData_PastureBeef.SourceData_PastureBeef_MethaneConversionFactorPerRegion_Data(), Table_SourceData_PastureBeef_MethaneConversionFactor[[#Headers],[State]], 0)</f>
        <v>NT</v>
      </c>
      <c r="E409" s="20" t="str" cm="1">
        <f t="array" ref="E409">Common_InputFunctions.Utility_DisplayArrayInTable(SourceData_PastureBeef.SourceData_PastureBeef_MethaneConversionFactorPerRegion_Data(), Table_SourceData_PastureBeef_MethaneConversionFactor[[#Headers],[State]], 0)</f>
        <v>Alice Springs</v>
      </c>
      <c r="F409" s="20" cm="1">
        <f t="array" ref="F409">Common_InputFunctions.Utility_DisplayArrayInTable(SourceData_PastureBeef.SourceData_PastureBeef_MethaneConversionFactorPerRegion_Data(), Table_SourceData_PastureBeef_MethaneConversionFactor[[#Headers],[State]], 0)</f>
        <v>4.7000000000000002E-3</v>
      </c>
      <c r="G409" s="20" cm="1">
        <f t="array" ref="G409">Common_InputFunctions.Utility_DisplayArrayInTable(SourceData_PastureBeef.SourceData_PastureBeef_MethaneConversionFactorPerRegion_Data(), Table_SourceData_PastureBeef_MethaneConversionFactor[[#Headers],[State]], 0)</f>
        <v>0.8</v>
      </c>
      <c r="M409" s="1"/>
    </row>
    <row r="410" spans="4:13" x14ac:dyDescent="0.25" ht="20" customHeight="1">
      <c r="D410" s="20" t="str" cm="1">
        <f t="array" ref="D410">Common_InputFunctions.Utility_DisplayArrayInTable(SourceData_PastureBeef.SourceData_PastureBeef_MethaneConversionFactorPerRegion_Data(), Table_SourceData_PastureBeef_MethaneConversionFactor[[#Headers],[State]], 0)</f>
        <v>NT</v>
      </c>
      <c r="E410" s="20" t="str" cm="1">
        <f t="array" ref="E410">Common_InputFunctions.Utility_DisplayArrayInTable(SourceData_PastureBeef.SourceData_PastureBeef_MethaneConversionFactorPerRegion_Data(), Table_SourceData_PastureBeef_MethaneConversionFactor[[#Headers],[State]], 0)</f>
        <v>Barkly</v>
      </c>
      <c r="F410" s="20" cm="1">
        <f t="array" ref="F410">Common_InputFunctions.Utility_DisplayArrayInTable(SourceData_PastureBeef.SourceData_PastureBeef_MethaneConversionFactorPerRegion_Data(), Table_SourceData_PastureBeef_MethaneConversionFactor[[#Headers],[State]], 0)</f>
        <v>4.7000000000000002E-3</v>
      </c>
      <c r="G410" s="20" cm="1">
        <f t="array" ref="G410">Common_InputFunctions.Utility_DisplayArrayInTable(SourceData_PastureBeef.SourceData_PastureBeef_MethaneConversionFactorPerRegion_Data(), Table_SourceData_PastureBeef_MethaneConversionFactor[[#Headers],[State]], 0)</f>
        <v>0.8</v>
      </c>
      <c r="M410" s="1"/>
    </row>
    <row r="411" spans="4:13" x14ac:dyDescent="0.25" ht="20" customHeight="1">
      <c r="D411" s="20" t="str" cm="1">
        <f t="array" ref="D411">Common_InputFunctions.Utility_DisplayArrayInTable(SourceData_PastureBeef.SourceData_PastureBeef_MethaneConversionFactorPerRegion_Data(), Table_SourceData_PastureBeef_MethaneConversionFactor[[#Headers],[State]], 0)</f>
        <v>NT</v>
      </c>
      <c r="E411" s="20" t="str" cm="1">
        <f t="array" ref="E411">Common_InputFunctions.Utility_DisplayArrayInTable(SourceData_PastureBeef.SourceData_PastureBeef_MethaneConversionFactorPerRegion_Data(), Table_SourceData_PastureBeef_MethaneConversionFactor[[#Headers],[State]], 0)</f>
        <v>Northern</v>
      </c>
      <c r="F411" s="20" cm="1">
        <f t="array" ref="F411">Common_InputFunctions.Utility_DisplayArrayInTable(SourceData_PastureBeef.SourceData_PastureBeef_MethaneConversionFactorPerRegion_Data(), Table_SourceData_PastureBeef_MethaneConversionFactor[[#Headers],[State]], 0)</f>
        <v>4.7000000000000002E-3</v>
      </c>
      <c r="G411" s="20" cm="1">
        <f t="array" ref="G411">Common_InputFunctions.Utility_DisplayArrayInTable(SourceData_PastureBeef.SourceData_PastureBeef_MethaneConversionFactorPerRegion_Data(), Table_SourceData_PastureBeef_MethaneConversionFactor[[#Headers],[State]], 0)</f>
        <v>0.8</v>
      </c>
      <c r="M411" s="1"/>
    </row>
    <row r="412" spans="4:13" x14ac:dyDescent="0.25" ht="20" customHeight="1">
      <c r="D412" s="20" t="str" cm="1">
        <f t="array" ref="D412">Common_InputFunctions.Utility_DisplayArrayInTable(SourceData_PastureBeef.SourceData_PastureBeef_MethaneConversionFactorPerRegion_Data(), Table_SourceData_PastureBeef_MethaneConversionFactor[[#Headers],[State]], 0)</f>
        <v>QLD</v>
      </c>
      <c r="E412" s="20" t="str" cm="1">
        <f t="array" ref="E412">Common_InputFunctions.Utility_DisplayArrayInTable(SourceData_PastureBeef.SourceData_PastureBeef_MethaneConversionFactorPerRegion_Data(), Table_SourceData_PastureBeef_MethaneConversionFactor[[#Headers],[State]], 0)</f>
        <v>High</v>
      </c>
      <c r="F412" s="20" cm="1">
        <f t="array" ref="F412">Common_InputFunctions.Utility_DisplayArrayInTable(SourceData_PastureBeef.SourceData_PastureBeef_MethaneConversionFactorPerRegion_Data(), Table_SourceData_PastureBeef_MethaneConversionFactor[[#Headers],[State]], 0)</f>
        <v>4.7000000000000002E-3</v>
      </c>
      <c r="G412" s="20" cm="1">
        <f t="array" ref="G412">Common_InputFunctions.Utility_DisplayArrayInTable(SourceData_PastureBeef.SourceData_PastureBeef_MethaneConversionFactorPerRegion_Data(), Table_SourceData_PastureBeef_MethaneConversionFactor[[#Headers],[State]], 0)</f>
        <v>0.78</v>
      </c>
      <c r="M412" s="1"/>
    </row>
    <row r="413" spans="4:13" x14ac:dyDescent="0.25" ht="20" customHeight="1">
      <c r="D413" s="20" t="str" cm="1">
        <f t="array" ref="D413">Common_InputFunctions.Utility_DisplayArrayInTable(SourceData_PastureBeef.SourceData_PastureBeef_MethaneConversionFactorPerRegion_Data(), Table_SourceData_PastureBeef_MethaneConversionFactor[[#Headers],[State]], 0)</f>
        <v>QLD</v>
      </c>
      <c r="E413" s="20" t="str" cm="1">
        <f t="array" ref="E413">Common_InputFunctions.Utility_DisplayArrayInTable(SourceData_PastureBeef.SourceData_PastureBeef_MethaneConversionFactorPerRegion_Data(), Table_SourceData_PastureBeef_MethaneConversionFactor[[#Headers],[State]], 0)</f>
        <v>Moderate/High</v>
      </c>
      <c r="F413" s="20" cm="1">
        <f t="array" ref="F413">Common_InputFunctions.Utility_DisplayArrayInTable(SourceData_PastureBeef.SourceData_PastureBeef_MethaneConversionFactorPerRegion_Data(), Table_SourceData_PastureBeef_MethaneConversionFactor[[#Headers],[State]], 0)</f>
        <v>4.7000000000000002E-3</v>
      </c>
      <c r="G413" s="20" cm="1">
        <f t="array" ref="G413">Common_InputFunctions.Utility_DisplayArrayInTable(SourceData_PastureBeef.SourceData_PastureBeef_MethaneConversionFactorPerRegion_Data(), Table_SourceData_PastureBeef_MethaneConversionFactor[[#Headers],[State]], 0)</f>
        <v>0.78</v>
      </c>
      <c r="M413" s="1"/>
    </row>
    <row r="414" spans="4:13" x14ac:dyDescent="0.25" ht="20" customHeight="1">
      <c r="D414" s="20" t="str" cm="1">
        <f t="array" ref="D414">Common_InputFunctions.Utility_DisplayArrayInTable(SourceData_PastureBeef.SourceData_PastureBeef_MethaneConversionFactorPerRegion_Data(), Table_SourceData_PastureBeef_MethaneConversionFactor[[#Headers],[State]], 0)</f>
        <v>QLD</v>
      </c>
      <c r="E414" s="20" t="str" cm="1">
        <f t="array" ref="E414">Common_InputFunctions.Utility_DisplayArrayInTable(SourceData_PastureBeef.SourceData_PastureBeef_MethaneConversionFactorPerRegion_Data(), Table_SourceData_PastureBeef_MethaneConversionFactor[[#Headers],[State]], 0)</f>
        <v>Moderate/Low</v>
      </c>
      <c r="F414" s="20" cm="1">
        <f t="array" ref="F414">Common_InputFunctions.Utility_DisplayArrayInTable(SourceData_PastureBeef.SourceData_PastureBeef_MethaneConversionFactorPerRegion_Data(), Table_SourceData_PastureBeef_MethaneConversionFactor[[#Headers],[State]], 0)</f>
        <v>4.7000000000000002E-3</v>
      </c>
      <c r="G414" s="20" cm="1">
        <f t="array" ref="G414">Common_InputFunctions.Utility_DisplayArrayInTable(SourceData_PastureBeef.SourceData_PastureBeef_MethaneConversionFactorPerRegion_Data(), Table_SourceData_PastureBeef_MethaneConversionFactor[[#Headers],[State]], 0)</f>
        <v>0.78</v>
      </c>
      <c r="M414" s="1"/>
    </row>
    <row r="415" spans="4:13" x14ac:dyDescent="0.25" ht="20" customHeight="1">
      <c r="D415" s="20" t="str" cm="1">
        <f t="array" ref="D415">Common_InputFunctions.Utility_DisplayArrayInTable(SourceData_PastureBeef.SourceData_PastureBeef_MethaneConversionFactorPerRegion_Data(), Table_SourceData_PastureBeef_MethaneConversionFactor[[#Headers],[State]], 0)</f>
        <v>QLD</v>
      </c>
      <c r="E415" s="20" t="str" cm="1">
        <f t="array" ref="E415">Common_InputFunctions.Utility_DisplayArrayInTable(SourceData_PastureBeef.SourceData_PastureBeef_MethaneConversionFactorPerRegion_Data(), Table_SourceData_PastureBeef_MethaneConversionFactor[[#Headers],[State]], 0)</f>
        <v>Low</v>
      </c>
      <c r="F415" s="20" cm="1">
        <f t="array" ref="F415">Common_InputFunctions.Utility_DisplayArrayInTable(SourceData_PastureBeef.SourceData_PastureBeef_MethaneConversionFactorPerRegion_Data(), Table_SourceData_PastureBeef_MethaneConversionFactor[[#Headers],[State]], 0)</f>
        <v>4.7000000000000002E-3</v>
      </c>
      <c r="G415" s="20" cm="1">
        <f t="array" ref="G415">Common_InputFunctions.Utility_DisplayArrayInTable(SourceData_PastureBeef.SourceData_PastureBeef_MethaneConversionFactorPerRegion_Data(), Table_SourceData_PastureBeef_MethaneConversionFactor[[#Headers],[State]], 0)</f>
        <v>0.78</v>
      </c>
      <c r="M415" s="1"/>
    </row>
    <row r="416" spans="4:13" x14ac:dyDescent="0.25" ht="20" customHeight="1">
      <c r="M416" s="1"/>
    </row>
    <row r="417" spans="4:13" x14ac:dyDescent="0.25" ht="20" customHeight="1">
      <c r="M417" s="1"/>
    </row>
    <row r="418" spans="4:13" ht="20" x14ac:dyDescent="0.25" customHeight="1">
      <c r="D418" s="2" t="str" cm="1">
        <f t="array" ref="D418">SourceData_PastureBeef.SourceData_PastureBeef_AshContentOfFeedIntake_Title()</f>
        <v>Ash content of feed intake</v>
      </c>
      <c r="M418" s="1"/>
    </row>
    <row r="419" spans="4:13" x14ac:dyDescent="0.25" ht="20" customHeight="1">
      <c r="D419" s="17" t="str" cm="1">
        <f t="array" ref="D419">SourceData_PastureBeef.SourceData_PastureBeef_AshContentOfFeedIntake_Source()</f>
        <v>VEERG 2026: 4.2.2.3 CONSTANTS</v>
      </c>
      <c r="M419" s="1"/>
    </row>
    <row r="420" spans="4:13" x14ac:dyDescent="0.25" ht="20" customHeight="1">
      <c r="D420" s="1" t="str" cm="1">
        <f t="array" ref="D420">SourceData_PastureBeef.SourceData_PastureBeef_AshContentOfFeedIntake_Variable()</f>
        <v>A</v>
      </c>
      <c r="M420" s="1"/>
    </row>
    <row r="421" spans="4:13" x14ac:dyDescent="0.25" ht="20" customHeight="1">
      <c r="D421" s="9" t="str" cm="1">
        <f t="array" ref="D421">SourceData_PastureBeef.SourceData_PastureBeef_AshContentOfFeedIntake_Unit()</f>
        <v>fraction</v>
      </c>
      <c r="M421" s="1"/>
    </row>
    <row r="422" spans="4:13" x14ac:dyDescent="0.25" ht="20" customHeight="1">
      <c r="D422" s="77" cm="1">
        <f t="array" ref="D422">SourceData_PastureBeef.SourceData_PastureBeef_AshContentOfFeedIntake_Data()</f>
        <v>0.08</v>
      </c>
      <c r="M422" s="1"/>
    </row>
    <row r="423" spans="4:13" x14ac:dyDescent="0.25" ht="20" customHeight="1">
      <c r="M423" s="1"/>
    </row>
    <row r="424" spans="4:13" ht="20" x14ac:dyDescent="0.25" customHeight="1">
      <c r="D424" s="2" t="str" cm="1">
        <f t="array" ref="D424">SourceData_PastureBeef.SourceData_PastureBeef_MethaneEmissionsPotential_Title()</f>
        <v>Methane emissions potential</v>
      </c>
      <c r="M424" s="1"/>
    </row>
    <row r="425" spans="4:13" x14ac:dyDescent="0.25" ht="20" customHeight="1">
      <c r="D425" s="17" t="str" cm="1">
        <f t="array" ref="D425">SourceData_PastureBeef.SourceData_PastureBeef_MethaneEmissionsPotential_Source()</f>
        <v>VEERG 2026: 4.2.2.3 CONSTANTS</v>
      </c>
      <c r="M425" s="1"/>
    </row>
    <row r="426" spans="4:13" x14ac:dyDescent="0.25" ht="20" customHeight="1">
      <c r="D426" s="1" t="str" cm="1">
        <f t="array" ref="D426">SourceData_PastureBeef.SourceData_PastureBeef_MethaneEmissionsPotential_Variable()</f>
        <v>B0</v>
      </c>
      <c r="M426" s="1"/>
    </row>
    <row r="427" spans="4:13" x14ac:dyDescent="0.25" ht="20" customHeight="1">
      <c r="D427" s="9" t="str" cm="1">
        <f t="array" ref="D427">SourceData_PastureBeef.SourceData_PastureBeef_MethaneEmissionsPotential_Unit()</f>
        <v>m3 CH4 / kg VS</v>
      </c>
      <c r="M427" s="1"/>
    </row>
    <row r="428" spans="4:13" x14ac:dyDescent="0.25" ht="20" customHeight="1">
      <c r="D428" s="77" cm="1">
        <f t="array" ref="D428">SourceData_PastureBeef.SourceData_PastureBeef_MethaneEmissionsPotential_Data()</f>
        <v>0.19</v>
      </c>
      <c r="M428" s="1"/>
    </row>
    <row r="429" spans="4:13" x14ac:dyDescent="0.25" ht="20" customHeight="1">
      <c r="M429" s="1"/>
    </row>
    <row r="430" spans="4:13" ht="20" x14ac:dyDescent="0.25" customHeight="1">
      <c r="D430" s="2" t="str" cm="1">
        <f t="array" ref="D430">SourceData_PastureBeef.SourceData_PastureBeef_FracGASMSoil_Title()</f>
        <v>Fraction of nitrogen volatilised from urine and faeces deposited on pasture</v>
      </c>
      <c r="M430" s="1"/>
    </row>
    <row r="431" spans="4:13" x14ac:dyDescent="0.25" ht="20" customHeight="1">
      <c r="D431" s="17" t="str" cm="1">
        <f t="array" ref="D431">SourceData_PastureBeef.SourceData_PastureBeef_FracGASMSoil_Source()</f>
        <v>VEERG 2026: 4.2.2.3 CONSTANTS</v>
      </c>
      <c r="M431" s="1"/>
    </row>
    <row r="432" spans="4:13" x14ac:dyDescent="0.25" ht="20" customHeight="1">
      <c r="D432" s="1" t="str" cm="1">
        <f t="array" ref="D432">SourceData_PastureBeef.SourceData_PastureBeef_FracGASMSoil_Variable()</f>
        <v>FracGASMSoil</v>
      </c>
      <c r="M432" s="1"/>
    </row>
    <row r="433" spans="4:13" x14ac:dyDescent="0.25" ht="20" customHeight="1">
      <c r="D433" s="9" t="str" cm="1">
        <f t="array" ref="D433">SourceData_PastureBeef.SourceData_PastureBeef_FracGASMSoil_Unit()</f>
        <v>fraction</v>
      </c>
      <c r="M433" s="1"/>
    </row>
    <row r="434" spans="4:13" x14ac:dyDescent="0.25" ht="20" customHeight="1">
      <c r="D434" s="77" cm="1">
        <f t="array" ref="D434">SourceData_PastureBeef.SourceData_PastureBeef_FracGASMSoil_Data()</f>
        <v>0.21</v>
      </c>
      <c r="M434" s="1"/>
    </row>
    <row r="435" spans="4:13" x14ac:dyDescent="0.25" ht="20" customHeight="1">
      <c r="M435" s="1"/>
    </row>
    <row r="436" spans="4:13" ht="20" x14ac:dyDescent="0.25" customHeight="1">
      <c r="D436" s="2" t="str" cm="1">
        <f t="array" ref="D436">SourceData_PastureBeef.SourceData_PastureBeef_FracLEACH_Title()</f>
        <v>Default fraction of N that is lost through leaching and runoff</v>
      </c>
      <c r="M436" s="1"/>
    </row>
    <row r="437" spans="4:13" x14ac:dyDescent="0.25" ht="20" customHeight="1">
      <c r="D437" s="17" t="str" cm="1">
        <f t="array" ref="D437">SourceData_PastureBeef.SourceData_PastureBeef_FracLEACH_Source()</f>
        <v>VEERG 2026: 4.2.2.3 CONSTANTS</v>
      </c>
      <c r="M437" s="1"/>
    </row>
    <row r="438" spans="4:13" x14ac:dyDescent="0.25" ht="20" customHeight="1">
      <c r="D438" s="1" t="str" cm="1">
        <f t="array" ref="D438">SourceData_PastureBeef.SourceData_PastureBeef_FracLEACH_Variable()</f>
        <v>FracLEACH</v>
      </c>
      <c r="M438" s="1"/>
    </row>
    <row r="439" spans="4:13" x14ac:dyDescent="0.25" ht="20" customHeight="1">
      <c r="D439" s="9" t="str" cm="1">
        <f t="array" ref="D439">SourceData_PastureBeef.SourceData_PastureBeef_FracLEACH_Unit()</f>
        <v>fraction</v>
      </c>
      <c r="M439" s="1"/>
    </row>
    <row r="440" spans="4:13" x14ac:dyDescent="0.25" ht="20" customHeight="1">
      <c r="D440" s="77" cm="1">
        <f t="array" ref="D440">SourceData_PastureBeef.SourceData_PastureBeef_FracLEACH_Data()</f>
        <v>0.24</v>
      </c>
      <c r="M440" s="1"/>
    </row>
    <row r="441" spans="4:13" x14ac:dyDescent="0.25" ht="20" customHeight="1">
      <c r="M441" s="1"/>
    </row>
    <row r="442" spans="4:13" ht="20" customHeight="1" x14ac:dyDescent="0.25">
      <c r="D442" s="20" t="s">
        <v>565</v>
      </c>
      <c r="E442" s="20" t="s">
        <v>139</v>
      </c>
      <c r="F442" s="20" t="s">
        <v>566</v>
      </c>
      <c r="G442" s="20" t="s">
        <v>567</v>
      </c>
      <c r="H442" s="20" t="s">
        <v>568</v>
      </c>
      <c r="I442" s="20" t="s">
        <v>569</v>
      </c>
      <c r="M442" s="1"/>
    </row>
    <row r="443" spans="4:13" x14ac:dyDescent="0.25" ht="20" customHeight="1">
      <c r="D443" s="20" t="str" cm="1">
        <f t="array" ref="D443">Common_InputFunctions.Utility_DisplayArrayInTable(Scope3_SourceData.Scope3_Livestock_Data(), Table_SourceData_Scope3_Animals[[#Headers],[Category]], 0, 2)</f>
        <v>Beef cattle</v>
      </c>
      <c r="E443" s="20" t="str" cm="1">
        <f t="array" ref="E443">Common_InputFunctions.Utility_DisplayArrayInTable(Scope3_SourceData.Scope3_Livestock_Data(), Table_SourceData_Scope3_Animals[[#Headers],[Category]], 0, 2)</f>
        <v>Cattle, for manufacturing beef</v>
      </c>
      <c r="F443" s="20" t="str" cm="1">
        <f t="array" ref="F443">Common_InputFunctions.Utility_DisplayArrayInTable(Scope3_SourceData.Scope3_Livestock_Data(), Table_SourceData_Scope3_Animals[[#Headers],[Category]], 0, 2)</f>
        <v>Australia</v>
      </c>
      <c r="G443" s="20" t="str" cm="1">
        <f t="array" ref="G443">Common_InputFunctions.Utility_DisplayArrayInTable(Scope3_SourceData.Scope3_Livestock_Data(), Table_SourceData_Scope3_Animals[[#Headers],[Category]], 0, 2)</f>
        <v>kg liveweight</v>
      </c>
      <c r="H443" s="20" cm="1">
        <f t="array" ref="H443">Common_InputFunctions.Utility_DisplayArrayInTable(Scope3_SourceData.Scope3_Livestock_Data(), Table_SourceData_Scope3_Animals[[#Headers],[Category]], 0, 2)</f>
        <v>11</v>
      </c>
      <c r="I443" s="20" t="str" cm="1">
        <f t="array" ref="I443">Common_InputFunctions.Utility_DisplayArrayInTable(Scope3_SourceData.Scope3_Livestock_Data(), Table_SourceData_Scope3_Animals[[#Headers],[Category]], 0, 2)</f>
        <v>at market</v>
      </c>
      <c r="M443" s="1"/>
    </row>
    <row r="444" spans="4:13" x14ac:dyDescent="0.25" ht="20" customHeight="1">
      <c r="D444" s="20" t="str" cm="1">
        <f t="array" ref="D444">Common_InputFunctions.Utility_DisplayArrayInTable(Scope3_SourceData.Scope3_Livestock_Data(), Table_SourceData_Scope3_Animals[[#Headers],[Category]], 0, 2)</f>
        <v>Beef cattle</v>
      </c>
      <c r="E444" s="20" t="str" cm="1">
        <f t="array" ref="E444">Common_InputFunctions.Utility_DisplayArrayInTable(Scope3_SourceData.Scope3_Livestock_Data(), Table_SourceData_Scope3_Animals[[#Headers],[Category]], 0, 2)</f>
        <v>Cattle, for manufacturing beef</v>
      </c>
      <c r="F444" s="20" t="str" cm="1">
        <f t="array" ref="F444">Common_InputFunctions.Utility_DisplayArrayInTable(Scope3_SourceData.Scope3_Livestock_Data(), Table_SourceData_Scope3_Animals[[#Headers],[Category]], 0, 2)</f>
        <v>NSW</v>
      </c>
      <c r="G444" s="20" t="str" cm="1">
        <f t="array" ref="G444">Common_InputFunctions.Utility_DisplayArrayInTable(Scope3_SourceData.Scope3_Livestock_Data(), Table_SourceData_Scope3_Animals[[#Headers],[Category]], 0, 2)</f>
        <v>kg liveweight</v>
      </c>
      <c r="H444" s="20" cm="1">
        <f t="array" ref="H444">Common_InputFunctions.Utility_DisplayArrayInTable(Scope3_SourceData.Scope3_Livestock_Data(), Table_SourceData_Scope3_Animals[[#Headers],[Category]], 0, 2)</f>
        <v>8.2100000000000009</v>
      </c>
      <c r="I444" s="20" t="str" cm="1">
        <f t="array" ref="I444">Common_InputFunctions.Utility_DisplayArrayInTable(Scope3_SourceData.Scope3_Livestock_Data(), Table_SourceData_Scope3_Animals[[#Headers],[Category]], 0, 2)</f>
        <v>at market</v>
      </c>
      <c r="M444" s="1"/>
    </row>
    <row r="445" spans="4:13" x14ac:dyDescent="0.25" ht="20" customHeight="1">
      <c r="D445" s="20" t="str" cm="1">
        <f t="array" ref="D445">Common_InputFunctions.Utility_DisplayArrayInTable(Scope3_SourceData.Scope3_Livestock_Data(), Table_SourceData_Scope3_Animals[[#Headers],[Category]], 0, 2)</f>
        <v>Beef cattle</v>
      </c>
      <c r="E445" s="20" t="str" cm="1">
        <f t="array" ref="E445">Common_InputFunctions.Utility_DisplayArrayInTable(Scope3_SourceData.Scope3_Livestock_Data(), Table_SourceData_Scope3_Animals[[#Headers],[Category]], 0, 2)</f>
        <v>Cattle, for manufacturing beef</v>
      </c>
      <c r="F445" s="20" t="str" cm="1">
        <f t="array" ref="F445">Common_InputFunctions.Utility_DisplayArrayInTable(Scope3_SourceData.Scope3_Livestock_Data(), Table_SourceData_Scope3_Animals[[#Headers],[Category]], 0, 2)</f>
        <v>NT</v>
      </c>
      <c r="G445" s="20" t="str" cm="1">
        <f t="array" ref="G445">Common_InputFunctions.Utility_DisplayArrayInTable(Scope3_SourceData.Scope3_Livestock_Data(), Table_SourceData_Scope3_Animals[[#Headers],[Category]], 0, 2)</f>
        <v>kg liveweight</v>
      </c>
      <c r="H445" s="20" cm="1">
        <f t="array" ref="H445">Common_InputFunctions.Utility_DisplayArrayInTable(Scope3_SourceData.Scope3_Livestock_Data(), Table_SourceData_Scope3_Animals[[#Headers],[Category]], 0, 2)</f>
        <v>12.2</v>
      </c>
      <c r="I445" s="20" t="str" cm="1">
        <f t="array" ref="I445">Common_InputFunctions.Utility_DisplayArrayInTable(Scope3_SourceData.Scope3_Livestock_Data(), Table_SourceData_Scope3_Animals[[#Headers],[Category]], 0, 2)</f>
        <v>at market</v>
      </c>
      <c r="M445" s="1"/>
    </row>
    <row r="446" spans="4:13" x14ac:dyDescent="0.25" ht="20" customHeight="1">
      <c r="D446" s="20" t="str" cm="1">
        <f t="array" ref="D446">Common_InputFunctions.Utility_DisplayArrayInTable(Scope3_SourceData.Scope3_Livestock_Data(), Table_SourceData_Scope3_Animals[[#Headers],[Category]], 0, 2)</f>
        <v>Beef cattle</v>
      </c>
      <c r="E446" s="20" t="str" cm="1">
        <f t="array" ref="E446">Common_InputFunctions.Utility_DisplayArrayInTable(Scope3_SourceData.Scope3_Livestock_Data(), Table_SourceData_Scope3_Animals[[#Headers],[Category]], 0, 2)</f>
        <v>Cattle, for manufacturing beef</v>
      </c>
      <c r="F446" s="20" t="str" cm="1">
        <f t="array" ref="F446">Common_InputFunctions.Utility_DisplayArrayInTable(Scope3_SourceData.Scope3_Livestock_Data(), Table_SourceData_Scope3_Animals[[#Headers],[Category]], 0, 2)</f>
        <v>QLD</v>
      </c>
      <c r="G446" s="20" t="str" cm="1">
        <f t="array" ref="G446">Common_InputFunctions.Utility_DisplayArrayInTable(Scope3_SourceData.Scope3_Livestock_Data(), Table_SourceData_Scope3_Animals[[#Headers],[Category]], 0, 2)</f>
        <v>kg liveweight</v>
      </c>
      <c r="H446" s="20" cm="1">
        <f t="array" ref="H446">Common_InputFunctions.Utility_DisplayArrayInTable(Scope3_SourceData.Scope3_Livestock_Data(), Table_SourceData_Scope3_Animals[[#Headers],[Category]], 0, 2)</f>
        <v>10.9</v>
      </c>
      <c r="I446" s="20" t="str" cm="1">
        <f t="array" ref="I446">Common_InputFunctions.Utility_DisplayArrayInTable(Scope3_SourceData.Scope3_Livestock_Data(), Table_SourceData_Scope3_Animals[[#Headers],[Category]], 0, 2)</f>
        <v>at market</v>
      </c>
      <c r="M446" s="1"/>
    </row>
    <row r="447" spans="4:13" x14ac:dyDescent="0.25" ht="20" customHeight="1">
      <c r="D447" s="20" t="str" cm="1">
        <f t="array" ref="D447">Common_InputFunctions.Utility_DisplayArrayInTable(Scope3_SourceData.Scope3_Livestock_Data(), Table_SourceData_Scope3_Animals[[#Headers],[Category]], 0, 2)</f>
        <v>Beef cattle</v>
      </c>
      <c r="E447" s="20" t="str" cm="1">
        <f t="array" ref="E447">Common_InputFunctions.Utility_DisplayArrayInTable(Scope3_SourceData.Scope3_Livestock_Data(), Table_SourceData_Scope3_Animals[[#Headers],[Category]], 0, 2)</f>
        <v>Cattle, for manufacturing beef</v>
      </c>
      <c r="F447" s="20" t="str" cm="1">
        <f t="array" ref="F447">Common_InputFunctions.Utility_DisplayArrayInTable(Scope3_SourceData.Scope3_Livestock_Data(), Table_SourceData_Scope3_Animals[[#Headers],[Category]], 0, 2)</f>
        <v>SA</v>
      </c>
      <c r="G447" s="20" t="str" cm="1">
        <f t="array" ref="G447">Common_InputFunctions.Utility_DisplayArrayInTable(Scope3_SourceData.Scope3_Livestock_Data(), Table_SourceData_Scope3_Animals[[#Headers],[Category]], 0, 2)</f>
        <v>kg liveweight</v>
      </c>
      <c r="H447" s="20" cm="1">
        <f t="array" ref="H447">Common_InputFunctions.Utility_DisplayArrayInTable(Scope3_SourceData.Scope3_Livestock_Data(), Table_SourceData_Scope3_Animals[[#Headers],[Category]], 0, 2)</f>
        <v>7.63</v>
      </c>
      <c r="I447" s="20" t="str" cm="1">
        <f t="array" ref="I447">Common_InputFunctions.Utility_DisplayArrayInTable(Scope3_SourceData.Scope3_Livestock_Data(), Table_SourceData_Scope3_Animals[[#Headers],[Category]], 0, 2)</f>
        <v>at market</v>
      </c>
      <c r="M447" s="1"/>
    </row>
    <row r="448" spans="4:13" x14ac:dyDescent="0.25" ht="20" customHeight="1">
      <c r="D448" s="20" t="str" cm="1">
        <f t="array" ref="D448">Common_InputFunctions.Utility_DisplayArrayInTable(Scope3_SourceData.Scope3_Livestock_Data(), Table_SourceData_Scope3_Animals[[#Headers],[Category]], 0, 2)</f>
        <v>Beef cattle</v>
      </c>
      <c r="E448" s="20" t="str" cm="1">
        <f t="array" ref="E448">Common_InputFunctions.Utility_DisplayArrayInTable(Scope3_SourceData.Scope3_Livestock_Data(), Table_SourceData_Scope3_Animals[[#Headers],[Category]], 0, 2)</f>
        <v>Cattle, for manufacturing beef</v>
      </c>
      <c r="F448" s="20" t="str" cm="1">
        <f t="array" ref="F448">Common_InputFunctions.Utility_DisplayArrayInTable(Scope3_SourceData.Scope3_Livestock_Data(), Table_SourceData_Scope3_Animals[[#Headers],[Category]], 0, 2)</f>
        <v>TAS</v>
      </c>
      <c r="G448" s="20" t="str" cm="1">
        <f t="array" ref="G448">Common_InputFunctions.Utility_DisplayArrayInTable(Scope3_SourceData.Scope3_Livestock_Data(), Table_SourceData_Scope3_Animals[[#Headers],[Category]], 0, 2)</f>
        <v>kg liveweight</v>
      </c>
      <c r="H448" s="20" cm="1">
        <f t="array" ref="H448">Common_InputFunctions.Utility_DisplayArrayInTable(Scope3_SourceData.Scope3_Livestock_Data(), Table_SourceData_Scope3_Animals[[#Headers],[Category]], 0, 2)</f>
        <v>8.75</v>
      </c>
      <c r="I448" s="20" t="str" cm="1">
        <f t="array" ref="I448">Common_InputFunctions.Utility_DisplayArrayInTable(Scope3_SourceData.Scope3_Livestock_Data(), Table_SourceData_Scope3_Animals[[#Headers],[Category]], 0, 2)</f>
        <v>at market</v>
      </c>
      <c r="M448" s="1"/>
    </row>
    <row r="449" spans="4:13" x14ac:dyDescent="0.25" ht="20" customHeight="1">
      <c r="D449" s="20" t="str" cm="1">
        <f t="array" ref="D449">Common_InputFunctions.Utility_DisplayArrayInTable(Scope3_SourceData.Scope3_Livestock_Data(), Table_SourceData_Scope3_Animals[[#Headers],[Category]], 0, 2)</f>
        <v>Beef cattle</v>
      </c>
      <c r="E449" s="20" t="str" cm="1">
        <f t="array" ref="E449">Common_InputFunctions.Utility_DisplayArrayInTable(Scope3_SourceData.Scope3_Livestock_Data(), Table_SourceData_Scope3_Animals[[#Headers],[Category]], 0, 2)</f>
        <v>Cattle, for manufacturing beef</v>
      </c>
      <c r="F449" s="20" t="str" cm="1">
        <f t="array" ref="F449">Common_InputFunctions.Utility_DisplayArrayInTable(Scope3_SourceData.Scope3_Livestock_Data(), Table_SourceData_Scope3_Animals[[#Headers],[Category]], 0, 2)</f>
        <v>VIC</v>
      </c>
      <c r="G449" s="20" t="str" cm="1">
        <f t="array" ref="G449">Common_InputFunctions.Utility_DisplayArrayInTable(Scope3_SourceData.Scope3_Livestock_Data(), Table_SourceData_Scope3_Animals[[#Headers],[Category]], 0, 2)</f>
        <v>kg liveweight</v>
      </c>
      <c r="H449" s="20" cm="1">
        <f t="array" ref="H449">Common_InputFunctions.Utility_DisplayArrayInTable(Scope3_SourceData.Scope3_Livestock_Data(), Table_SourceData_Scope3_Animals[[#Headers],[Category]], 0, 2)</f>
        <v>8.17</v>
      </c>
      <c r="I449" s="20" t="str" cm="1">
        <f t="array" ref="I449">Common_InputFunctions.Utility_DisplayArrayInTable(Scope3_SourceData.Scope3_Livestock_Data(), Table_SourceData_Scope3_Animals[[#Headers],[Category]], 0, 2)</f>
        <v>at market</v>
      </c>
      <c r="M449" s="1"/>
    </row>
    <row r="450" spans="4:13" x14ac:dyDescent="0.25" ht="20" customHeight="1">
      <c r="D450" s="20" t="str" cm="1">
        <f t="array" ref="D450">Common_InputFunctions.Utility_DisplayArrayInTable(Scope3_SourceData.Scope3_Livestock_Data(), Table_SourceData_Scope3_Animals[[#Headers],[Category]], 0, 2)</f>
        <v>Beef cattle</v>
      </c>
      <c r="E450" s="20" t="str" cm="1">
        <f t="array" ref="E450">Common_InputFunctions.Utility_DisplayArrayInTable(Scope3_SourceData.Scope3_Livestock_Data(), Table_SourceData_Scope3_Animals[[#Headers],[Category]], 0, 2)</f>
        <v>Cattle, for manufacturing beef</v>
      </c>
      <c r="F450" s="20" t="str" cm="1">
        <f t="array" ref="F450">Common_InputFunctions.Utility_DisplayArrayInTable(Scope3_SourceData.Scope3_Livestock_Data(), Table_SourceData_Scope3_Animals[[#Headers],[Category]], 0, 2)</f>
        <v>WA</v>
      </c>
      <c r="G450" s="20" t="str" cm="1">
        <f t="array" ref="G450">Common_InputFunctions.Utility_DisplayArrayInTable(Scope3_SourceData.Scope3_Livestock_Data(), Table_SourceData_Scope3_Animals[[#Headers],[Category]], 0, 2)</f>
        <v>kg liveweight</v>
      </c>
      <c r="H450" s="20" cm="1">
        <f t="array" ref="H450">Common_InputFunctions.Utility_DisplayArrayInTable(Scope3_SourceData.Scope3_Livestock_Data(), Table_SourceData_Scope3_Animals[[#Headers],[Category]], 0, 2)</f>
        <v>13.1</v>
      </c>
      <c r="I450" s="20" t="str" cm="1">
        <f t="array" ref="I450">Common_InputFunctions.Utility_DisplayArrayInTable(Scope3_SourceData.Scope3_Livestock_Data(), Table_SourceData_Scope3_Animals[[#Headers],[Category]], 0, 2)</f>
        <v>at market</v>
      </c>
      <c r="M450" s="1"/>
    </row>
    <row r="451" spans="4:13" x14ac:dyDescent="0.25" ht="20" customHeight="1">
      <c r="D451" s="20" t="str" cm="1">
        <f t="array" ref="D451">Common_InputFunctions.Utility_DisplayArrayInTable(Scope3_SourceData.Scope3_Livestock_Data(), Table_SourceData_Scope3_Animals[[#Headers],[Category]], 0, 2)</f>
        <v>Beef cattle</v>
      </c>
      <c r="E451" s="20" t="str" cm="1">
        <f t="array" ref="E451">Common_InputFunctions.Utility_DisplayArrayInTable(Scope3_SourceData.Scope3_Livestock_Data(), Table_SourceData_Scope3_Animals[[#Headers],[Category]], 0, 2)</f>
        <v>Cattle, for prime beef</v>
      </c>
      <c r="F451" s="20" t="str" cm="1">
        <f t="array" ref="F451">Common_InputFunctions.Utility_DisplayArrayInTable(Scope3_SourceData.Scope3_Livestock_Data(), Table_SourceData_Scope3_Animals[[#Headers],[Category]], 0, 2)</f>
        <v>Australia</v>
      </c>
      <c r="G451" s="20" t="str" cm="1">
        <f t="array" ref="G451">Common_InputFunctions.Utility_DisplayArrayInTable(Scope3_SourceData.Scope3_Livestock_Data(), Table_SourceData_Scope3_Animals[[#Headers],[Category]], 0, 2)</f>
        <v>kg liveweight</v>
      </c>
      <c r="H451" s="20" cm="1">
        <f t="array" ref="H451">Common_InputFunctions.Utility_DisplayArrayInTable(Scope3_SourceData.Scope3_Livestock_Data(), Table_SourceData_Scope3_Animals[[#Headers],[Category]], 0, 2)</f>
        <v>14.5</v>
      </c>
      <c r="I451" s="20" t="str" cm="1">
        <f t="array" ref="I451">Common_InputFunctions.Utility_DisplayArrayInTable(Scope3_SourceData.Scope3_Livestock_Data(), Table_SourceData_Scope3_Animals[[#Headers],[Category]], 0, 2)</f>
        <v>at market</v>
      </c>
      <c r="M451" s="1"/>
    </row>
    <row r="452" spans="4:13" x14ac:dyDescent="0.25" ht="20" customHeight="1">
      <c r="D452" s="20" t="str" cm="1">
        <f t="array" ref="D452">Common_InputFunctions.Utility_DisplayArrayInTable(Scope3_SourceData.Scope3_Livestock_Data(), Table_SourceData_Scope3_Animals[[#Headers],[Category]], 0, 2)</f>
        <v>Beef cattle</v>
      </c>
      <c r="E452" s="20" t="str" cm="1">
        <f t="array" ref="E452">Common_InputFunctions.Utility_DisplayArrayInTable(Scope3_SourceData.Scope3_Livestock_Data(), Table_SourceData_Scope3_Animals[[#Headers],[Category]], 0, 2)</f>
        <v>Cattle, for prime beef</v>
      </c>
      <c r="F452" s="20" t="str" cm="1">
        <f t="array" ref="F452">Common_InputFunctions.Utility_DisplayArrayInTable(Scope3_SourceData.Scope3_Livestock_Data(), Table_SourceData_Scope3_Animals[[#Headers],[Category]], 0, 2)</f>
        <v>NSW</v>
      </c>
      <c r="G452" s="20" t="str" cm="1">
        <f t="array" ref="G452">Common_InputFunctions.Utility_DisplayArrayInTable(Scope3_SourceData.Scope3_Livestock_Data(), Table_SourceData_Scope3_Animals[[#Headers],[Category]], 0, 2)</f>
        <v>kg liveweight</v>
      </c>
      <c r="H452" s="20" cm="1">
        <f t="array" ref="H452">Common_InputFunctions.Utility_DisplayArrayInTable(Scope3_SourceData.Scope3_Livestock_Data(), Table_SourceData_Scope3_Animals[[#Headers],[Category]], 0, 2)</f>
        <v>11.3</v>
      </c>
      <c r="I452" s="20" t="str" cm="1">
        <f t="array" ref="I452">Common_InputFunctions.Utility_DisplayArrayInTable(Scope3_SourceData.Scope3_Livestock_Data(), Table_SourceData_Scope3_Animals[[#Headers],[Category]], 0, 2)</f>
        <v>at market</v>
      </c>
      <c r="M452" s="1"/>
    </row>
    <row r="453" spans="4:13" x14ac:dyDescent="0.25" ht="20" customHeight="1">
      <c r="D453" s="20" t="str" cm="1">
        <f t="array" ref="D453">Common_InputFunctions.Utility_DisplayArrayInTable(Scope3_SourceData.Scope3_Livestock_Data(), Table_SourceData_Scope3_Animals[[#Headers],[Category]], 0, 2)</f>
        <v>Beef cattle</v>
      </c>
      <c r="E453" s="20" t="str" cm="1">
        <f t="array" ref="E453">Common_InputFunctions.Utility_DisplayArrayInTable(Scope3_SourceData.Scope3_Livestock_Data(), Table_SourceData_Scope3_Animals[[#Headers],[Category]], 0, 2)</f>
        <v>Cattle, for prime beef</v>
      </c>
      <c r="F453" s="20" t="str" cm="1">
        <f t="array" ref="F453">Common_InputFunctions.Utility_DisplayArrayInTable(Scope3_SourceData.Scope3_Livestock_Data(), Table_SourceData_Scope3_Animals[[#Headers],[Category]], 0, 2)</f>
        <v>NT</v>
      </c>
      <c r="G453" s="20" t="str" cm="1">
        <f t="array" ref="G453">Common_InputFunctions.Utility_DisplayArrayInTable(Scope3_SourceData.Scope3_Livestock_Data(), Table_SourceData_Scope3_Animals[[#Headers],[Category]], 0, 2)</f>
        <v>kg liveweight</v>
      </c>
      <c r="H453" s="20" cm="1">
        <f t="array" ref="H453">Common_InputFunctions.Utility_DisplayArrayInTable(Scope3_SourceData.Scope3_Livestock_Data(), Table_SourceData_Scope3_Animals[[#Headers],[Category]], 0, 2)</f>
        <v>18.899999999999999</v>
      </c>
      <c r="I453" s="20" t="str" cm="1">
        <f t="array" ref="I453">Common_InputFunctions.Utility_DisplayArrayInTable(Scope3_SourceData.Scope3_Livestock_Data(), Table_SourceData_Scope3_Animals[[#Headers],[Category]], 0, 2)</f>
        <v>at market</v>
      </c>
      <c r="M453" s="1"/>
    </row>
    <row r="454" spans="4:13" x14ac:dyDescent="0.25" ht="20" customHeight="1">
      <c r="D454" s="20" t="str" cm="1">
        <f t="array" ref="D454">Common_InputFunctions.Utility_DisplayArrayInTable(Scope3_SourceData.Scope3_Livestock_Data(), Table_SourceData_Scope3_Animals[[#Headers],[Category]], 0, 2)</f>
        <v>Beef cattle</v>
      </c>
      <c r="E454" s="20" t="str" cm="1">
        <f t="array" ref="E454">Common_InputFunctions.Utility_DisplayArrayInTable(Scope3_SourceData.Scope3_Livestock_Data(), Table_SourceData_Scope3_Animals[[#Headers],[Category]], 0, 2)</f>
        <v>Cattle, for prime beef</v>
      </c>
      <c r="F454" s="20" t="str" cm="1">
        <f t="array" ref="F454">Common_InputFunctions.Utility_DisplayArrayInTable(Scope3_SourceData.Scope3_Livestock_Data(), Table_SourceData_Scope3_Animals[[#Headers],[Category]], 0, 2)</f>
        <v>QLD</v>
      </c>
      <c r="G454" s="20" t="str" cm="1">
        <f t="array" ref="G454">Common_InputFunctions.Utility_DisplayArrayInTable(Scope3_SourceData.Scope3_Livestock_Data(), Table_SourceData_Scope3_Animals[[#Headers],[Category]], 0, 2)</f>
        <v>kg liveweight</v>
      </c>
      <c r="H454" s="20" cm="1">
        <f t="array" ref="H454">Common_InputFunctions.Utility_DisplayArrayInTable(Scope3_SourceData.Scope3_Livestock_Data(), Table_SourceData_Scope3_Animals[[#Headers],[Category]], 0, 2)</f>
        <v>13.9</v>
      </c>
      <c r="I454" s="20" t="str" cm="1">
        <f t="array" ref="I454">Common_InputFunctions.Utility_DisplayArrayInTable(Scope3_SourceData.Scope3_Livestock_Data(), Table_SourceData_Scope3_Animals[[#Headers],[Category]], 0, 2)</f>
        <v>at market</v>
      </c>
      <c r="M454" s="1"/>
    </row>
    <row r="455" spans="4:13" x14ac:dyDescent="0.25" ht="20" customHeight="1">
      <c r="D455" s="20" t="str" cm="1">
        <f t="array" ref="D455">Common_InputFunctions.Utility_DisplayArrayInTable(Scope3_SourceData.Scope3_Livestock_Data(), Table_SourceData_Scope3_Animals[[#Headers],[Category]], 0, 2)</f>
        <v>Beef cattle</v>
      </c>
      <c r="E455" s="20" t="str" cm="1">
        <f t="array" ref="E455">Common_InputFunctions.Utility_DisplayArrayInTable(Scope3_SourceData.Scope3_Livestock_Data(), Table_SourceData_Scope3_Animals[[#Headers],[Category]], 0, 2)</f>
        <v>Cattle, for prime beef</v>
      </c>
      <c r="F455" s="20" t="str" cm="1">
        <f t="array" ref="F455">Common_InputFunctions.Utility_DisplayArrayInTable(Scope3_SourceData.Scope3_Livestock_Data(), Table_SourceData_Scope3_Animals[[#Headers],[Category]], 0, 2)</f>
        <v>SA</v>
      </c>
      <c r="G455" s="20" t="str" cm="1">
        <f t="array" ref="G455">Common_InputFunctions.Utility_DisplayArrayInTable(Scope3_SourceData.Scope3_Livestock_Data(), Table_SourceData_Scope3_Animals[[#Headers],[Category]], 0, 2)</f>
        <v>kg liveweight</v>
      </c>
      <c r="H455" s="20" cm="1">
        <f t="array" ref="H455">Common_InputFunctions.Utility_DisplayArrayInTable(Scope3_SourceData.Scope3_Livestock_Data(), Table_SourceData_Scope3_Animals[[#Headers],[Category]], 0, 2)</f>
        <v>12.3</v>
      </c>
      <c r="I455" s="20" t="str" cm="1">
        <f t="array" ref="I455">Common_InputFunctions.Utility_DisplayArrayInTable(Scope3_SourceData.Scope3_Livestock_Data(), Table_SourceData_Scope3_Animals[[#Headers],[Category]], 0, 2)</f>
        <v>at market</v>
      </c>
    </row>
    <row r="456" spans="4:13" x14ac:dyDescent="0.25" ht="20" customHeight="1">
      <c r="D456" s="20" t="str" cm="1">
        <f t="array" ref="D456">Common_InputFunctions.Utility_DisplayArrayInTable(Scope3_SourceData.Scope3_Livestock_Data(), Table_SourceData_Scope3_Animals[[#Headers],[Category]], 0, 2)</f>
        <v>Beef cattle</v>
      </c>
      <c r="E456" s="20" t="str" cm="1">
        <f t="array" ref="E456">Common_InputFunctions.Utility_DisplayArrayInTable(Scope3_SourceData.Scope3_Livestock_Data(), Table_SourceData_Scope3_Animals[[#Headers],[Category]], 0, 2)</f>
        <v>Cattle, for prime beef</v>
      </c>
      <c r="F456" s="20" t="str" cm="1">
        <f t="array" ref="F456">Common_InputFunctions.Utility_DisplayArrayInTable(Scope3_SourceData.Scope3_Livestock_Data(), Table_SourceData_Scope3_Animals[[#Headers],[Category]], 0, 2)</f>
        <v>TAS</v>
      </c>
      <c r="G456" s="20" t="str" cm="1">
        <f t="array" ref="G456">Common_InputFunctions.Utility_DisplayArrayInTable(Scope3_SourceData.Scope3_Livestock_Data(), Table_SourceData_Scope3_Animals[[#Headers],[Category]], 0, 2)</f>
        <v>kg liveweight</v>
      </c>
      <c r="H456" s="20" cm="1">
        <f t="array" ref="H456">Common_InputFunctions.Utility_DisplayArrayInTable(Scope3_SourceData.Scope3_Livestock_Data(), Table_SourceData_Scope3_Animals[[#Headers],[Category]], 0, 2)</f>
        <v>11.5</v>
      </c>
      <c r="I456" s="20" t="str" cm="1">
        <f t="array" ref="I456">Common_InputFunctions.Utility_DisplayArrayInTable(Scope3_SourceData.Scope3_Livestock_Data(), Table_SourceData_Scope3_Animals[[#Headers],[Category]], 0, 2)</f>
        <v>at market</v>
      </c>
    </row>
    <row r="457" spans="4:13" x14ac:dyDescent="0.25" ht="20" customHeight="1">
      <c r="D457" s="20" t="str" cm="1">
        <f t="array" ref="D457">Common_InputFunctions.Utility_DisplayArrayInTable(Scope3_SourceData.Scope3_Livestock_Data(), Table_SourceData_Scope3_Animals[[#Headers],[Category]], 0, 2)</f>
        <v>Beef cattle</v>
      </c>
      <c r="E457" s="20" t="str" cm="1">
        <f t="array" ref="E457">Common_InputFunctions.Utility_DisplayArrayInTable(Scope3_SourceData.Scope3_Livestock_Data(), Table_SourceData_Scope3_Animals[[#Headers],[Category]], 0, 2)</f>
        <v>Cattle, for prime beef</v>
      </c>
      <c r="F457" s="20" t="str" cm="1">
        <f t="array" ref="F457">Common_InputFunctions.Utility_DisplayArrayInTable(Scope3_SourceData.Scope3_Livestock_Data(), Table_SourceData_Scope3_Animals[[#Headers],[Category]], 0, 2)</f>
        <v>VIC</v>
      </c>
      <c r="G457" s="20" t="str" cm="1">
        <f t="array" ref="G457">Common_InputFunctions.Utility_DisplayArrayInTable(Scope3_SourceData.Scope3_Livestock_Data(), Table_SourceData_Scope3_Animals[[#Headers],[Category]], 0, 2)</f>
        <v>kg liveweight</v>
      </c>
      <c r="H457" s="20" cm="1">
        <f t="array" ref="H457">Common_InputFunctions.Utility_DisplayArrayInTable(Scope3_SourceData.Scope3_Livestock_Data(), Table_SourceData_Scope3_Animals[[#Headers],[Category]], 0, 2)</f>
        <v>11.5</v>
      </c>
      <c r="I457" s="20" t="str" cm="1">
        <f t="array" ref="I457">Common_InputFunctions.Utility_DisplayArrayInTable(Scope3_SourceData.Scope3_Livestock_Data(), Table_SourceData_Scope3_Animals[[#Headers],[Category]], 0, 2)</f>
        <v>at market</v>
      </c>
    </row>
    <row r="458" spans="4:13" x14ac:dyDescent="0.25" ht="20" customHeight="1">
      <c r="D458" s="20" t="str" cm="1">
        <f t="array" ref="D458">Common_InputFunctions.Utility_DisplayArrayInTable(Scope3_SourceData.Scope3_Livestock_Data(), Table_SourceData_Scope3_Animals[[#Headers],[Category]], 0, 2)</f>
        <v>Beef cattle</v>
      </c>
      <c r="E458" s="20" t="str" cm="1">
        <f t="array" ref="E458">Common_InputFunctions.Utility_DisplayArrayInTable(Scope3_SourceData.Scope3_Livestock_Data(), Table_SourceData_Scope3_Animals[[#Headers],[Category]], 0, 2)</f>
        <v>Cattle, for prime beef</v>
      </c>
      <c r="F458" s="20" t="str" cm="1">
        <f t="array" ref="F458">Common_InputFunctions.Utility_DisplayArrayInTable(Scope3_SourceData.Scope3_Livestock_Data(), Table_SourceData_Scope3_Animals[[#Headers],[Category]], 0, 2)</f>
        <v>WA</v>
      </c>
      <c r="G458" s="20" t="str" cm="1">
        <f t="array" ref="G458">Common_InputFunctions.Utility_DisplayArrayInTable(Scope3_SourceData.Scope3_Livestock_Data(), Table_SourceData_Scope3_Animals[[#Headers],[Category]], 0, 2)</f>
        <v>kg liveweight</v>
      </c>
      <c r="H458" s="20" cm="1">
        <f t="array" ref="H458">Common_InputFunctions.Utility_DisplayArrayInTable(Scope3_SourceData.Scope3_Livestock_Data(), Table_SourceData_Scope3_Animals[[#Headers],[Category]], 0, 2)</f>
        <v>20.8</v>
      </c>
      <c r="I458" s="20" t="str" cm="1">
        <f t="array" ref="I458">Common_InputFunctions.Utility_DisplayArrayInTable(Scope3_SourceData.Scope3_Livestock_Data(), Table_SourceData_Scope3_Animals[[#Headers],[Category]], 0, 2)</f>
        <v>at market</v>
      </c>
    </row>
    <row r="459" spans="4:13" x14ac:dyDescent="0.25" ht="20" customHeight="1">
      <c r="D459" s="20" t="str" cm="1">
        <f t="array" ref="D459">Common_InputFunctions.Utility_DisplayArrayInTable(Scope3_SourceData.Scope3_Livestock_Data(), Table_SourceData_Scope3_Animals[[#Headers],[Category]], 0, 2)</f>
        <v>Beef cattle</v>
      </c>
      <c r="E459" s="20" t="str" cm="1">
        <f t="array" ref="E459">Common_InputFunctions.Utility_DisplayArrayInTable(Scope3_SourceData.Scope3_Livestock_Data(), Table_SourceData_Scope3_Animals[[#Headers],[Category]], 0, 2)</f>
        <v>Cattle, weaners</v>
      </c>
      <c r="F459" s="20" t="str" cm="1">
        <f t="array" ref="F459">Common_InputFunctions.Utility_DisplayArrayInTable(Scope3_SourceData.Scope3_Livestock_Data(), Table_SourceData_Scope3_Animals[[#Headers],[Category]], 0, 2)</f>
        <v>Australia</v>
      </c>
      <c r="G459" s="20" t="str" cm="1">
        <f t="array" ref="G459">Common_InputFunctions.Utility_DisplayArrayInTable(Scope3_SourceData.Scope3_Livestock_Data(), Table_SourceData_Scope3_Animals[[#Headers],[Category]], 0, 2)</f>
        <v>kg liveweight</v>
      </c>
      <c r="H459" s="20" cm="1">
        <f t="array" ref="H459">Common_InputFunctions.Utility_DisplayArrayInTable(Scope3_SourceData.Scope3_Livestock_Data(), Table_SourceData_Scope3_Animals[[#Headers],[Category]], 0, 2)</f>
        <v>15.5</v>
      </c>
      <c r="I459" s="20" t="str" cm="1">
        <f t="array" ref="I459">Common_InputFunctions.Utility_DisplayArrayInTable(Scope3_SourceData.Scope3_Livestock_Data(), Table_SourceData_Scope3_Animals[[#Headers],[Category]], 0, 2)</f>
        <v>at market</v>
      </c>
    </row>
    <row r="460" spans="4:13" x14ac:dyDescent="0.25" ht="20" customHeight="1">
      <c r="D460" s="20" t="str" cm="1">
        <f t="array" ref="D460">Common_InputFunctions.Utility_DisplayArrayInTable(Scope3_SourceData.Scope3_Livestock_Data(), Table_SourceData_Scope3_Animals[[#Headers],[Category]], 0, 2)</f>
        <v>Beef cattle</v>
      </c>
      <c r="E460" s="20" t="str" cm="1">
        <f t="array" ref="E460">Common_InputFunctions.Utility_DisplayArrayInTable(Scope3_SourceData.Scope3_Livestock_Data(), Table_SourceData_Scope3_Animals[[#Headers],[Category]], 0, 2)</f>
        <v>Cattle, weaners</v>
      </c>
      <c r="F460" s="20" t="str" cm="1">
        <f t="array" ref="F460">Common_InputFunctions.Utility_DisplayArrayInTable(Scope3_SourceData.Scope3_Livestock_Data(), Table_SourceData_Scope3_Animals[[#Headers],[Category]], 0, 2)</f>
        <v>NSW</v>
      </c>
      <c r="G460" s="20" t="str" cm="1">
        <f t="array" ref="G460">Common_InputFunctions.Utility_DisplayArrayInTable(Scope3_SourceData.Scope3_Livestock_Data(), Table_SourceData_Scope3_Animals[[#Headers],[Category]], 0, 2)</f>
        <v>kg liveweight</v>
      </c>
      <c r="H460" s="20" cm="1">
        <f t="array" ref="H460">Common_InputFunctions.Utility_DisplayArrayInTable(Scope3_SourceData.Scope3_Livestock_Data(), Table_SourceData_Scope3_Animals[[#Headers],[Category]], 0, 2)</f>
        <v>12.7</v>
      </c>
      <c r="I460" s="20" t="str" cm="1">
        <f t="array" ref="I460">Common_InputFunctions.Utility_DisplayArrayInTable(Scope3_SourceData.Scope3_Livestock_Data(), Table_SourceData_Scope3_Animals[[#Headers],[Category]], 0, 2)</f>
        <v>at market</v>
      </c>
    </row>
    <row r="461" spans="4:13" x14ac:dyDescent="0.25" ht="20" customHeight="1">
      <c r="D461" s="20" t="str" cm="1">
        <f t="array" ref="D461">Common_InputFunctions.Utility_DisplayArrayInTable(Scope3_SourceData.Scope3_Livestock_Data(), Table_SourceData_Scope3_Animals[[#Headers],[Category]], 0, 2)</f>
        <v>Beef cattle</v>
      </c>
      <c r="E461" s="20" t="str" cm="1">
        <f t="array" ref="E461">Common_InputFunctions.Utility_DisplayArrayInTable(Scope3_SourceData.Scope3_Livestock_Data(), Table_SourceData_Scope3_Animals[[#Headers],[Category]], 0, 2)</f>
        <v>Cattle, weaners</v>
      </c>
      <c r="F461" s="20" t="str" cm="1">
        <f t="array" ref="F461">Common_InputFunctions.Utility_DisplayArrayInTable(Scope3_SourceData.Scope3_Livestock_Data(), Table_SourceData_Scope3_Animals[[#Headers],[Category]], 0, 2)</f>
        <v>NT</v>
      </c>
      <c r="G461" s="20" t="str" cm="1">
        <f t="array" ref="G461">Common_InputFunctions.Utility_DisplayArrayInTable(Scope3_SourceData.Scope3_Livestock_Data(), Table_SourceData_Scope3_Animals[[#Headers],[Category]], 0, 2)</f>
        <v>kg liveweight</v>
      </c>
      <c r="H461" s="20" cm="1">
        <f t="array" ref="H461">Common_InputFunctions.Utility_DisplayArrayInTable(Scope3_SourceData.Scope3_Livestock_Data(), Table_SourceData_Scope3_Animals[[#Headers],[Category]], 0, 2)</f>
        <v>19.100000000000001</v>
      </c>
      <c r="I461" s="20" t="str" cm="1">
        <f t="array" ref="I461">Common_InputFunctions.Utility_DisplayArrayInTable(Scope3_SourceData.Scope3_Livestock_Data(), Table_SourceData_Scope3_Animals[[#Headers],[Category]], 0, 2)</f>
        <v>at market</v>
      </c>
    </row>
    <row r="462" spans="4:13" x14ac:dyDescent="0.25" ht="20" customHeight="1">
      <c r="D462" s="20" t="str" cm="1">
        <f t="array" ref="D462">Common_InputFunctions.Utility_DisplayArrayInTable(Scope3_SourceData.Scope3_Livestock_Data(), Table_SourceData_Scope3_Animals[[#Headers],[Category]], 0, 2)</f>
        <v>Beef cattle</v>
      </c>
      <c r="E462" s="20" t="str" cm="1">
        <f t="array" ref="E462">Common_InputFunctions.Utility_DisplayArrayInTable(Scope3_SourceData.Scope3_Livestock_Data(), Table_SourceData_Scope3_Animals[[#Headers],[Category]], 0, 2)</f>
        <v>Cattle, weaners</v>
      </c>
      <c r="F462" s="20" t="str" cm="1">
        <f t="array" ref="F462">Common_InputFunctions.Utility_DisplayArrayInTable(Scope3_SourceData.Scope3_Livestock_Data(), Table_SourceData_Scope3_Animals[[#Headers],[Category]], 0, 2)</f>
        <v>QLD</v>
      </c>
      <c r="G462" s="20" t="str" cm="1">
        <f t="array" ref="G462">Common_InputFunctions.Utility_DisplayArrayInTable(Scope3_SourceData.Scope3_Livestock_Data(), Table_SourceData_Scope3_Animals[[#Headers],[Category]], 0, 2)</f>
        <v>kg liveweight</v>
      </c>
      <c r="H462" s="20" cm="1">
        <f t="array" ref="H462">Common_InputFunctions.Utility_DisplayArrayInTable(Scope3_SourceData.Scope3_Livestock_Data(), Table_SourceData_Scope3_Animals[[#Headers],[Category]], 0, 2)</f>
        <v>20.5</v>
      </c>
      <c r="I462" s="20" t="str" cm="1">
        <f t="array" ref="I462">Common_InputFunctions.Utility_DisplayArrayInTable(Scope3_SourceData.Scope3_Livestock_Data(), Table_SourceData_Scope3_Animals[[#Headers],[Category]], 0, 2)</f>
        <v>at market</v>
      </c>
    </row>
    <row r="463" spans="4:13" x14ac:dyDescent="0.25" ht="20" customHeight="1">
      <c r="D463" s="20" t="str" cm="1">
        <f t="array" ref="D463">Common_InputFunctions.Utility_DisplayArrayInTable(Scope3_SourceData.Scope3_Livestock_Data(), Table_SourceData_Scope3_Animals[[#Headers],[Category]], 0, 2)</f>
        <v>Beef cattle</v>
      </c>
      <c r="E463" s="20" t="str" cm="1">
        <f t="array" ref="E463">Common_InputFunctions.Utility_DisplayArrayInTable(Scope3_SourceData.Scope3_Livestock_Data(), Table_SourceData_Scope3_Animals[[#Headers],[Category]], 0, 2)</f>
        <v>Cattle, weaners</v>
      </c>
      <c r="F463" s="20" t="str" cm="1">
        <f t="array" ref="F463">Common_InputFunctions.Utility_DisplayArrayInTable(Scope3_SourceData.Scope3_Livestock_Data(), Table_SourceData_Scope3_Animals[[#Headers],[Category]], 0, 2)</f>
        <v>SA</v>
      </c>
      <c r="G463" s="20" t="str" cm="1">
        <f t="array" ref="G463">Common_InputFunctions.Utility_DisplayArrayInTable(Scope3_SourceData.Scope3_Livestock_Data(), Table_SourceData_Scope3_Animals[[#Headers],[Category]], 0, 2)</f>
        <v>kg liveweight</v>
      </c>
      <c r="H463" s="20" cm="1">
        <f t="array" ref="H463">Common_InputFunctions.Utility_DisplayArrayInTable(Scope3_SourceData.Scope3_Livestock_Data(), Table_SourceData_Scope3_Animals[[#Headers],[Category]], 0, 2)</f>
        <v>10.8</v>
      </c>
      <c r="I463" s="20" t="str" cm="1">
        <f t="array" ref="I463">Common_InputFunctions.Utility_DisplayArrayInTable(Scope3_SourceData.Scope3_Livestock_Data(), Table_SourceData_Scope3_Animals[[#Headers],[Category]], 0, 2)</f>
        <v>at market</v>
      </c>
    </row>
    <row r="464" spans="4:13" x14ac:dyDescent="0.25" ht="20" customHeight="1">
      <c r="D464" s="20" t="str" cm="1">
        <f t="array" ref="D464">Common_InputFunctions.Utility_DisplayArrayInTable(Scope3_SourceData.Scope3_Livestock_Data(), Table_SourceData_Scope3_Animals[[#Headers],[Category]], 0, 2)</f>
        <v>Beef cattle</v>
      </c>
      <c r="E464" s="20" t="str" cm="1">
        <f t="array" ref="E464">Common_InputFunctions.Utility_DisplayArrayInTable(Scope3_SourceData.Scope3_Livestock_Data(), Table_SourceData_Scope3_Animals[[#Headers],[Category]], 0, 2)</f>
        <v>Cattle, weaners</v>
      </c>
      <c r="F464" s="20" t="str" cm="1">
        <f t="array" ref="F464">Common_InputFunctions.Utility_DisplayArrayInTable(Scope3_SourceData.Scope3_Livestock_Data(), Table_SourceData_Scope3_Animals[[#Headers],[Category]], 0, 2)</f>
        <v>TAS</v>
      </c>
      <c r="G464" s="20" t="str" cm="1">
        <f t="array" ref="G464">Common_InputFunctions.Utility_DisplayArrayInTable(Scope3_SourceData.Scope3_Livestock_Data(), Table_SourceData_Scope3_Animals[[#Headers],[Category]], 0, 2)</f>
        <v>kg liveweight</v>
      </c>
      <c r="H464" s="20" cm="1">
        <f t="array" ref="H464">Common_InputFunctions.Utility_DisplayArrayInTable(Scope3_SourceData.Scope3_Livestock_Data(), Table_SourceData_Scope3_Animals[[#Headers],[Category]], 0, 2)</f>
        <v>13.4</v>
      </c>
      <c r="I464" s="20" t="str" cm="1">
        <f t="array" ref="I464">Common_InputFunctions.Utility_DisplayArrayInTable(Scope3_SourceData.Scope3_Livestock_Data(), Table_SourceData_Scope3_Animals[[#Headers],[Category]], 0, 2)</f>
        <v>at market</v>
      </c>
    </row>
    <row r="465" spans="4:9" x14ac:dyDescent="0.25" ht="20" customHeight="1">
      <c r="D465" s="20" t="str" cm="1">
        <f t="array" ref="D465">Common_InputFunctions.Utility_DisplayArrayInTable(Scope3_SourceData.Scope3_Livestock_Data(), Table_SourceData_Scope3_Animals[[#Headers],[Category]], 0, 2)</f>
        <v>Beef cattle</v>
      </c>
      <c r="E465" s="20" t="str" cm="1">
        <f t="array" ref="E465">Common_InputFunctions.Utility_DisplayArrayInTable(Scope3_SourceData.Scope3_Livestock_Data(), Table_SourceData_Scope3_Animals[[#Headers],[Category]], 0, 2)</f>
        <v>Cattle, weaners</v>
      </c>
      <c r="F465" s="20" t="str" cm="1">
        <f t="array" ref="F465">Common_InputFunctions.Utility_DisplayArrayInTable(Scope3_SourceData.Scope3_Livestock_Data(), Table_SourceData_Scope3_Animals[[#Headers],[Category]], 0, 2)</f>
        <v>VIC</v>
      </c>
      <c r="G465" s="20" t="str" cm="1">
        <f t="array" ref="G465">Common_InputFunctions.Utility_DisplayArrayInTable(Scope3_SourceData.Scope3_Livestock_Data(), Table_SourceData_Scope3_Animals[[#Headers],[Category]], 0, 2)</f>
        <v>kg liveweight</v>
      </c>
      <c r="H465" s="20" cm="1">
        <f t="array" ref="H465">Common_InputFunctions.Utility_DisplayArrayInTable(Scope3_SourceData.Scope3_Livestock_Data(), Table_SourceData_Scope3_Animals[[#Headers],[Category]], 0, 2)</f>
        <v>12</v>
      </c>
      <c r="I465" s="20" t="str" cm="1">
        <f t="array" ref="I465">Common_InputFunctions.Utility_DisplayArrayInTable(Scope3_SourceData.Scope3_Livestock_Data(), Table_SourceData_Scope3_Animals[[#Headers],[Category]], 0, 2)</f>
        <v>at market</v>
      </c>
    </row>
    <row r="466" spans="4:9" x14ac:dyDescent="0.25" ht="20" customHeight="1">
      <c r="D466" s="20" t="str" cm="1">
        <f t="array" ref="D466">Common_InputFunctions.Utility_DisplayArrayInTable(Scope3_SourceData.Scope3_Livestock_Data(), Table_SourceData_Scope3_Animals[[#Headers],[Category]], 0, 2)</f>
        <v>Beef cattle</v>
      </c>
      <c r="E466" s="20" t="str" cm="1">
        <f t="array" ref="E466">Common_InputFunctions.Utility_DisplayArrayInTable(Scope3_SourceData.Scope3_Livestock_Data(), Table_SourceData_Scope3_Animals[[#Headers],[Category]], 0, 2)</f>
        <v>Cattle, weaners</v>
      </c>
      <c r="F466" s="20" t="str" cm="1">
        <f t="array" ref="F466">Common_InputFunctions.Utility_DisplayArrayInTable(Scope3_SourceData.Scope3_Livestock_Data(), Table_SourceData_Scope3_Animals[[#Headers],[Category]], 0, 2)</f>
        <v>WA</v>
      </c>
      <c r="G466" s="20" t="str" cm="1">
        <f t="array" ref="G466">Common_InputFunctions.Utility_DisplayArrayInTable(Scope3_SourceData.Scope3_Livestock_Data(), Table_SourceData_Scope3_Animals[[#Headers],[Category]], 0, 2)</f>
        <v>kg liveweight</v>
      </c>
      <c r="H466" s="20" cm="1">
        <f t="array" ref="H466">Common_InputFunctions.Utility_DisplayArrayInTable(Scope3_SourceData.Scope3_Livestock_Data(), Table_SourceData_Scope3_Animals[[#Headers],[Category]], 0, 2)</f>
        <v>12.4</v>
      </c>
      <c r="I466" s="20" t="str" cm="1">
        <f t="array" ref="I466">Common_InputFunctions.Utility_DisplayArrayInTable(Scope3_SourceData.Scope3_Livestock_Data(), Table_SourceData_Scope3_Animals[[#Headers],[Category]], 0, 2)</f>
        <v>at market</v>
      </c>
    </row>
    <row r="467" spans="4:9" x14ac:dyDescent="0.25" ht="20" customHeight="1">
      <c r="D467" s="20" t="str" cm="1">
        <f t="array" ref="D467">Common_InputFunctions.Utility_DisplayArrayInTable(Scope3_SourceData.Scope3_Livestock_Data(), Table_SourceData_Scope3_Animals[[#Headers],[Category]], 0, 2)</f>
        <v>Chickens</v>
      </c>
      <c r="E467" s="20" t="str" cm="1">
        <f t="array" ref="E467">Common_InputFunctions.Utility_DisplayArrayInTable(Scope3_SourceData.Scope3_Livestock_Data(), Table_SourceData_Scope3_Animals[[#Headers],[Category]], 0, 2)</f>
        <v>Chickens</v>
      </c>
      <c r="F467" s="20" t="str" cm="1">
        <f t="array" ref="F467">Common_InputFunctions.Utility_DisplayArrayInTable(Scope3_SourceData.Scope3_Livestock_Data(), Table_SourceData_Scope3_Animals[[#Headers],[Category]], 0, 2)</f>
        <v>Australia</v>
      </c>
      <c r="G467" s="20" t="str" cm="1">
        <f t="array" ref="G467">Common_InputFunctions.Utility_DisplayArrayInTable(Scope3_SourceData.Scope3_Livestock_Data(), Table_SourceData_Scope3_Animals[[#Headers],[Category]], 0, 2)</f>
        <v>kg liveweight</v>
      </c>
      <c r="H467" s="20" cm="1">
        <f t="array" ref="H467">Common_InputFunctions.Utility_DisplayArrayInTable(Scope3_SourceData.Scope3_Livestock_Data(), Table_SourceData_Scope3_Animals[[#Headers],[Category]], 0, 2)</f>
        <v>1.36</v>
      </c>
      <c r="I467" s="20" t="str" cm="1">
        <f t="array" ref="I467">Common_InputFunctions.Utility_DisplayArrayInTable(Scope3_SourceData.Scope3_Livestock_Data(), Table_SourceData_Scope3_Animals[[#Headers],[Category]], 0, 2)</f>
        <v>at market</v>
      </c>
    </row>
    <row r="468" spans="4:9" x14ac:dyDescent="0.25" ht="20" customHeight="1">
      <c r="D468" s="20" t="str" cm="1">
        <f t="array" ref="D468">Common_InputFunctions.Utility_DisplayArrayInTable(Scope3_SourceData.Scope3_Livestock_Data(), Table_SourceData_Scope3_Animals[[#Headers],[Category]], 0, 2)</f>
        <v>Dairy cattle</v>
      </c>
      <c r="E468" s="20" t="str" cm="1">
        <f t="array" ref="E468">Common_InputFunctions.Utility_DisplayArrayInTable(Scope3_SourceData.Scope3_Livestock_Data(), Table_SourceData_Scope3_Animals[[#Headers],[Category]], 0, 2)</f>
        <v>Dairy cows</v>
      </c>
      <c r="F468" s="20" t="str" cm="1">
        <f t="array" ref="F468">Common_InputFunctions.Utility_DisplayArrayInTable(Scope3_SourceData.Scope3_Livestock_Data(), Table_SourceData_Scope3_Animals[[#Headers],[Category]], 0, 2)</f>
        <v>VIC</v>
      </c>
      <c r="G468" s="20" t="str" cm="1">
        <f t="array" ref="G468">Common_InputFunctions.Utility_DisplayArrayInTable(Scope3_SourceData.Scope3_Livestock_Data(), Table_SourceData_Scope3_Animals[[#Headers],[Category]], 0, 2)</f>
        <v>kg liveweight</v>
      </c>
      <c r="H468" s="20" cm="1">
        <f t="array" ref="H468">Common_InputFunctions.Utility_DisplayArrayInTable(Scope3_SourceData.Scope3_Livestock_Data(), Table_SourceData_Scope3_Animals[[#Headers],[Category]], 0, 2)</f>
        <v>4.41</v>
      </c>
      <c r="I468" s="20" t="str" cm="1">
        <f t="array" ref="I468">Common_InputFunctions.Utility_DisplayArrayInTable(Scope3_SourceData.Scope3_Livestock_Data(), Table_SourceData_Scope3_Animals[[#Headers],[Category]], 0, 2)</f>
        <v>at market</v>
      </c>
    </row>
    <row r="469" spans="4:9" x14ac:dyDescent="0.25" ht="20" customHeight="1">
      <c r="D469" s="20" t="str" cm="1">
        <f t="array" ref="D469">Common_InputFunctions.Utility_DisplayArrayInTable(Scope3_SourceData.Scope3_Livestock_Data(), Table_SourceData_Scope3_Animals[[#Headers],[Category]], 0, 2)</f>
        <v>Pigs</v>
      </c>
      <c r="E469" s="20" t="str" cm="1">
        <f t="array" ref="E469">Common_InputFunctions.Utility_DisplayArrayInTable(Scope3_SourceData.Scope3_Livestock_Data(), Table_SourceData_Scope3_Animals[[#Headers],[Category]], 0, 2)</f>
        <v>Pigs</v>
      </c>
      <c r="F469" s="20" t="str" cm="1">
        <f t="array" ref="F469">Common_InputFunctions.Utility_DisplayArrayInTable(Scope3_SourceData.Scope3_Livestock_Data(), Table_SourceData_Scope3_Animals[[#Headers],[Category]], 0, 2)</f>
        <v>Australia</v>
      </c>
      <c r="G469" s="20" t="str" cm="1">
        <f t="array" ref="G469">Common_InputFunctions.Utility_DisplayArrayInTable(Scope3_SourceData.Scope3_Livestock_Data(), Table_SourceData_Scope3_Animals[[#Headers],[Category]], 0, 2)</f>
        <v>kg liveweight</v>
      </c>
      <c r="H469" s="20" cm="1">
        <f t="array" ref="H469">Common_InputFunctions.Utility_DisplayArrayInTable(Scope3_SourceData.Scope3_Livestock_Data(), Table_SourceData_Scope3_Animals[[#Headers],[Category]], 0, 2)</f>
        <v>3.38</v>
      </c>
      <c r="I469" s="20" t="str" cm="1">
        <f t="array" ref="I469">Common_InputFunctions.Utility_DisplayArrayInTable(Scope3_SourceData.Scope3_Livestock_Data(), Table_SourceData_Scope3_Animals[[#Headers],[Category]], 0, 2)</f>
        <v>at market</v>
      </c>
    </row>
    <row r="470" spans="4:9" x14ac:dyDescent="0.25" ht="20" customHeight="1">
      <c r="D470" s="20" t="str" cm="1">
        <f t="array" ref="D470">Common_InputFunctions.Utility_DisplayArrayInTable(Scope3_SourceData.Scope3_Livestock_Data(), Table_SourceData_Scope3_Animals[[#Headers],[Category]], 0, 2)</f>
        <v>Sheep</v>
      </c>
      <c r="E470" s="20" t="str" cm="1">
        <f t="array" ref="E470">Common_InputFunctions.Utility_DisplayArrayInTable(Scope3_SourceData.Scope3_Livestock_Data(), Table_SourceData_Scope3_Animals[[#Headers],[Category]], 0, 2)</f>
        <v>Sheep, for mutton</v>
      </c>
      <c r="F470" s="20" t="str" cm="1">
        <f t="array" ref="F470">Common_InputFunctions.Utility_DisplayArrayInTable(Scope3_SourceData.Scope3_Livestock_Data(), Table_SourceData_Scope3_Animals[[#Headers],[Category]], 0, 2)</f>
        <v>Australia</v>
      </c>
      <c r="G470" s="20" t="str" cm="1">
        <f t="array" ref="G470">Common_InputFunctions.Utility_DisplayArrayInTable(Scope3_SourceData.Scope3_Livestock_Data(), Table_SourceData_Scope3_Animals[[#Headers],[Category]], 0, 2)</f>
        <v>kg liveweight</v>
      </c>
      <c r="H470" s="20" cm="1">
        <f t="array" ref="H470">Common_InputFunctions.Utility_DisplayArrayInTable(Scope3_SourceData.Scope3_Livestock_Data(), Table_SourceData_Scope3_Animals[[#Headers],[Category]], 0, 2)</f>
        <v>6.81</v>
      </c>
      <c r="I470" s="20" t="str" cm="1">
        <f t="array" ref="I470">Common_InputFunctions.Utility_DisplayArrayInTable(Scope3_SourceData.Scope3_Livestock_Data(), Table_SourceData_Scope3_Animals[[#Headers],[Category]], 0, 2)</f>
        <v>at market</v>
      </c>
    </row>
    <row r="471" spans="4:9" x14ac:dyDescent="0.25" ht="20" customHeight="1">
      <c r="D471" s="20" t="str" cm="1">
        <f t="array" ref="D471">Common_InputFunctions.Utility_DisplayArrayInTable(Scope3_SourceData.Scope3_Livestock_Data(), Table_SourceData_Scope3_Animals[[#Headers],[Category]], 0, 2)</f>
        <v>Sheep</v>
      </c>
      <c r="E471" s="20" t="str" cm="1">
        <f t="array" ref="E471">Common_InputFunctions.Utility_DisplayArrayInTable(Scope3_SourceData.Scope3_Livestock_Data(), Table_SourceData_Scope3_Animals[[#Headers],[Category]], 0, 2)</f>
        <v>Sheep, for mutton</v>
      </c>
      <c r="F471" s="20" t="str" cm="1">
        <f t="array" ref="F471">Common_InputFunctions.Utility_DisplayArrayInTable(Scope3_SourceData.Scope3_Livestock_Data(), Table_SourceData_Scope3_Animals[[#Headers],[Category]], 0, 2)</f>
        <v>NSW</v>
      </c>
      <c r="G471" s="20" t="str" cm="1">
        <f t="array" ref="G471">Common_InputFunctions.Utility_DisplayArrayInTable(Scope3_SourceData.Scope3_Livestock_Data(), Table_SourceData_Scope3_Animals[[#Headers],[Category]], 0, 2)</f>
        <v>kg liveweight</v>
      </c>
      <c r="H471" s="20" cm="1">
        <f t="array" ref="H471">Common_InputFunctions.Utility_DisplayArrayInTable(Scope3_SourceData.Scope3_Livestock_Data(), Table_SourceData_Scope3_Animals[[#Headers],[Category]], 0, 2)</f>
        <v>2.2599999999999998</v>
      </c>
      <c r="I471" s="20" t="str" cm="1">
        <f t="array" ref="I471">Common_InputFunctions.Utility_DisplayArrayInTable(Scope3_SourceData.Scope3_Livestock_Data(), Table_SourceData_Scope3_Animals[[#Headers],[Category]], 0, 2)</f>
        <v>at market</v>
      </c>
    </row>
    <row r="472" spans="4:9" x14ac:dyDescent="0.25" ht="20" customHeight="1">
      <c r="D472" s="20" t="str" cm="1">
        <f t="array" ref="D472">Common_InputFunctions.Utility_DisplayArrayInTable(Scope3_SourceData.Scope3_Livestock_Data(), Table_SourceData_Scope3_Animals[[#Headers],[Category]], 0, 2)</f>
        <v>Sheep</v>
      </c>
      <c r="E472" s="20" t="str" cm="1">
        <f t="array" ref="E472">Common_InputFunctions.Utility_DisplayArrayInTable(Scope3_SourceData.Scope3_Livestock_Data(), Table_SourceData_Scope3_Animals[[#Headers],[Category]], 0, 2)</f>
        <v>Sheep, for mutton</v>
      </c>
      <c r="F472" s="20" t="str" cm="1">
        <f t="array" ref="F472">Common_InputFunctions.Utility_DisplayArrayInTable(Scope3_SourceData.Scope3_Livestock_Data(), Table_SourceData_Scope3_Animals[[#Headers],[Category]], 0, 2)</f>
        <v>QLD</v>
      </c>
      <c r="G472" s="20" t="str" cm="1">
        <f t="array" ref="G472">Common_InputFunctions.Utility_DisplayArrayInTable(Scope3_SourceData.Scope3_Livestock_Data(), Table_SourceData_Scope3_Animals[[#Headers],[Category]], 0, 2)</f>
        <v>kg liveweight</v>
      </c>
      <c r="H472" s="20" cm="1">
        <f t="array" ref="H472">Common_InputFunctions.Utility_DisplayArrayInTable(Scope3_SourceData.Scope3_Livestock_Data(), Table_SourceData_Scope3_Animals[[#Headers],[Category]], 0, 2)</f>
        <v>6.33</v>
      </c>
      <c r="I472" s="20" t="str" cm="1">
        <f t="array" ref="I472">Common_InputFunctions.Utility_DisplayArrayInTable(Scope3_SourceData.Scope3_Livestock_Data(), Table_SourceData_Scope3_Animals[[#Headers],[Category]], 0, 2)</f>
        <v>at market</v>
      </c>
    </row>
    <row r="473" spans="4:9" x14ac:dyDescent="0.25" ht="20" customHeight="1">
      <c r="D473" s="20" t="str" cm="1">
        <f t="array" ref="D473">Common_InputFunctions.Utility_DisplayArrayInTable(Scope3_SourceData.Scope3_Livestock_Data(), Table_SourceData_Scope3_Animals[[#Headers],[Category]], 0, 2)</f>
        <v>Sheep</v>
      </c>
      <c r="E473" s="20" t="str" cm="1">
        <f t="array" ref="E473">Common_InputFunctions.Utility_DisplayArrayInTable(Scope3_SourceData.Scope3_Livestock_Data(), Table_SourceData_Scope3_Animals[[#Headers],[Category]], 0, 2)</f>
        <v>Sheep, for mutton</v>
      </c>
      <c r="F473" s="20" t="str" cm="1">
        <f t="array" ref="F473">Common_InputFunctions.Utility_DisplayArrayInTable(Scope3_SourceData.Scope3_Livestock_Data(), Table_SourceData_Scope3_Animals[[#Headers],[Category]], 0, 2)</f>
        <v>SA</v>
      </c>
      <c r="G473" s="20" t="str" cm="1">
        <f t="array" ref="G473">Common_InputFunctions.Utility_DisplayArrayInTable(Scope3_SourceData.Scope3_Livestock_Data(), Table_SourceData_Scope3_Animals[[#Headers],[Category]], 0, 2)</f>
        <v>kg liveweight</v>
      </c>
      <c r="H473" s="20" cm="1">
        <f t="array" ref="H473">Common_InputFunctions.Utility_DisplayArrayInTable(Scope3_SourceData.Scope3_Livestock_Data(), Table_SourceData_Scope3_Animals[[#Headers],[Category]], 0, 2)</f>
        <v>6.18</v>
      </c>
      <c r="I473" s="20" t="str" cm="1">
        <f t="array" ref="I473">Common_InputFunctions.Utility_DisplayArrayInTable(Scope3_SourceData.Scope3_Livestock_Data(), Table_SourceData_Scope3_Animals[[#Headers],[Category]], 0, 2)</f>
        <v>at market</v>
      </c>
    </row>
    <row r="474" spans="4:9" x14ac:dyDescent="0.25" ht="20" customHeight="1">
      <c r="D474" s="20" t="str" cm="1">
        <f t="array" ref="D474">Common_InputFunctions.Utility_DisplayArrayInTable(Scope3_SourceData.Scope3_Livestock_Data(), Table_SourceData_Scope3_Animals[[#Headers],[Category]], 0, 2)</f>
        <v>Sheep</v>
      </c>
      <c r="E474" s="20" t="str" cm="1">
        <f t="array" ref="E474">Common_InputFunctions.Utility_DisplayArrayInTable(Scope3_SourceData.Scope3_Livestock_Data(), Table_SourceData_Scope3_Animals[[#Headers],[Category]], 0, 2)</f>
        <v>Sheep, for mutton</v>
      </c>
      <c r="F474" s="20" t="str" cm="1">
        <f t="array" ref="F474">Common_InputFunctions.Utility_DisplayArrayInTable(Scope3_SourceData.Scope3_Livestock_Data(), Table_SourceData_Scope3_Animals[[#Headers],[Category]], 0, 2)</f>
        <v>TAS</v>
      </c>
      <c r="G474" s="20" t="str" cm="1">
        <f t="array" ref="G474">Common_InputFunctions.Utility_DisplayArrayInTable(Scope3_SourceData.Scope3_Livestock_Data(), Table_SourceData_Scope3_Animals[[#Headers],[Category]], 0, 2)</f>
        <v>kg liveweight</v>
      </c>
      <c r="H474" s="20" cm="1">
        <f t="array" ref="H474">Common_InputFunctions.Utility_DisplayArrayInTable(Scope3_SourceData.Scope3_Livestock_Data(), Table_SourceData_Scope3_Animals[[#Headers],[Category]], 0, 2)</f>
        <v>7.5</v>
      </c>
      <c r="I474" s="20" t="str" cm="1">
        <f t="array" ref="I474">Common_InputFunctions.Utility_DisplayArrayInTable(Scope3_SourceData.Scope3_Livestock_Data(), Table_SourceData_Scope3_Animals[[#Headers],[Category]], 0, 2)</f>
        <v>at market</v>
      </c>
    </row>
    <row r="475" spans="4:9" x14ac:dyDescent="0.25" ht="20" customHeight="1">
      <c r="D475" s="20" t="str" cm="1">
        <f t="array" ref="D475">Common_InputFunctions.Utility_DisplayArrayInTable(Scope3_SourceData.Scope3_Livestock_Data(), Table_SourceData_Scope3_Animals[[#Headers],[Category]], 0, 2)</f>
        <v>Sheep</v>
      </c>
      <c r="E475" s="20" t="str" cm="1">
        <f t="array" ref="E475">Common_InputFunctions.Utility_DisplayArrayInTable(Scope3_SourceData.Scope3_Livestock_Data(), Table_SourceData_Scope3_Animals[[#Headers],[Category]], 0, 2)</f>
        <v>Sheep, for mutton</v>
      </c>
      <c r="F475" s="20" t="str" cm="1">
        <f t="array" ref="F475">Common_InputFunctions.Utility_DisplayArrayInTable(Scope3_SourceData.Scope3_Livestock_Data(), Table_SourceData_Scope3_Animals[[#Headers],[Category]], 0, 2)</f>
        <v>VIC</v>
      </c>
      <c r="G475" s="20" t="str" cm="1">
        <f t="array" ref="G475">Common_InputFunctions.Utility_DisplayArrayInTable(Scope3_SourceData.Scope3_Livestock_Data(), Table_SourceData_Scope3_Animals[[#Headers],[Category]], 0, 2)</f>
        <v>kg liveweight</v>
      </c>
      <c r="H475" s="20" cm="1">
        <f t="array" ref="H475">Common_InputFunctions.Utility_DisplayArrayInTable(Scope3_SourceData.Scope3_Livestock_Data(), Table_SourceData_Scope3_Animals[[#Headers],[Category]], 0, 2)</f>
        <v>8.08</v>
      </c>
      <c r="I475" s="20" t="str" cm="1">
        <f t="array" ref="I475">Common_InputFunctions.Utility_DisplayArrayInTable(Scope3_SourceData.Scope3_Livestock_Data(), Table_SourceData_Scope3_Animals[[#Headers],[Category]], 0, 2)</f>
        <v>at market</v>
      </c>
    </row>
    <row r="476" spans="4:9" x14ac:dyDescent="0.25" ht="20" customHeight="1">
      <c r="D476" s="20" t="str" cm="1">
        <f t="array" ref="D476">Common_InputFunctions.Utility_DisplayArrayInTable(Scope3_SourceData.Scope3_Livestock_Data(), Table_SourceData_Scope3_Animals[[#Headers],[Category]], 0, 2)</f>
        <v>Sheep</v>
      </c>
      <c r="E476" s="20" t="str" cm="1">
        <f t="array" ref="E476">Common_InputFunctions.Utility_DisplayArrayInTable(Scope3_SourceData.Scope3_Livestock_Data(), Table_SourceData_Scope3_Animals[[#Headers],[Category]], 0, 2)</f>
        <v>Sheep, for mutton</v>
      </c>
      <c r="F476" s="20" t="str" cm="1">
        <f t="array" ref="F476">Common_InputFunctions.Utility_DisplayArrayInTable(Scope3_SourceData.Scope3_Livestock_Data(), Table_SourceData_Scope3_Animals[[#Headers],[Category]], 0, 2)</f>
        <v>WA</v>
      </c>
      <c r="G476" s="20" t="str" cm="1">
        <f t="array" ref="G476">Common_InputFunctions.Utility_DisplayArrayInTable(Scope3_SourceData.Scope3_Livestock_Data(), Table_SourceData_Scope3_Animals[[#Headers],[Category]], 0, 2)</f>
        <v>kg liveweight</v>
      </c>
      <c r="H476" s="20" cm="1">
        <f t="array" ref="H476">Common_InputFunctions.Utility_DisplayArrayInTable(Scope3_SourceData.Scope3_Livestock_Data(), Table_SourceData_Scope3_Animals[[#Headers],[Category]], 0, 2)</f>
        <v>5.45</v>
      </c>
      <c r="I476" s="20" t="str" cm="1">
        <f t="array" ref="I476">Common_InputFunctions.Utility_DisplayArrayInTable(Scope3_SourceData.Scope3_Livestock_Data(), Table_SourceData_Scope3_Animals[[#Headers],[Category]], 0, 2)</f>
        <v>at market</v>
      </c>
    </row>
    <row r="477" spans="4:9" x14ac:dyDescent="0.25" ht="20" customHeight="1">
      <c r="D477" s="20" t="str" cm="1">
        <f t="array" ref="D477">Common_InputFunctions.Utility_DisplayArrayInTable(Scope3_SourceData.Scope3_Livestock_Data(), Table_SourceData_Scope3_Animals[[#Headers],[Category]], 0, 2)</f>
        <v>Sheep</v>
      </c>
      <c r="E477" s="20" t="str" cm="1">
        <f t="array" ref="E477">Common_InputFunctions.Utility_DisplayArrayInTable(Scope3_SourceData.Scope3_Livestock_Data(), Table_SourceData_Scope3_Animals[[#Headers],[Category]], 0, 2)</f>
        <v>Sheep, for prime lamb</v>
      </c>
      <c r="F477" s="20" t="str" cm="1">
        <f t="array" ref="F477">Common_InputFunctions.Utility_DisplayArrayInTable(Scope3_SourceData.Scope3_Livestock_Data(), Table_SourceData_Scope3_Animals[[#Headers],[Category]], 0, 2)</f>
        <v>Australia</v>
      </c>
      <c r="G477" s="20" t="str" cm="1">
        <f t="array" ref="G477">Common_InputFunctions.Utility_DisplayArrayInTable(Scope3_SourceData.Scope3_Livestock_Data(), Table_SourceData_Scope3_Animals[[#Headers],[Category]], 0, 2)</f>
        <v>kg liveweight</v>
      </c>
      <c r="H477" s="20" cm="1">
        <f t="array" ref="H477">Common_InputFunctions.Utility_DisplayArrayInTable(Scope3_SourceData.Scope3_Livestock_Data(), Table_SourceData_Scope3_Animals[[#Headers],[Category]], 0, 2)</f>
        <v>7.15</v>
      </c>
      <c r="I477" s="20" t="str" cm="1">
        <f t="array" ref="I477">Common_InputFunctions.Utility_DisplayArrayInTable(Scope3_SourceData.Scope3_Livestock_Data(), Table_SourceData_Scope3_Animals[[#Headers],[Category]], 0, 2)</f>
        <v>at market</v>
      </c>
    </row>
    <row r="478" spans="4:9" x14ac:dyDescent="0.25" ht="20" customHeight="1">
      <c r="D478" s="20" t="str" cm="1">
        <f t="array" ref="D478">Common_InputFunctions.Utility_DisplayArrayInTable(Scope3_SourceData.Scope3_Livestock_Data(), Table_SourceData_Scope3_Animals[[#Headers],[Category]], 0, 2)</f>
        <v>Sheep</v>
      </c>
      <c r="E478" s="20" t="str" cm="1">
        <f t="array" ref="E478">Common_InputFunctions.Utility_DisplayArrayInTable(Scope3_SourceData.Scope3_Livestock_Data(), Table_SourceData_Scope3_Animals[[#Headers],[Category]], 0, 2)</f>
        <v>Sheep, for prime lamb</v>
      </c>
      <c r="F478" s="20" t="str" cm="1">
        <f t="array" ref="F478">Common_InputFunctions.Utility_DisplayArrayInTable(Scope3_SourceData.Scope3_Livestock_Data(), Table_SourceData_Scope3_Animals[[#Headers],[Category]], 0, 2)</f>
        <v>NSW</v>
      </c>
      <c r="G478" s="20" t="str" cm="1">
        <f t="array" ref="G478">Common_InputFunctions.Utility_DisplayArrayInTable(Scope3_SourceData.Scope3_Livestock_Data(), Table_SourceData_Scope3_Animals[[#Headers],[Category]], 0, 2)</f>
        <v>kg liveweight</v>
      </c>
      <c r="H478" s="20" cm="1">
        <f t="array" ref="H478">Common_InputFunctions.Utility_DisplayArrayInTable(Scope3_SourceData.Scope3_Livestock_Data(), Table_SourceData_Scope3_Animals[[#Headers],[Category]], 0, 2)</f>
        <v>8.2899999999999991</v>
      </c>
      <c r="I478" s="20" t="str" cm="1">
        <f t="array" ref="I478">Common_InputFunctions.Utility_DisplayArrayInTable(Scope3_SourceData.Scope3_Livestock_Data(), Table_SourceData_Scope3_Animals[[#Headers],[Category]], 0, 2)</f>
        <v>at market</v>
      </c>
    </row>
    <row r="479" spans="4:9" x14ac:dyDescent="0.25" ht="20" customHeight="1">
      <c r="D479" s="20" t="str" cm="1">
        <f t="array" ref="D479">Common_InputFunctions.Utility_DisplayArrayInTable(Scope3_SourceData.Scope3_Livestock_Data(), Table_SourceData_Scope3_Animals[[#Headers],[Category]], 0, 2)</f>
        <v>Sheep</v>
      </c>
      <c r="E479" s="20" t="str" cm="1">
        <f t="array" ref="E479">Common_InputFunctions.Utility_DisplayArrayInTable(Scope3_SourceData.Scope3_Livestock_Data(), Table_SourceData_Scope3_Animals[[#Headers],[Category]], 0, 2)</f>
        <v>Sheep, for prime lamb</v>
      </c>
      <c r="F479" s="20" t="str" cm="1">
        <f t="array" ref="F479">Common_InputFunctions.Utility_DisplayArrayInTable(Scope3_SourceData.Scope3_Livestock_Data(), Table_SourceData_Scope3_Animals[[#Headers],[Category]], 0, 2)</f>
        <v>QLD</v>
      </c>
      <c r="G479" s="20" t="str" cm="1">
        <f t="array" ref="G479">Common_InputFunctions.Utility_DisplayArrayInTable(Scope3_SourceData.Scope3_Livestock_Data(), Table_SourceData_Scope3_Animals[[#Headers],[Category]], 0, 2)</f>
        <v>kg liveweight</v>
      </c>
      <c r="H479" s="20" cm="1">
        <f t="array" ref="H479">Common_InputFunctions.Utility_DisplayArrayInTable(Scope3_SourceData.Scope3_Livestock_Data(), Table_SourceData_Scope3_Animals[[#Headers],[Category]], 0, 2)</f>
        <v>6.39</v>
      </c>
      <c r="I479" s="20" t="str" cm="1">
        <f t="array" ref="I479">Common_InputFunctions.Utility_DisplayArrayInTable(Scope3_SourceData.Scope3_Livestock_Data(), Table_SourceData_Scope3_Animals[[#Headers],[Category]], 0, 2)</f>
        <v>at market</v>
      </c>
    </row>
    <row r="480" spans="4:9" x14ac:dyDescent="0.25" ht="20" customHeight="1">
      <c r="D480" s="20" t="str" cm="1">
        <f t="array" ref="D480">Common_InputFunctions.Utility_DisplayArrayInTable(Scope3_SourceData.Scope3_Livestock_Data(), Table_SourceData_Scope3_Animals[[#Headers],[Category]], 0, 2)</f>
        <v>Sheep</v>
      </c>
      <c r="E480" s="20" t="str" cm="1">
        <f t="array" ref="E480">Common_InputFunctions.Utility_DisplayArrayInTable(Scope3_SourceData.Scope3_Livestock_Data(), Table_SourceData_Scope3_Animals[[#Headers],[Category]], 0, 2)</f>
        <v>Sheep, for prime lamb</v>
      </c>
      <c r="F480" s="20" t="str" cm="1">
        <f t="array" ref="F480">Common_InputFunctions.Utility_DisplayArrayInTable(Scope3_SourceData.Scope3_Livestock_Data(), Table_SourceData_Scope3_Animals[[#Headers],[Category]], 0, 2)</f>
        <v>SA</v>
      </c>
      <c r="G480" s="20" t="str" cm="1">
        <f t="array" ref="G480">Common_InputFunctions.Utility_DisplayArrayInTable(Scope3_SourceData.Scope3_Livestock_Data(), Table_SourceData_Scope3_Animals[[#Headers],[Category]], 0, 2)</f>
        <v>kg liveweight</v>
      </c>
      <c r="H480" s="20" cm="1">
        <f t="array" ref="H480">Common_InputFunctions.Utility_DisplayArrayInTable(Scope3_SourceData.Scope3_Livestock_Data(), Table_SourceData_Scope3_Animals[[#Headers],[Category]], 0, 2)</f>
        <v>6.87</v>
      </c>
      <c r="I480" s="20" t="str" cm="1">
        <f t="array" ref="I480">Common_InputFunctions.Utility_DisplayArrayInTable(Scope3_SourceData.Scope3_Livestock_Data(), Table_SourceData_Scope3_Animals[[#Headers],[Category]], 0, 2)</f>
        <v>at market</v>
      </c>
    </row>
    <row r="481" spans="4:9" x14ac:dyDescent="0.25" ht="20" customHeight="1">
      <c r="D481" s="20" t="str" cm="1">
        <f t="array" ref="D481">Common_InputFunctions.Utility_DisplayArrayInTable(Scope3_SourceData.Scope3_Livestock_Data(), Table_SourceData_Scope3_Animals[[#Headers],[Category]], 0, 2)</f>
        <v>Sheep</v>
      </c>
      <c r="E481" s="20" t="str" cm="1">
        <f t="array" ref="E481">Common_InputFunctions.Utility_DisplayArrayInTable(Scope3_SourceData.Scope3_Livestock_Data(), Table_SourceData_Scope3_Animals[[#Headers],[Category]], 0, 2)</f>
        <v>Sheep, for prime lamb</v>
      </c>
      <c r="F481" s="20" t="str" cm="1">
        <f t="array" ref="F481">Common_InputFunctions.Utility_DisplayArrayInTable(Scope3_SourceData.Scope3_Livestock_Data(), Table_SourceData_Scope3_Animals[[#Headers],[Category]], 0, 2)</f>
        <v>TAS</v>
      </c>
      <c r="G481" s="20" t="str" cm="1">
        <f t="array" ref="G481">Common_InputFunctions.Utility_DisplayArrayInTable(Scope3_SourceData.Scope3_Livestock_Data(), Table_SourceData_Scope3_Animals[[#Headers],[Category]], 0, 2)</f>
        <v>kg liveweight</v>
      </c>
      <c r="H481" s="20" cm="1">
        <f t="array" ref="H481">Common_InputFunctions.Utility_DisplayArrayInTable(Scope3_SourceData.Scope3_Livestock_Data(), Table_SourceData_Scope3_Animals[[#Headers],[Category]], 0, 2)</f>
        <v>8.66</v>
      </c>
      <c r="I481" s="20" t="str" cm="1">
        <f t="array" ref="I481">Common_InputFunctions.Utility_DisplayArrayInTable(Scope3_SourceData.Scope3_Livestock_Data(), Table_SourceData_Scope3_Animals[[#Headers],[Category]], 0, 2)</f>
        <v>at market</v>
      </c>
    </row>
    <row r="482" spans="4:9" x14ac:dyDescent="0.25" ht="20" customHeight="1">
      <c r="D482" s="20" t="str" cm="1">
        <f t="array" ref="D482">Common_InputFunctions.Utility_DisplayArrayInTable(Scope3_SourceData.Scope3_Livestock_Data(), Table_SourceData_Scope3_Animals[[#Headers],[Category]], 0, 2)</f>
        <v>Sheep</v>
      </c>
      <c r="E482" s="20" t="str" cm="1">
        <f t="array" ref="E482">Common_InputFunctions.Utility_DisplayArrayInTable(Scope3_SourceData.Scope3_Livestock_Data(), Table_SourceData_Scope3_Animals[[#Headers],[Category]], 0, 2)</f>
        <v>Sheep, for prime lamb</v>
      </c>
      <c r="F482" s="20" t="str" cm="1">
        <f t="array" ref="F482">Common_InputFunctions.Utility_DisplayArrayInTable(Scope3_SourceData.Scope3_Livestock_Data(), Table_SourceData_Scope3_Animals[[#Headers],[Category]], 0, 2)</f>
        <v>VIC</v>
      </c>
      <c r="G482" s="20" t="str" cm="1">
        <f t="array" ref="G482">Common_InputFunctions.Utility_DisplayArrayInTable(Scope3_SourceData.Scope3_Livestock_Data(), Table_SourceData_Scope3_Animals[[#Headers],[Category]], 0, 2)</f>
        <v>kg liveweight</v>
      </c>
      <c r="H482" s="20" cm="1">
        <f t="array" ref="H482">Common_InputFunctions.Utility_DisplayArrayInTable(Scope3_SourceData.Scope3_Livestock_Data(), Table_SourceData_Scope3_Animals[[#Headers],[Category]], 0, 2)</f>
        <v>10</v>
      </c>
      <c r="I482" s="20" t="str" cm="1">
        <f t="array" ref="I482">Common_InputFunctions.Utility_DisplayArrayInTable(Scope3_SourceData.Scope3_Livestock_Data(), Table_SourceData_Scope3_Animals[[#Headers],[Category]], 0, 2)</f>
        <v>at market</v>
      </c>
    </row>
    <row r="483" spans="4:9" x14ac:dyDescent="0.25" ht="20" customHeight="1">
      <c r="D483" s="20" t="str" cm="1">
        <f t="array" ref="D483">Common_InputFunctions.Utility_DisplayArrayInTable(Scope3_SourceData.Scope3_Livestock_Data(), Table_SourceData_Scope3_Animals[[#Headers],[Category]], 0, 2)</f>
        <v>Sheep</v>
      </c>
      <c r="E483" s="20" t="str" cm="1">
        <f t="array" ref="E483">Common_InputFunctions.Utility_DisplayArrayInTable(Scope3_SourceData.Scope3_Livestock_Data(), Table_SourceData_Scope3_Animals[[#Headers],[Category]], 0, 2)</f>
        <v>Sheep, for prime lamb</v>
      </c>
      <c r="F483" s="20" t="str" cm="1">
        <f t="array" ref="F483">Common_InputFunctions.Utility_DisplayArrayInTable(Scope3_SourceData.Scope3_Livestock_Data(), Table_SourceData_Scope3_Animals[[#Headers],[Category]], 0, 2)</f>
        <v>WA</v>
      </c>
      <c r="G483" s="20" t="str" cm="1">
        <f t="array" ref="G483">Common_InputFunctions.Utility_DisplayArrayInTable(Scope3_SourceData.Scope3_Livestock_Data(), Table_SourceData_Scope3_Animals[[#Headers],[Category]], 0, 2)</f>
        <v>kg liveweight</v>
      </c>
      <c r="H483" s="20" cm="1">
        <f t="array" ref="H483">Common_InputFunctions.Utility_DisplayArrayInTable(Scope3_SourceData.Scope3_Livestock_Data(), Table_SourceData_Scope3_Animals[[#Headers],[Category]], 0, 2)</f>
        <v>5.67</v>
      </c>
      <c r="I483" s="20" t="str" cm="1">
        <f t="array" ref="I483">Common_InputFunctions.Utility_DisplayArrayInTable(Scope3_SourceData.Scope3_Livestock_Data(), Table_SourceData_Scope3_Animals[[#Headers],[Category]],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0F8F-8467-43BD-912C-15486AE00E16}">
  <sheetPr>
    <tabColor theme="2" tint="-0.499984740745262"/>
  </sheetPr>
  <dimension ref="A1:AI235"/>
  <sheetViews>
    <sheetView showGridLines="0" topLeftCell="B1" zoomScaleNormal="100" workbookViewId="0">
      <pane xSplit="8" ySplit="17" topLeftCell="J18" activePane="bottomRight" state="frozen"/>
      <selection activeCell="B1" sqref="B1"/>
      <selection pane="topRight" activeCell="J1" sqref="J1"/>
      <selection pane="bottomLeft" activeCell="B18" sqref="B18"/>
      <selection pane="bottomRight" activeCell="A59" sqref="A59"/>
    </sheetView>
  </sheetViews>
  <sheetFormatPr defaultRowHeight="20" x14ac:dyDescent="0.25" customHeight="1"/>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1" customFormat="1" ht="30" customHeight="1" x14ac:dyDescent="0.35">
      <c r="A1" s="10" t="e" vm="1">
        <v>#VALUE!</v>
      </c>
      <c r="C1" s="21" t="s">
        <v>959</v>
      </c>
      <c r="AG1"/>
      <c r="AH1"/>
      <c r="AI1"/>
    </row>
    <row r="2" spans="1:35" s="3" customFormat="1" ht="20" customHeight="1" x14ac:dyDescent="0.25">
      <c r="A2"/>
      <c r="AG2"/>
      <c r="AH2"/>
      <c r="AI2"/>
    </row>
    <row r="3" spans="1:35" ht="20"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 customHeight="1" x14ac:dyDescent="0.25">
      <c r="A4" s="5" t="str">
        <f>HYPERLINK("#'Results - Activity period'!A1", "Results - Activity period")</f>
        <v>Results - Activity period</v>
      </c>
    </row>
    <row r="5" spans="1:35" ht="20" customHeight="1" x14ac:dyDescent="0.25">
      <c r="A5" s="5" t="str">
        <f>HYPERLINK("#'Results - Product EI'!A1", "Results - Product Emissions Intensity")</f>
        <v>Results - Product Emissions Intensity</v>
      </c>
      <c r="D5" s="2" t="str" cm="1">
        <f t="array" ref="D5">Agresidue_SourceData.CropPurposeAndYield_Title()</f>
        <v>Crop purpose and yield</v>
      </c>
    </row>
    <row r="6" spans="1:35" ht="20" customHeight="1" x14ac:dyDescent="0.25"/>
    <row r="7" spans="1:35" ht="20" customHeight="1" x14ac:dyDescent="0.25">
      <c r="D7" s="238" t="s">
        <v>960</v>
      </c>
      <c r="E7" s="238" t="s">
        <v>961</v>
      </c>
      <c r="F7" s="238" t="s">
        <v>962</v>
      </c>
      <c r="G7" s="238" t="s">
        <v>963</v>
      </c>
      <c r="H7" s="238" t="s">
        <v>964</v>
      </c>
      <c r="I7" s="238" t="s">
        <v>965</v>
      </c>
      <c r="J7" s="238" t="s">
        <v>966</v>
      </c>
      <c r="K7" s="238" t="s">
        <v>967</v>
      </c>
      <c r="AG7" s="1"/>
      <c r="AH7" s="1"/>
      <c r="AI7" s="1"/>
    </row>
    <row r="8" spans="1:35" ht="20" customHeight="1" x14ac:dyDescent="0.25">
      <c r="A8" s="7"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 customHeight="1" x14ac:dyDescent="0.25">
      <c r="A9" s="5" t="str">
        <f>HYPERLINK("#'Input - Enterprise'!A1", "Enterprise")</f>
        <v>Enterprise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 customHeight="1" x14ac:dyDescent="0.25">
      <c r="A10" s="5" t="str">
        <f>HYPERLINK("#'Input - Site'!A1", "Site")</f>
        <v>Site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 customHeight="1" x14ac:dyDescent="0.25">
      <c r="A11" s="5" t="str">
        <f>HYPERLINK("#'Input - Pasture Beef'!A1", "Pasture Beef")</f>
        <v>Pasture Beef</v>
      </c>
    </row>
    <row r="12" spans="1:35" ht="20" customHeight="1" x14ac:dyDescent="0.25">
      <c r="A12" s="5" t="str">
        <f>HYPERLINK("#'Input - Livestock sales'!A1", "Livestock sales")</f>
        <v>Livestock sales</v>
      </c>
    </row>
    <row r="13" spans="1:35" ht="20" customHeight="1" x14ac:dyDescent="0.25">
      <c r="A13" s="5" t="str">
        <f>HYPERLINK("#'Input - Beef cattle purchases'!A1", "Beef cattle purchases")</f>
        <v>Beef cattle purchases</v>
      </c>
    </row>
    <row r="14" spans="1:35" ht="20" customHeight="1" x14ac:dyDescent="0.25">
      <c r="A14" s="5" t="str">
        <f>HYPERLINK("#'Input - Pasture'!A1", "Pasture")</f>
        <v>Pasture</v>
      </c>
    </row>
    <row r="15" spans="1:35" ht="20" customHeight="1" x14ac:dyDescent="0.25">
      <c r="A15" s="5" t="str">
        <f>HYPERLINK("#'Input - Fert Prod System'!A1", "Fert Prod System")</f>
        <v>Fert Prod System</v>
      </c>
      <c r="D15" s="2" t="str" cm="1">
        <f t="array" ref="D15">Agresidue_SourceData.CropAttributes_Title()</f>
        <v>Table A.2.1.1: Crop attributes</v>
      </c>
      <c r="E15" s="8"/>
      <c r="F15" s="8"/>
      <c r="G15" s="8"/>
      <c r="H15" s="8"/>
      <c r="I15" s="8"/>
      <c r="J15" s="8"/>
      <c r="K15" s="8"/>
      <c r="L15" s="8"/>
    </row>
    <row r="16" spans="1:35" ht="20" customHeight="1" x14ac:dyDescent="0.25">
      <c r="A16" s="5" t="str">
        <f>HYPERLINK("#'Input - Fertiliser'!A1", "Fertiliser")</f>
        <v>Fertiliser</v>
      </c>
      <c r="D16" s="17" t="str" cm="1">
        <f t="array" ref="D16">Agresidue_SourceData.CropAttributes_Source()</f>
        <v>VEERG 2026: Table A.2.1.1: Crop attributes</v>
      </c>
      <c r="E16" s="8"/>
      <c r="F16" s="8"/>
      <c r="G16" s="8"/>
      <c r="H16" s="8"/>
      <c r="I16" s="8"/>
      <c r="J16" s="8"/>
      <c r="K16" s="8"/>
      <c r="L16" s="8"/>
    </row>
    <row r="17" spans="1:14" ht="20" customHeight="1" x14ac:dyDescent="0.25">
      <c r="A17" s="5" t="str">
        <f>HYPERLINK("#'Input - Fuel'!A1", "Fuel")</f>
        <v>Fuel</v>
      </c>
      <c r="D17" s="26" t="str" cm="1">
        <f t="array" ref="D17">"⚠️" &amp; Agresidue_SourceData.CropAttributes_Variation()</f>
        <v>⚠️VARIATION FROM SOURCE: 'N/A' values passed as zero for calculations.</v>
      </c>
      <c r="E17" s="8"/>
      <c r="F17" s="8"/>
      <c r="G17" s="8"/>
      <c r="H17" s="8"/>
      <c r="I17" s="8"/>
      <c r="J17" s="8"/>
      <c r="K17" s="8"/>
      <c r="L17" s="8"/>
    </row>
    <row r="18" spans="1:14" ht="20" customHeight="1" x14ac:dyDescent="0.25">
      <c r="A18" s="5" t="str">
        <f>HYPERLINK("#'Input - Electricity'!A1", "Electricity")</f>
        <v>Electricity</v>
      </c>
      <c r="D18" s="8"/>
      <c r="E18" s="8"/>
      <c r="F18" s="8"/>
      <c r="G18" s="8"/>
      <c r="H18" s="8"/>
      <c r="I18" s="8"/>
      <c r="J18" s="8"/>
      <c r="K18" s="8"/>
      <c r="L18" s="8"/>
    </row>
    <row r="19" spans="1:14" ht="20" customHeight="1" x14ac:dyDescent="0.25">
      <c r="A19" s="5" t="str">
        <f>HYPERLINK("#'Input - Common farm inputs'!A1", "Common farm inputs")</f>
        <v>Common farm inputs</v>
      </c>
      <c r="D19" t="s">
        <v>172</v>
      </c>
      <c r="E19" t="s">
        <v>968</v>
      </c>
      <c r="F19" t="s">
        <v>969</v>
      </c>
      <c r="G19" t="s">
        <v>970</v>
      </c>
      <c r="H19" t="s">
        <v>971</v>
      </c>
      <c r="I19" t="s">
        <v>972</v>
      </c>
      <c r="J19" t="s">
        <v>973</v>
      </c>
      <c r="K19" t="s">
        <v>974</v>
      </c>
      <c r="L19" t="s">
        <v>975</v>
      </c>
      <c r="N19" s="2" t="s">
        <v>485</v>
      </c>
    </row>
    <row r="20" spans="1:14" ht="20" customHeight="1" x14ac:dyDescent="0.25">
      <c r="A20" s="5" t="str">
        <f>HYPERLINK("#'Input - Crop pasture farm input'!A1", "Crop pasture farm input")</f>
        <v>Crop pasture farm input</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 customHeight="1" x14ac:dyDescent="0.25">
      <c r="A21" s="5" t="str">
        <f>HYPERLINK("#'Input - Livestock farm Inputs'!A1", "Livestock farm Inputs")</f>
        <v>Livestock farm Inputs</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20" t="s">
        <v>72</v>
      </c>
    </row>
    <row r="22" spans="1:14" ht="20" customHeight="1" x14ac:dyDescent="0.25">
      <c r="A22" s="5" t="str">
        <f>HYPERLINK("#'Input - Freight'!A1", "Freight")</f>
        <v>Freight</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20" t="s">
        <v>491</v>
      </c>
    </row>
    <row r="23" spans="1:14" ht="20" customHeight="1" x14ac:dyDescent="0.25">
      <c r="A23" s="5" t="str">
        <f>HYPERLINK("#'Input - Solid waste'!A1", "Solid waste")</f>
        <v>Solid waste</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20" t="s">
        <v>495</v>
      </c>
    </row>
    <row r="24" spans="1:14" ht="20" customHeight="1" x14ac:dyDescent="0.25">
      <c r="A24" s="5" t="str">
        <f>HYPERLINK("#'Input - Manure sent off-site'!A1", "Manure sent off-site")</f>
        <v>Manure sent off-site</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355</v>
      </c>
    </row>
    <row r="25" spans="1:14" ht="20" customHeight="1" x14ac:dyDescent="0.25">
      <c r="A25" s="5" t="str">
        <f>HYPERLINK("#'Input - Data quality'!A1", "Data quality")</f>
        <v>Data quality</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503</v>
      </c>
    </row>
    <row r="26" spans="1:14" ht="20"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505</v>
      </c>
    </row>
    <row r="27" spans="1:14" ht="20"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 customHeight="1" x14ac:dyDescent="0.25">
      <c r="A28" s="6" t="s">
        <v>2</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 customHeight="1" x14ac:dyDescent="0.25">
      <c r="A29" s="5" t="str">
        <f>HYPERLINK("#'3.2.1.1-2 Enteric Methane'!A1", "3.2.1.1-2 Enteric Methane")</f>
        <v>3.2.1.1-2 Enteric Methane</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 customHeight="1" x14ac:dyDescent="0.25">
      <c r="A30" s="5" t="str">
        <f>HYPERLINK("#'4.2.1.1-2 Methane'!A1", "4.2.1.1-2 Manure methane")</f>
        <v>4.2.1.1-2 Manure methane</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 customHeight="1" x14ac:dyDescent="0.25">
      <c r="A31" s="5" t="str">
        <f>HYPERLINK("#'4.2.1.3-4 Soil direct N20'!A1", "4.2.1.3-4 Soil direct N2O")</f>
        <v>4.2.1.3-4 Soil direct N2O</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 customHeight="1" x14ac:dyDescent="0.25">
      <c r="A32" s="5" t="str">
        <f>HYPERLINK("#'4.2.1.5-6 Soil Atmos Dep'!A1", "4.2.1.5-6 Soil atm. deposition")</f>
        <v>4.2.1.5-6 Soil atm. deposition</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 customHeight="1" x14ac:dyDescent="0.25">
      <c r="A33" s="5" t="str">
        <f>HYPERLINK("#'4.2.1.7-8 Soil leach runoff'!A1", "4.2.1.7-8 Soil leach &amp; runoff")</f>
        <v>4.2.1.7-8 Soil leach &amp; runoff</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 customHeight="1" x14ac:dyDescent="0.25">
      <c r="A34" s="5" t="str">
        <f>HYPERLINK("#'5.1.1.1-2 Inorganic fert N2O'!A1", "5.1.1.1-2 Inorganic fert N2O")</f>
        <v>5.1.1.1-2 Inorganic fert N2O</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 customHeight="1" x14ac:dyDescent="0.25">
      <c r="A35" s="5" t="str">
        <f>HYPERLINK("#'5.1.1.3-4 Inorganic fert CO2'!A1", "5.1.1.3-4 Inorganic fert CO2")</f>
        <v>5.1.1.3-4 Inorganic fert CO2</v>
      </c>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 customHeight="1" x14ac:dyDescent="0.25">
      <c r="A36" s="5" t="str">
        <f>HYPERLINK("#'5.2.1.1-2 Organic Fert N2O'!A1", "5.2.1.1-2 Organic fert N2O")</f>
        <v>5.2.1.1-2 Organic fert N2O</v>
      </c>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 customHeight="1" x14ac:dyDescent="0.25">
      <c r="A37" s="5" t="str">
        <f>HYPERLINK("#'5.3.1.1-2 Lime CO2'!A1", "5.3.1.1-2 Lime CO2")</f>
        <v>5.3.1.1-2 Lime CO2</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 customHeight="1" x14ac:dyDescent="0.25">
      <c r="A38" s="5" t="str">
        <f>HYPERLINK("#'5.4.1.1-4 Atmos deposition'!A1", "5.4.1.1-4 Atmos. deposition")</f>
        <v>5.4.1.1-4 Atmos. deposition</v>
      </c>
      <c r="D38" s="8"/>
      <c r="E38" s="8"/>
      <c r="F38" s="8"/>
      <c r="G38" s="8"/>
      <c r="H38" s="8"/>
      <c r="I38" s="8"/>
      <c r="J38" s="8"/>
      <c r="K38" s="8"/>
      <c r="L38" s="8"/>
    </row>
    <row r="39" spans="1:13" ht="20" customHeight="1" x14ac:dyDescent="0.25">
      <c r="A39" s="5" t="str">
        <f>HYPERLINK("#'5.5.1.1-2 Leaching and runoff'!A1", "5.5.1.1-2 Leaching &amp; runoff")</f>
        <v>5.5.1.1-2 Leaching &amp; runoff</v>
      </c>
      <c r="D39" s="8"/>
      <c r="E39" s="8"/>
      <c r="F39" s="8"/>
      <c r="G39" s="8"/>
      <c r="H39" s="8"/>
      <c r="I39" s="8"/>
      <c r="J39" s="8"/>
      <c r="K39" s="8"/>
      <c r="L39" s="8"/>
    </row>
    <row r="40" spans="1:13" ht="20" customHeight="1" x14ac:dyDescent="0.25">
      <c r="A40" s="5" t="str">
        <f>HYPERLINK("#'6.2.1.1-2 Pasture residue N2O'!A1", "6.2.1.1-2 Pasture residue N2O")</f>
        <v>6.2.1.1-2 Pasture residue N2O</v>
      </c>
      <c r="D40" s="2" t="str" cm="1">
        <f t="array" ref="D40">Agresidue_SourceData.N2OEFOrganicFertiliser_Title()</f>
        <v>Emission factor for organic fertiliser and crop residues returned to the soil</v>
      </c>
      <c r="E40" s="25"/>
      <c r="F40" s="25"/>
      <c r="G40" s="8"/>
      <c r="H40" s="8"/>
      <c r="I40" s="8"/>
      <c r="J40" s="8"/>
      <c r="K40" s="8"/>
      <c r="L40" s="8"/>
    </row>
    <row r="41" spans="1:13" ht="20" customHeight="1" x14ac:dyDescent="0.25">
      <c r="A41" s="5" t="str">
        <f>HYPERLINK("#'6.3.1.1-2 Leach runoff pasture'!A1", "6.3.1.1-2 Leach &amp; runoff (pasture)")</f>
        <v>6.3.1.1-2 Leach &amp; runoff (pasture)</v>
      </c>
      <c r="D41" s="17" t="str" cm="1">
        <f t="array" ref="D41">Agresidue_SourceData.N2OEFOrganicFertiliser_Source()</f>
        <v>VEERG 2026: Table A.2.1.4</v>
      </c>
      <c r="E41" s="25"/>
      <c r="F41" s="25"/>
      <c r="G41" s="8"/>
      <c r="H41" s="8"/>
      <c r="I41" s="8"/>
      <c r="J41" s="8"/>
      <c r="K41" s="8"/>
      <c r="L41" s="8"/>
    </row>
    <row r="42" spans="1:13" ht="20" customHeight="1" x14ac:dyDescent="0.25">
      <c r="A42" s="5" t="str">
        <f>HYPERLINK("#'8.1.1.1-2 Transport fuel'!A1", "8.1.1.1-2 Transport fuel")</f>
        <v>8.1.1.1-2 Transport fuel</v>
      </c>
      <c r="D42" s="17"/>
      <c r="E42" s="25"/>
      <c r="F42" s="25"/>
      <c r="H42" s="8"/>
      <c r="I42" s="8"/>
      <c r="M42" s="25"/>
    </row>
    <row r="43" spans="1:13" ht="20" customHeight="1" x14ac:dyDescent="0.25">
      <c r="A43" s="5" t="str">
        <f>HYPERLINK("#'8.2.1.1-2 Stationary fuel'!A1", "8.2.1.1-2 Stationary fuel")</f>
        <v>8.2.1.1-2 Stationary fuel</v>
      </c>
      <c r="D43" s="177" t="s">
        <v>976</v>
      </c>
      <c r="E43" s="177" t="s">
        <v>977</v>
      </c>
      <c r="F43" s="25"/>
      <c r="H43" s="8"/>
      <c r="I43" s="8"/>
      <c r="M43" s="25"/>
    </row>
    <row r="44" spans="1:13" ht="20" customHeight="1" x14ac:dyDescent="0.25">
      <c r="A44" s="5" t="str">
        <f>HYPERLINK("#'10.1.1-2 Solid waste treatment'!A1", "10.1.1.1-2 Solid waste")</f>
        <v>10.1.1.1-2 Solid waste</v>
      </c>
      <c r="D44" s="27" t="str" cm="1">
        <f t="array" ref="D44">Common_InputFunctions.Utility_DisplayArrayInTable(Agresidue_SourceData.N2OEFOrganicFertiliser_Data(), Table_SourceData_N2OEFOrganicFert[[#Headers],[Climate zone type i]], 0)</f>
        <v>Wet climate zone</v>
      </c>
      <c r="E44" s="27" cm="1">
        <f t="array" ref="E44">Common_InputFunctions.Utility_DisplayArrayInTable(Agresidue_SourceData.N2OEFOrganicFertiliser_Data(), Table_SourceData_N2OEFOrganicFert[[#Headers],[Climate zone type i]], 0)</f>
        <v>6.0000000000000001E-3</v>
      </c>
      <c r="F44" s="25"/>
      <c r="H44" s="8"/>
      <c r="I44" s="8"/>
      <c r="M44" s="25"/>
    </row>
    <row r="45" spans="1:13" ht="20" customHeight="1" x14ac:dyDescent="0.25">
      <c r="A45" s="5" t="str">
        <f>HYPERLINK("#'14.1.1-2 Purchased electricity'!A1", "14.1.1-2 Purchased electricity")</f>
        <v>14.1.1-2 Purchased electricity</v>
      </c>
      <c r="D45" s="27" t="str" cm="1">
        <f t="array" ref="D45">Common_InputFunctions.Utility_DisplayArrayInTable(Agresidue_SourceData.N2OEFOrganicFertiliser_Data(), Table_SourceData_N2OEFOrganicFert[[#Headers],[Climate zone type i]], 0)</f>
        <v>Dry climate zone</v>
      </c>
      <c r="E45" s="27" cm="1">
        <f t="array" ref="E45">Common_InputFunctions.Utility_DisplayArrayInTable(Agresidue_SourceData.N2OEFOrganicFertiliser_Data(), Table_SourceData_N2OEFOrganicFert[[#Headers],[Climate zone type i]], 0)</f>
        <v>5.0000000000000001E-3</v>
      </c>
      <c r="F45" s="25"/>
      <c r="H45" s="8"/>
      <c r="I45" s="8"/>
      <c r="M45" s="25"/>
    </row>
    <row r="46" spans="1:13" ht="20" customHeight="1" x14ac:dyDescent="0.25">
      <c r="A46" s="5" t="str">
        <f>HYPERLINK("#'15 Scope 3'!A1", "15 Scope 3")</f>
        <v>15 Scope 3</v>
      </c>
      <c r="H46" s="8"/>
      <c r="I46" s="8"/>
      <c r="M46" s="25"/>
    </row>
    <row r="47" spans="1:13" ht="20" customHeight="1" x14ac:dyDescent="0.25">
      <c r="A47" s="5" t="str">
        <f>HYPERLINK("#'Calcs - Manure sent off-site'!A1", "Calcs - Manure sent off-site")</f>
        <v>Calcs - Manure sent off-site</v>
      </c>
      <c r="M47" s="25"/>
    </row>
    <row r="48" spans="1:13" ht="20" customHeight="1" x14ac:dyDescent="0.25">
      <c r="D48" s="2" t="str" cm="1">
        <f t="array" ref="D48">Agresidue_SourceData.PastureAttributes_Title()</f>
        <v>Table A.2.1.3 Pasture attributes</v>
      </c>
      <c r="K48" s="8"/>
      <c r="L48" s="8"/>
    </row>
    <row r="49" spans="1:12" ht="20" customHeight="1" x14ac:dyDescent="0.25">
      <c r="D49" s="17" t="str" cm="1">
        <f t="array" ref="D49">Agresidue_SourceData.PastureAttributes_Source()</f>
        <v>VEERG 2026: Table A.2.1.3: Pasture attributes</v>
      </c>
      <c r="K49" s="8"/>
      <c r="L49" s="8"/>
    </row>
    <row r="50" spans="1:12" ht="20" customHeight="1" x14ac:dyDescent="0.25">
      <c r="A50" s="85" t="s">
        <v>1</v>
      </c>
      <c r="K50" s="8"/>
      <c r="L50" s="8"/>
    </row>
    <row r="51" spans="1:12" ht="20" customHeight="1" x14ac:dyDescent="0.25">
      <c r="A51" s="5" t="str">
        <f>HYPERLINK("#'Constants - Pasture Beef'!A1", "Constants - Pasture Beef")</f>
        <v>Constants - Pasture Beef</v>
      </c>
      <c r="D51" s="20" t="s">
        <v>257</v>
      </c>
      <c r="E51" s="20" t="s">
        <v>978</v>
      </c>
      <c r="F51" s="20" t="s">
        <v>979</v>
      </c>
      <c r="G51" s="20" t="s">
        <v>980</v>
      </c>
      <c r="H51" s="20" t="s">
        <v>981</v>
      </c>
      <c r="I51" s="20" t="s">
        <v>982</v>
      </c>
      <c r="K51" s="8"/>
      <c r="L51" s="8"/>
    </row>
    <row r="52" spans="1:12" ht="20" customHeight="1" x14ac:dyDescent="0.25">
      <c r="A52" s="86" t="str">
        <f>HYPERLINK("#'Constants - Ag Residue'!A1", "Constants - Ag residue")</f>
        <v>Constants - Ag residue</v>
      </c>
      <c r="D52" s="20" t="str" cm="1">
        <f t="array" ref="D52">Common_InputFunctions.Utility_DisplayArrayInTable(Agresidue_SourceData.PastureAttributes_Data(), Table_SourceData_PastureAttributes[[#Headers],[Pasture type]], 0)</f>
        <v>Annual grass</v>
      </c>
      <c r="E52" s="20" cm="1">
        <f t="array" ref="E52">Common_InputFunctions.Utility_DisplayArrayInTable(Agresidue_SourceData.PastureAttributes_Data(), Table_SourceData_PastureAttributes[[#Headers],[Pasture type]], 0)</f>
        <v>4.41</v>
      </c>
      <c r="F52" s="20" cm="1">
        <f t="array" ref="F52">Common_InputFunctions.Utility_DisplayArrayInTable(Agresidue_SourceData.PastureAttributes_Data(), Table_SourceData_PastureAttributes[[#Headers],[Pasture type]], 0)</f>
        <v>0.4</v>
      </c>
      <c r="G52" s="20" cm="1">
        <f t="array" ref="G52">Common_InputFunctions.Utility_DisplayArrayInTable(Agresidue_SourceData.PastureAttributes_Data(), Table_SourceData_PastureAttributes[[#Headers],[Pasture type]], 0)</f>
        <v>1.4999999999999999E-2</v>
      </c>
      <c r="H52" s="20" cm="1">
        <f t="array" ref="H52">Common_InputFunctions.Utility_DisplayArrayInTable(Agresidue_SourceData.PastureAttributes_Data(), Table_SourceData_PastureAttributes[[#Headers],[Pasture type]], 0)</f>
        <v>1.2E-2</v>
      </c>
      <c r="I52" s="20" cm="1">
        <f t="array" ref="I52">Common_InputFunctions.Utility_DisplayArrayInTable(Agresidue_SourceData.PastureAttributes_Data(), Table_SourceData_PastureAttributes[[#Headers],[Pasture type]], 0)</f>
        <v>0.8</v>
      </c>
      <c r="L52" s="8"/>
    </row>
    <row r="53" spans="1:12" ht="20" customHeight="1" x14ac:dyDescent="0.25">
      <c r="A53" s="5" t="str">
        <f>HYPERLINK("#'Constants - Common Livestock'!A1", "Constants - Common Livestock")</f>
        <v>Constants - Common Livestock</v>
      </c>
      <c r="D53" s="20" t="str" cm="1">
        <f t="array" ref="D53">Common_InputFunctions.Utility_DisplayArrayInTable(Agresidue_SourceData.PastureAttributes_Data(), Table_SourceData_PastureAttributes[[#Headers],[Pasture type]], 0)</f>
        <v>Grass clover mixture</v>
      </c>
      <c r="E53" s="20" cm="1">
        <f t="array" ref="E53">Common_InputFunctions.Utility_DisplayArrayInTable(Agresidue_SourceData.PastureAttributes_Data(), Table_SourceData_PastureAttributes[[#Headers],[Pasture type]], 0)</f>
        <v>8.34</v>
      </c>
      <c r="F53" s="20" cm="1">
        <f t="array" ref="F53">Common_InputFunctions.Utility_DisplayArrayInTable(Agresidue_SourceData.PastureAttributes_Data(), Table_SourceData_PastureAttributes[[#Headers],[Pasture type]], 0)</f>
        <v>0.8</v>
      </c>
      <c r="G53" s="20" cm="1">
        <f t="array" ref="G53">Common_InputFunctions.Utility_DisplayArrayInTable(Agresidue_SourceData.PastureAttributes_Data(), Table_SourceData_PastureAttributes[[#Headers],[Pasture type]], 0)</f>
        <v>2.5000000000000001E-2</v>
      </c>
      <c r="H53" s="20" cm="1">
        <f t="array" ref="H53">Common_InputFunctions.Utility_DisplayArrayInTable(Agresidue_SourceData.PastureAttributes_Data(), Table_SourceData_PastureAttributes[[#Headers],[Pasture type]], 0)</f>
        <v>1.6E-2</v>
      </c>
      <c r="I53" s="20" cm="1">
        <f t="array" ref="I53">Common_InputFunctions.Utility_DisplayArrayInTable(Agresidue_SourceData.PastureAttributes_Data(), Table_SourceData_PastureAttributes[[#Headers],[Pasture type]], 0)</f>
        <v>0.8</v>
      </c>
      <c r="L53" s="8"/>
    </row>
    <row r="54" spans="1:12" ht="20" customHeight="1" x14ac:dyDescent="0.25">
      <c r="A54" s="5" t="str">
        <f>HYPERLINK("#'Constants - Electricity'!A1", "Constants - Electricity")</f>
        <v>Constants - Electricity</v>
      </c>
      <c r="D54" s="20" t="str" cm="1">
        <f t="array" ref="D54">Common_InputFunctions.Utility_DisplayArrayInTable(Agresidue_SourceData.PastureAttributes_Data(), Table_SourceData_PastureAttributes[[#Headers],[Pasture type]], 0)</f>
        <v>Lucerne</v>
      </c>
      <c r="E54" s="20" cm="1">
        <f t="array" ref="E54">Common_InputFunctions.Utility_DisplayArrayInTable(Agresidue_SourceData.PastureAttributes_Data(), Table_SourceData_PastureAttributes[[#Headers],[Pasture type]], 0)</f>
        <v>8.6199999999999992</v>
      </c>
      <c r="F54" s="20" cm="1">
        <f t="array" ref="F54">Common_InputFunctions.Utility_DisplayArrayInTable(Agresidue_SourceData.PastureAttributes_Data(), Table_SourceData_PastureAttributes[[#Headers],[Pasture type]], 0)</f>
        <v>0.4</v>
      </c>
      <c r="G54" s="20" cm="1">
        <f t="array" ref="G54">Common_InputFunctions.Utility_DisplayArrayInTable(Agresidue_SourceData.PastureAttributes_Data(), Table_SourceData_PastureAttributes[[#Headers],[Pasture type]], 0)</f>
        <v>2.7E-2</v>
      </c>
      <c r="H54" s="20" cm="1">
        <f t="array" ref="H54">Common_InputFunctions.Utility_DisplayArrayInTable(Agresidue_SourceData.PastureAttributes_Data(), Table_SourceData_PastureAttributes[[#Headers],[Pasture type]], 0)</f>
        <v>1.9E-2</v>
      </c>
      <c r="I54" s="20" cm="1">
        <f t="array" ref="I54">Common_InputFunctions.Utility_DisplayArrayInTable(Agresidue_SourceData.PastureAttributes_Data(), Table_SourceData_PastureAttributes[[#Headers],[Pasture type]], 0)</f>
        <v>0.8</v>
      </c>
    </row>
    <row r="55" spans="1:12" ht="20" customHeight="1" x14ac:dyDescent="0.25">
      <c r="A55" s="5" t="str">
        <f>HYPERLINK("#'Constants - Fertiliser'!A1", "Constants - Fertiliser")</f>
        <v>Constants - Fertiliser</v>
      </c>
      <c r="D55" s="20" t="str" cm="1">
        <f t="array" ref="D55">Common_InputFunctions.Utility_DisplayArrayInTable(Agresidue_SourceData.PastureAttributes_Data(), Table_SourceData_PastureAttributes[[#Headers],[Pasture type]], 0)</f>
        <v>Other legume</v>
      </c>
      <c r="E55" s="20" cm="1">
        <f t="array" ref="E55">Common_InputFunctions.Utility_DisplayArrayInTable(Agresidue_SourceData.PastureAttributes_Data(), Table_SourceData_PastureAttributes[[#Headers],[Pasture type]], 0)</f>
        <v>5.62</v>
      </c>
      <c r="F55" s="20" cm="1">
        <f t="array" ref="F55">Common_InputFunctions.Utility_DisplayArrayInTable(Agresidue_SourceData.PastureAttributes_Data(), Table_SourceData_PastureAttributes[[#Headers],[Pasture type]], 0)</f>
        <v>0.4</v>
      </c>
      <c r="G55" s="20" cm="1">
        <f t="array" ref="G55">Common_InputFunctions.Utility_DisplayArrayInTable(Agresidue_SourceData.PastureAttributes_Data(), Table_SourceData_PastureAttributes[[#Headers],[Pasture type]], 0)</f>
        <v>2.7E-2</v>
      </c>
      <c r="H55" s="20" cm="1">
        <f t="array" ref="H55">Common_InputFunctions.Utility_DisplayArrayInTable(Agresidue_SourceData.PastureAttributes_Data(), Table_SourceData_PastureAttributes[[#Headers],[Pasture type]], 0)</f>
        <v>2.1999999999999999E-2</v>
      </c>
      <c r="I55" s="20" cm="1">
        <f t="array" ref="I55">Common_InputFunctions.Utility_DisplayArrayInTable(Agresidue_SourceData.PastureAttributes_Data(), Table_SourceData_PastureAttributes[[#Headers],[Pasture type]], 0)</f>
        <v>0.8</v>
      </c>
    </row>
    <row r="56" spans="1:12" ht="20" customHeight="1" x14ac:dyDescent="0.25">
      <c r="A56" s="5" t="str">
        <f>HYPERLINK("#'Constants - Fuel'!A1", "Constants - Fuel")</f>
        <v>Constants - Fuel</v>
      </c>
      <c r="D56" s="20" t="str" cm="1">
        <f t="array" ref="D56">Common_InputFunctions.Utility_DisplayArrayInTable(Agresidue_SourceData.PastureAttributes_Data(), Table_SourceData_PastureAttributes[[#Headers],[Pasture type]], 0)</f>
        <v>Perennial pasture</v>
      </c>
      <c r="E56" s="20" cm="1">
        <f t="array" ref="E56">Common_InputFunctions.Utility_DisplayArrayInTable(Agresidue_SourceData.PastureAttributes_Data(), Table_SourceData_PastureAttributes[[#Headers],[Pasture type]], 0)</f>
        <v>8.35</v>
      </c>
      <c r="F56" s="20" cm="1">
        <f t="array" ref="F56">Common_InputFunctions.Utility_DisplayArrayInTable(Agresidue_SourceData.PastureAttributes_Data(), Table_SourceData_PastureAttributes[[#Headers],[Pasture type]], 0)</f>
        <v>0.8</v>
      </c>
      <c r="G56" s="20" cm="1">
        <f t="array" ref="G56">Common_InputFunctions.Utility_DisplayArrayInTable(Agresidue_SourceData.PastureAttributes_Data(), Table_SourceData_PastureAttributes[[#Headers],[Pasture type]], 0)</f>
        <v>1.4999999999999999E-2</v>
      </c>
      <c r="H56" s="20" cm="1">
        <f t="array" ref="H56">Common_InputFunctions.Utility_DisplayArrayInTable(Agresidue_SourceData.PastureAttributes_Data(), Table_SourceData_PastureAttributes[[#Headers],[Pasture type]], 0)</f>
        <v>1.2E-2</v>
      </c>
      <c r="I56" s="20" cm="1">
        <f t="array" ref="I56">Common_InputFunctions.Utility_DisplayArrayInTable(Agresidue_SourceData.PastureAttributes_Data(), Table_SourceData_PastureAttributes[[#Headers],[Pasture type]], 0)</f>
        <v>0.8</v>
      </c>
    </row>
    <row r="57" spans="1:12" ht="20" customHeight="1" x14ac:dyDescent="0.25">
      <c r="A57" s="5" t="str">
        <f>HYPERLINK("#'Constants - Scope 3'!A1", "Constants - Scope 3")</f>
        <v>Constants - Scope 3</v>
      </c>
      <c r="H57" s="8"/>
    </row>
    <row r="58" spans="1:12" ht="20" customHeight="1" x14ac:dyDescent="0.25">
      <c r="A58" s="5" t="str">
        <f>HYPERLINK("#'Constants - Solid Waste'!A1", "Constants - Solid Waste")</f>
        <v>Constants - Solid Waste</v>
      </c>
    </row>
    <row r="59" spans="1:12" ht="20" customHeight="1" x14ac:dyDescent="0.25">
      <c r="A59" s="5" t="str">
        <f>HYPERLINK("#'Constants - Common'!A1", "Constants - Common")</f>
        <v>Constants - Common</v>
      </c>
      <c r="D59" s="2" t="str" cm="1">
        <f t="array" ref="D59">AgResidues_SourceData.BurningOfAgriculturalResiduesEFs_Title()</f>
        <v>Table 5.31 Burning of agricultural residues - EFs</v>
      </c>
    </row>
    <row r="60" spans="1:12" ht="20" customHeight="1" x14ac:dyDescent="0.25">
      <c r="A60" s="5" t="str">
        <f>HYPERLINK("#'Acknowledgements'!A1", "Acknowledgements")</f>
        <v>Acknowledgements</v>
      </c>
      <c r="D60" s="17" t="str" cm="1">
        <f t="array" ref="D60">AgResidues_SourceData.BurningOfAgriculturalResiduesEFs_Source()</f>
        <v>National Inventory Report 2023 volume 2: Table 5.31: Burning of agricultural residues - EFs</v>
      </c>
    </row>
    <row r="61" spans="1:12" ht="20" customHeight="1" x14ac:dyDescent="0.25"/>
    <row r="62" spans="1:12" ht="20" customHeight="1" x14ac:dyDescent="0.25">
      <c r="D62" s="20" t="s">
        <v>983</v>
      </c>
      <c r="E62" s="20" t="s">
        <v>984</v>
      </c>
      <c r="F62" s="20" t="s">
        <v>985</v>
      </c>
    </row>
    <row r="63" spans="1:12" ht="20" customHeight="1" x14ac:dyDescent="0.25">
      <c r="D63" s="20" t="str" cm="1">
        <f t="array" ref="D63">Common_InputFunctions.Utility_DisplayArrayInTable(AgResidues_SourceData.BurningOfAgriculturalResiduesEFs_Data(), Table_SourceData_BurningResidueEFs[[#Headers],[Gas species]], 0)</f>
        <v>CH4</v>
      </c>
      <c r="E63" s="20" cm="1">
        <f t="array" ref="E63">Common_InputFunctions.Utility_DisplayArrayInTable(AgResidues_SourceData.BurningOfAgriculturalResiduesEFs_Data(), Table_SourceData_BurningResidueEFs[[#Headers],[Gas species]], 0)</f>
        <v>3.5000000000000001E-3</v>
      </c>
      <c r="F63" s="20" t="str" cm="1">
        <f t="array" ref="F63">Common_InputFunctions.Utility_DisplayArrayInTable(AgResidues_SourceData.BurningOfAgriculturalResiduesEFs_Data(), Table_SourceData_BurningResidueEFs[[#Headers],[Gas species]], 0)</f>
        <v>16/12</v>
      </c>
      <c r="K63" s="8"/>
      <c r="L63" s="8"/>
    </row>
    <row r="64" spans="1:12" ht="20" customHeight="1" x14ac:dyDescent="0.25">
      <c r="D64" s="1" t="str" cm="1">
        <f t="array" ref="D64">Common_InputFunctions.Utility_DisplayArrayInTable(AgResidues_SourceData.BurningOfAgriculturalResiduesEFs_Data(), Table_SourceData_BurningResidueEFs[[#Headers],[Gas species]], 0)</f>
        <v>N2O</v>
      </c>
      <c r="E64" s="20" cm="1">
        <f t="array" ref="E64">Common_InputFunctions.Utility_DisplayArrayInTable(AgResidues_SourceData.BurningOfAgriculturalResiduesEFs_Data(), Table_SourceData_BurningResidueEFs[[#Headers],[Gas species]], 0)</f>
        <v>7.6E-3</v>
      </c>
      <c r="F64" s="20" t="str" cm="1">
        <f t="array" ref="F64">Common_InputFunctions.Utility_DisplayArrayInTable(AgResidues_SourceData.BurningOfAgriculturalResiduesEFs_Data(), Table_SourceData_BurningResidueEFs[[#Headers],[Gas species]], 0)</f>
        <v>44/28</v>
      </c>
      <c r="K64" s="8"/>
      <c r="L64" s="8"/>
    </row>
    <row r="65" spans="4:12" ht="20" customHeight="1" x14ac:dyDescent="0.25">
      <c r="D65" s="1" t="str" cm="1">
        <f t="array" ref="D65">Common_InputFunctions.Utility_DisplayArrayInTable(AgResidues_SourceData.BurningOfAgriculturalResiduesEFs_Data(), Table_SourceData_BurningResidueEFs[[#Headers],[Gas species]], 0)</f>
        <v>NOx</v>
      </c>
      <c r="E65" s="20" cm="1">
        <f t="array" ref="E65">Common_InputFunctions.Utility_DisplayArrayInTable(AgResidues_SourceData.BurningOfAgriculturalResiduesEFs_Data(), Table_SourceData_BurningResidueEFs[[#Headers],[Gas species]], 0)</f>
        <v>0.21</v>
      </c>
      <c r="F65" s="20" t="str" cm="1">
        <f t="array" ref="F65">Common_InputFunctions.Utility_DisplayArrayInTable(AgResidues_SourceData.BurningOfAgriculturalResiduesEFs_Data(), Table_SourceData_BurningResidueEFs[[#Headers],[Gas species]], 0)</f>
        <v>46/14</v>
      </c>
      <c r="K65" s="8"/>
      <c r="L65" s="8"/>
    </row>
    <row r="66" spans="4:12" ht="20" customHeight="1" x14ac:dyDescent="0.25">
      <c r="D66" s="1" t="str" cm="1">
        <f t="array" ref="D66">Common_InputFunctions.Utility_DisplayArrayInTable(AgResidues_SourceData.BurningOfAgriculturalResiduesEFs_Data(), Table_SourceData_BurningResidueEFs[[#Headers],[Gas species]], 0)</f>
        <v>CO</v>
      </c>
      <c r="E66" s="20" cm="1">
        <f t="array" ref="E66">Common_InputFunctions.Utility_DisplayArrayInTable(AgResidues_SourceData.BurningOfAgriculturalResiduesEFs_Data(), Table_SourceData_BurningResidueEFs[[#Headers],[Gas species]], 0)</f>
        <v>7.8E-2</v>
      </c>
      <c r="F66" s="20" t="str" cm="1">
        <f t="array" ref="F66">Common_InputFunctions.Utility_DisplayArrayInTable(AgResidues_SourceData.BurningOfAgriculturalResiduesEFs_Data(), Table_SourceData_BurningResidueEFs[[#Headers],[Gas species]], 0)</f>
        <v>28/12</v>
      </c>
      <c r="K66" s="8"/>
      <c r="L66" s="8"/>
    </row>
    <row r="67" spans="4:12" ht="20" customHeight="1" x14ac:dyDescent="0.25">
      <c r="D67" s="1" t="str" cm="1">
        <f t="array" ref="D67">Common_InputFunctions.Utility_DisplayArrayInTable(AgResidues_SourceData.BurningOfAgriculturalResiduesEFs_Data(), Table_SourceData_BurningResidueEFs[[#Headers],[Gas species]], 0)</f>
        <v>NMVOC</v>
      </c>
      <c r="E67" s="20" cm="1">
        <f t="array" ref="E67">Common_InputFunctions.Utility_DisplayArrayInTable(AgResidues_SourceData.BurningOfAgriculturalResiduesEFs_Data(), Table_SourceData_BurningResidueEFs[[#Headers],[Gas species]], 0)</f>
        <v>9.1000000000000004E-3</v>
      </c>
      <c r="F67" s="20" t="str" cm="1">
        <f t="array" ref="F67">Common_InputFunctions.Utility_DisplayArrayInTable(AgResidues_SourceData.BurningOfAgriculturalResiduesEFs_Data(), Table_SourceData_BurningResidueEFs[[#Headers],[Gas species]], 0)</f>
        <v>14/12</v>
      </c>
      <c r="K67" s="8"/>
      <c r="L67" s="8"/>
    </row>
    <row r="68" spans="4:12" ht="20" customHeight="1" x14ac:dyDescent="0.25">
      <c r="K68" s="8"/>
      <c r="L68" s="8"/>
    </row>
    <row r="69" spans="4:12" ht="20" customHeight="1" x14ac:dyDescent="0.25">
      <c r="K69" s="8"/>
      <c r="L69" s="8"/>
    </row>
    <row r="70" spans="4:12" ht="20" customHeight="1" x14ac:dyDescent="0.25">
      <c r="D70" s="2" t="str" cm="1">
        <f t="array" ref="D70">Agresidue_SourceData.CropFractionRemoved_Title()</f>
        <v>Table A.2.1.2: Crop attributes - Fraction removed (FFODc)</v>
      </c>
      <c r="E70" s="8"/>
      <c r="F70" s="8"/>
      <c r="G70" s="8"/>
      <c r="K70" s="8"/>
      <c r="L70" s="8"/>
    </row>
    <row r="71" spans="4:12" ht="20" customHeight="1" x14ac:dyDescent="0.25">
      <c r="D71" s="17" t="str" cm="1">
        <f t="array" ref="D71">Agresidue_SourceData.CropFractionRemoved_Source()</f>
        <v>VEERG 2026: Table A.2.1.2: Crop attributes - Fraction removed (FFODc)</v>
      </c>
      <c r="E71" s="8"/>
      <c r="F71" s="8"/>
      <c r="G71" s="8"/>
      <c r="K71" s="8"/>
      <c r="L71" s="8"/>
    </row>
    <row r="72" spans="4:12" ht="20" customHeight="1" x14ac:dyDescent="0.25">
      <c r="D72" s="8"/>
      <c r="E72" s="8"/>
      <c r="F72" s="8"/>
      <c r="G72" s="8"/>
      <c r="K72" s="8"/>
      <c r="L72" s="8"/>
    </row>
    <row r="73" spans="4:12" ht="20" customHeight="1" x14ac:dyDescent="0.25">
      <c r="D73" t="s">
        <v>986</v>
      </c>
      <c r="E73" t="s">
        <v>105</v>
      </c>
      <c r="F73" t="s">
        <v>987</v>
      </c>
      <c r="G73" s="8"/>
      <c r="K73" s="8"/>
      <c r="L73" s="8"/>
    </row>
    <row r="74" spans="4:12" ht="20"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 customHeight="1" x14ac:dyDescent="0.25">
      <c r="D90" s="8"/>
      <c r="E90" s="8"/>
      <c r="F90" s="8"/>
      <c r="G90" s="8"/>
      <c r="H90" s="8"/>
      <c r="I90" s="8"/>
      <c r="J90" s="8"/>
      <c r="K90" s="8"/>
      <c r="L90" s="8"/>
    </row>
    <row r="91" spans="4:12" ht="20" customHeight="1" x14ac:dyDescent="0.25">
      <c r="D91" s="2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 customHeight="1" x14ac:dyDescent="0.25">
      <c r="D92" t="s">
        <v>986</v>
      </c>
      <c r="E92" t="s">
        <v>105</v>
      </c>
      <c r="F92" t="s">
        <v>987</v>
      </c>
      <c r="G92" s="8"/>
      <c r="H92" s="8"/>
      <c r="I92" s="8"/>
      <c r="J92" s="8"/>
      <c r="K92" s="8"/>
      <c r="L92" s="8"/>
    </row>
    <row r="93" spans="4:12" ht="20"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ht="20" customHeight="1">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ht="20" customHeight="1">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ht="20" customHeight="1">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ht="20" customHeight="1">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ht="20" customHeight="1">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ht="20" customHeight="1">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ht="20" customHeight="1">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ht="20" customHeight="1">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ht="20" customHeight="1">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ht="20" customHeight="1">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ht="20" customHeight="1">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ht="20" customHeight="1">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ht="20" customHeight="1">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ht="20" customHeight="1">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ht="20" customHeight="1">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ht="20" customHeight="1">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ht="20" customHeight="1">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ht="20" customHeight="1">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ht="20" customHeight="1">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ht="20" customHeight="1">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ht="20" customHeight="1">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ht="20" customHeight="1">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ht="20" customHeight="1">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ht="20" customHeight="1">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ht="20" customHeight="1">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ht="20" customHeight="1">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ht="20" customHeight="1">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ht="20" customHeight="1">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ht="20" customHeight="1">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ht="20" customHeight="1">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ht="20" customHeight="1">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ht="20" customHeight="1">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ht="20" customHeight="1">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ht="20" customHeight="1">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ht="20" customHeight="1">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ht="20" customHeight="1">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ht="20" customHeight="1">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ht="20" customHeight="1">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ht="20" customHeight="1">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ht="20" customHeight="1">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ht="20" customHeight="1">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ht="20" customHeight="1">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ht="20" customHeight="1">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ht="20" customHeight="1">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ht="20" customHeight="1">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ht="20" customHeight="1">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ht="20" customHeight="1">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ht="20" customHeight="1">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ht="20" customHeight="1">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ht="20" customHeight="1">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ht="20" customHeight="1">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ht="20" customHeight="1">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ht="20" customHeight="1">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ht="20" customHeight="1">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ht="20" customHeight="1">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ht="20" customHeight="1">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ht="20" customHeight="1">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ht="20" customHeight="1">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ht="20" customHeight="1">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ht="20" customHeight="1">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ht="20" customHeight="1">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ht="20" customHeight="1">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ht="20" customHeight="1">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ht="20" customHeight="1">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ht="20" customHeight="1">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ht="20" customHeight="1">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ht="20" customHeight="1">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ht="20" customHeight="1">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ht="20" customHeight="1">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ht="20" customHeight="1">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4AD02-BDDF-4E59-B403-378476009C5B}">
  <sheetPr>
    <tabColor theme="2" tint="-0.499984740745262"/>
  </sheetPr>
  <dimension ref="A1:M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1" t="s">
        <v>1199</v>
      </c>
      <c r="D1" s="21"/>
      <c r="E1" s="21"/>
      <c r="F1" s="21"/>
      <c r="G1" s="21"/>
      <c r="H1" s="21"/>
      <c r="I1" s="21"/>
      <c r="J1" s="21"/>
      <c r="K1" s="21"/>
      <c r="L1" s="21"/>
      <c r="M1" s="21"/>
    </row>
    <row r="2" spans="1:13" ht="20" customHeight="1" x14ac:dyDescent="0.25">
      <c r="C2" s="3"/>
      <c r="D2" s="3"/>
      <c r="E2" s="3"/>
      <c r="F2" s="3"/>
      <c r="G2" s="3"/>
      <c r="H2" s="3"/>
      <c r="I2" s="3"/>
      <c r="J2" s="3"/>
      <c r="K2" s="3"/>
      <c r="L2" s="3"/>
      <c r="M2" s="3"/>
    </row>
    <row r="3" spans="1:13" ht="20" customHeight="1" x14ac:dyDescent="0.25">
      <c r="A3" s="5" t="str">
        <f>HYPERLINK("#'Home'!A1", "Home")</f>
        <v>Home</v>
      </c>
      <c r="C3" s="23"/>
      <c r="D3" s="23"/>
      <c r="E3" s="23"/>
      <c r="F3" s="23"/>
      <c r="G3" s="23"/>
      <c r="H3" s="23"/>
      <c r="I3" s="23"/>
      <c r="J3" s="23"/>
      <c r="K3" s="23"/>
      <c r="L3" s="23"/>
      <c r="M3" s="23"/>
    </row>
    <row r="4" spans="1:13" ht="20" customHeight="1" x14ac:dyDescent="0.25">
      <c r="A4" s="5" t="str">
        <f>HYPERLINK("#'Results - Activity period'!A1", "Results - Activity period")</f>
        <v>Results - Activity period</v>
      </c>
    </row>
    <row r="5" spans="1:13" ht="20" customHeight="1" x14ac:dyDescent="0.25">
      <c r="A5" s="5" t="str">
        <f>HYPERLINK("#'Results - Product EI'!A1", "Results - Product Emissions Intensity")</f>
        <v>Results - Product Emissions Intensity</v>
      </c>
    </row>
    <row r="6" spans="1:13" ht="20" customHeight="1" x14ac:dyDescent="0.25">
      <c r="D6" s="2" t="str" cm="1">
        <f t="array" ref="D6">CommonLivestock_SourceData.SourceData_Livestock_Common_SymbolsMMS_Title()</f>
        <v>Table 5.12 Additional symbols used in algorithms for manure related emissions</v>
      </c>
      <c r="E6" s="25"/>
      <c r="F6" s="25"/>
      <c r="G6" s="25"/>
      <c r="H6" s="25"/>
    </row>
    <row r="7" spans="1:13" ht="20" customHeight="1" x14ac:dyDescent="0.25">
      <c r="D7" s="25" t="str" cm="1">
        <f t="array" ref="D7">CommonLivestock_SourceData.SourceData_Livestock_Common_SymbolsMMS_Vairable()</f>
        <v>MMS</v>
      </c>
      <c r="E7" s="25"/>
      <c r="F7" s="25"/>
      <c r="G7" s="25"/>
      <c r="H7" s="25"/>
    </row>
    <row r="8" spans="1:13" ht="20" customHeight="1" x14ac:dyDescent="0.25">
      <c r="A8" s="7" t="s">
        <v>0</v>
      </c>
      <c r="D8" s="17" t="str" cm="1">
        <f t="array" ref="D8">CommonLivestock_SourceData.SourceData_Livestock_Common_SymbolsMMS_Source()</f>
        <v>National Inventory Report 2023 Volume 1: Table 5.12</v>
      </c>
      <c r="E8" s="25"/>
      <c r="F8" s="25"/>
      <c r="G8" s="25"/>
      <c r="H8" s="25"/>
    </row>
    <row r="9" spans="1:13" ht="20" customHeight="1" x14ac:dyDescent="0.25">
      <c r="A9" s="5" t="str">
        <f>HYPERLINK("#'Input - Enterprise'!A1", "Enterprise")</f>
        <v>Enterprise</v>
      </c>
      <c r="D9" s="27" t="s">
        <v>1200</v>
      </c>
      <c r="E9" s="20" t="s">
        <v>351</v>
      </c>
      <c r="F9" s="20" t="s">
        <v>1201</v>
      </c>
      <c r="G9" s="25"/>
    </row>
    <row r="10" spans="1:13" ht="20" customHeight="1" x14ac:dyDescent="0.25">
      <c r="A10" s="5" t="str">
        <f>HYPERLINK("#'Input - Site'!A1", "Site")</f>
        <v>Site</v>
      </c>
      <c r="D10" s="27" t="str" cm="1">
        <f t="array" ref="D10">Common_InputFunctions.Utility_DisplayArrayInTable(CommonLivestock_SourceData.SourceData_Livestock_Common_SymbolsMMS_Data(), Table_Data_MMSSymbols[[#Headers],[Symbol]], 0)</f>
        <v>1</v>
      </c>
      <c r="E10" s="27" t="str" cm="1">
        <f t="array" ref="E10">Common_InputFunctions.Utility_DisplayArrayInTable(CommonLivestock_SourceData.SourceData_Livestock_Common_SymbolsMMS_Data(), Table_Data_MMSSymbols[[#Headers],[Symbol]], 0)</f>
        <v>Anaerobic lagoon</v>
      </c>
      <c r="F10" s="27" t="str" cm="1">
        <f t="array" ref="F10">Common_InputFunctions.Utility_DisplayArrayInTable(CommonLivestock_SourceData.SourceData_Livestock_Common_SymbolsMMS_Data(), Table_Data_MMSSymbols[[#Headers],[Symbol]], 0)</f>
        <v>Anaerobic lagoon (m=1)</v>
      </c>
      <c r="G10" s="25"/>
    </row>
    <row r="11" spans="1:13" ht="20" customHeight="1" x14ac:dyDescent="0.25">
      <c r="A11" s="5" t="str">
        <f>HYPERLINK("#'Input - Pasture Beef'!A1", "Pasture Beef")</f>
        <v>Pasture Beef</v>
      </c>
      <c r="D11" s="27" t="str" cm="1">
        <f t="array" ref="D11">Common_InputFunctions.Utility_DisplayArrayInTable(CommonLivestock_SourceData.SourceData_Livestock_Common_SymbolsMMS_Data(), Table_Data_MMSSymbols[[#Headers],[Symbol]], 0)</f>
        <v>2</v>
      </c>
      <c r="E11" s="27" t="str" cm="1">
        <f t="array" ref="E11">Common_InputFunctions.Utility_DisplayArrayInTable(CommonLivestock_SourceData.SourceData_Livestock_Common_SymbolsMMS_Data(), Table_Data_MMSSymbols[[#Headers],[Symbol]], 0)</f>
        <v>Liquid systems</v>
      </c>
      <c r="F11" s="27" t="str" cm="1">
        <f t="array" ref="F11">Common_InputFunctions.Utility_DisplayArrayInTable(CommonLivestock_SourceData.SourceData_Livestock_Common_SymbolsMMS_Data(), Table_Data_MMSSymbols[[#Headers],[Symbol]], 0)</f>
        <v>Liquid systems (m=2)</v>
      </c>
      <c r="G11" s="25"/>
    </row>
    <row r="12" spans="1:13" ht="20" customHeight="1" x14ac:dyDescent="0.25">
      <c r="A12" s="5" t="str">
        <f>HYPERLINK("#'Input - Livestock sales'!A1", "Livestock sales")</f>
        <v>Livestock sales</v>
      </c>
      <c r="D12" s="20" t="str" cm="1">
        <f t="array" ref="D12">Common_InputFunctions.Utility_DisplayArrayInTable(CommonLivestock_SourceData.SourceData_Livestock_Common_SymbolsMMS_Data(), Table_Data_MMSSymbols[[#Headers],[Symbol]], 0)</f>
        <v>3</v>
      </c>
      <c r="E12" s="20" t="str" cm="1">
        <f t="array" ref="E12">Common_InputFunctions.Utility_DisplayArrayInTable(CommonLivestock_SourceData.SourceData_Livestock_Common_SymbolsMMS_Data(), Table_Data_MMSSymbols[[#Headers],[Symbol]], 0)</f>
        <v>Daily spread</v>
      </c>
      <c r="F12" s="20" t="str" cm="1">
        <f t="array" ref="F12">Common_InputFunctions.Utility_DisplayArrayInTable(CommonLivestock_SourceData.SourceData_Livestock_Common_SymbolsMMS_Data(), Table_Data_MMSSymbols[[#Headers],[Symbol]], 0)</f>
        <v>Daily spread (m=3)</v>
      </c>
      <c r="G12" s="25"/>
    </row>
    <row r="13" spans="1:13" ht="20" customHeight="1" x14ac:dyDescent="0.25">
      <c r="A13" s="5" t="str">
        <f>HYPERLINK("#'Input - Beef cattle purchases'!A1", "Beef cattle purchases")</f>
        <v>Beef cattle purchases</v>
      </c>
      <c r="D13" s="20" t="str" cm="1">
        <f t="array" ref="D13">Common_InputFunctions.Utility_DisplayArrayInTable(CommonLivestock_SourceData.SourceData_Livestock_Common_SymbolsMMS_Data(), Table_Data_MMSSymbols[[#Headers],[Symbol]], 0)</f>
        <v>3a</v>
      </c>
      <c r="E13" s="20" t="str" cm="1">
        <f t="array" ref="E13">Common_InputFunctions.Utility_DisplayArrayInTable(CommonLivestock_SourceData.SourceData_Livestock_Common_SymbolsMMS_Data(), Table_Data_MMSSymbols[[#Headers],[Symbol]], 0)</f>
        <v>Sump and dispersal system</v>
      </c>
      <c r="F13" s="20" t="str" cm="1">
        <f t="array" ref="F13">Common_InputFunctions.Utility_DisplayArrayInTable(CommonLivestock_SourceData.SourceData_Livestock_Common_SymbolsMMS_Data(), Table_Data_MMSSymbols[[#Headers],[Symbol]], 0)</f>
        <v>Sump and dispersal system (m=3a)</v>
      </c>
      <c r="G13" s="25"/>
    </row>
    <row r="14" spans="1:13" ht="20" customHeight="1" x14ac:dyDescent="0.25">
      <c r="A14" s="5" t="str">
        <f>HYPERLINK("#'Input - Pasture'!A1", "Pasture")</f>
        <v>Pasture</v>
      </c>
      <c r="D14" s="20" t="str" cm="1">
        <f t="array" ref="D14">Common_InputFunctions.Utility_DisplayArrayInTable(CommonLivestock_SourceData.SourceData_Livestock_Common_SymbolsMMS_Data(), Table_Data_MMSSymbols[[#Headers],[Symbol]], 0)</f>
        <v>3b</v>
      </c>
      <c r="E14" s="20" t="str" cm="1">
        <f t="array" ref="E14">Common_InputFunctions.Utility_DisplayArrayInTable(CommonLivestock_SourceData.SourceData_Livestock_Common_SymbolsMMS_Data(), Table_Data_MMSSymbols[[#Headers],[Symbol]], 0)</f>
        <v>Drains to paddock</v>
      </c>
      <c r="F14" s="20" t="str" cm="1">
        <f t="array" ref="F14">Common_InputFunctions.Utility_DisplayArrayInTable(CommonLivestock_SourceData.SourceData_Livestock_Common_SymbolsMMS_Data(), Table_Data_MMSSymbols[[#Headers],[Symbol]], 0)</f>
        <v>Drains to paddock (m=3b)</v>
      </c>
      <c r="G14" s="25"/>
    </row>
    <row r="15" spans="1:13" ht="20" customHeight="1" x14ac:dyDescent="0.25">
      <c r="A15" s="5" t="str">
        <f>HYPERLINK("#'Input - Fert Prod System'!A1", "Fert Prod System")</f>
        <v>Fert Prod System</v>
      </c>
      <c r="D15" s="20" t="str" cm="1">
        <f t="array" ref="D15">Common_InputFunctions.Utility_DisplayArrayInTable(CommonLivestock_SourceData.SourceData_Livestock_Common_SymbolsMMS_Data(), Table_Data_MMSSymbols[[#Headers],[Symbol]], 0)</f>
        <v>4</v>
      </c>
      <c r="E15" s="20" t="str" cm="1">
        <f t="array" ref="E15">Common_InputFunctions.Utility_DisplayArrayInTable(CommonLivestock_SourceData.SourceData_Livestock_Common_SymbolsMMS_Data(), Table_Data_MMSSymbols[[#Headers],[Symbol]], 0)</f>
        <v>Solid storage</v>
      </c>
      <c r="F15" s="20" t="str" cm="1">
        <f t="array" ref="F15">Common_InputFunctions.Utility_DisplayArrayInTable(CommonLivestock_SourceData.SourceData_Livestock_Common_SymbolsMMS_Data(), Table_Data_MMSSymbols[[#Headers],[Symbol]], 0)</f>
        <v>Solid storage (m=4)</v>
      </c>
      <c r="G15" s="25"/>
    </row>
    <row r="16" spans="1:13" ht="20" customHeight="1" x14ac:dyDescent="0.25">
      <c r="A16" s="5" t="str">
        <f>HYPERLINK("#'Input - Fertiliser'!A1", "Fertiliser")</f>
        <v>Fertiliser</v>
      </c>
      <c r="D16" s="20" t="str" cm="1">
        <f t="array" ref="D16">Common_InputFunctions.Utility_DisplayArrayInTable(CommonLivestock_SourceData.SourceData_Livestock_Common_SymbolsMMS_Data(), Table_Data_MMSSymbols[[#Headers],[Symbol]], 0)</f>
        <v>5</v>
      </c>
      <c r="E16" s="20" t="str" cm="1">
        <f t="array" ref="E16">Common_InputFunctions.Utility_DisplayArrayInTable(CommonLivestock_SourceData.SourceData_Livestock_Common_SymbolsMMS_Data(), Table_Data_MMSSymbols[[#Headers],[Symbol]], 0)</f>
        <v>Drylot (feed pad)</v>
      </c>
      <c r="F16" s="20" t="str" cm="1">
        <f t="array" ref="F16">Common_InputFunctions.Utility_DisplayArrayInTable(CommonLivestock_SourceData.SourceData_Livestock_Common_SymbolsMMS_Data(), Table_Data_MMSSymbols[[#Headers],[Symbol]], 0)</f>
        <v>Drylot (feed pad) (m=5)</v>
      </c>
      <c r="G16" s="25"/>
    </row>
    <row r="17" spans="1:8" ht="20" customHeight="1" x14ac:dyDescent="0.25">
      <c r="A17" s="5" t="str">
        <f>HYPERLINK("#'Input - Fuel'!A1", "Fuel")</f>
        <v>Fuel</v>
      </c>
      <c r="D17" s="20" t="str" cm="1">
        <f t="array" ref="D17">Common_InputFunctions.Utility_DisplayArrayInTable(CommonLivestock_SourceData.SourceData_Livestock_Common_SymbolsMMS_Data(), Table_Data_MMSSymbols[[#Headers],[Symbol]], 0)</f>
        <v>6</v>
      </c>
      <c r="E17" s="20" t="str" cm="1">
        <f t="array" ref="E17">Common_InputFunctions.Utility_DisplayArrayInTable(CommonLivestock_SourceData.SourceData_Livestock_Common_SymbolsMMS_Data(), Table_Data_MMSSymbols[[#Headers],[Symbol]], 0)</f>
        <v>Composting (passive windrow)</v>
      </c>
      <c r="F17" s="20" t="str" cm="1">
        <f t="array" ref="F17">Common_InputFunctions.Utility_DisplayArrayInTable(CommonLivestock_SourceData.SourceData_Livestock_Common_SymbolsMMS_Data(), Table_Data_MMSSymbols[[#Headers],[Symbol]], 0)</f>
        <v>Composting (passive windrow) (m=6)</v>
      </c>
      <c r="G17" s="25"/>
    </row>
    <row r="18" spans="1:8" ht="20" customHeight="1" x14ac:dyDescent="0.25">
      <c r="A18" s="5" t="str">
        <f>HYPERLINK("#'Input - Electricity'!A1", "Electricity")</f>
        <v>Electricity</v>
      </c>
      <c r="D18" s="20" t="str" cm="1">
        <f t="array" ref="D18">Common_InputFunctions.Utility_DisplayArrayInTable(CommonLivestock_SourceData.SourceData_Livestock_Common_SymbolsMMS_Data(), Table_Data_MMSSymbols[[#Headers],[Symbol]], 0)</f>
        <v>7</v>
      </c>
      <c r="E18" s="20" t="str" cm="1">
        <f t="array" ref="E18">Common_InputFunctions.Utility_DisplayArrayInTable(CommonLivestock_SourceData.SourceData_Livestock_Common_SymbolsMMS_Data(), Table_Data_MMSSymbols[[#Headers],[Symbol]], 0)</f>
        <v>Digester / covered lagoons</v>
      </c>
      <c r="F18" s="20" t="str" cm="1">
        <f t="array" ref="F18">Common_InputFunctions.Utility_DisplayArrayInTable(CommonLivestock_SourceData.SourceData_Livestock_Common_SymbolsMMS_Data(), Table_Data_MMSSymbols[[#Headers],[Symbol]], 0)</f>
        <v>Digester / covered lagoons (m=7)</v>
      </c>
      <c r="G18" s="25"/>
    </row>
    <row r="19" spans="1:8" ht="20" customHeight="1" x14ac:dyDescent="0.25">
      <c r="A19" s="5" t="str">
        <f>HYPERLINK("#'Input - Common farm inputs'!A1", "Common farm inputs")</f>
        <v>Common farm inputs</v>
      </c>
      <c r="D19" s="20" t="str" cm="1">
        <f t="array" ref="D19">Common_InputFunctions.Utility_DisplayArrayInTable(CommonLivestock_SourceData.SourceData_Livestock_Common_SymbolsMMS_Data(), Table_Data_MMSSymbols[[#Headers],[Symbol]], 0)</f>
        <v>8</v>
      </c>
      <c r="E19" s="20" t="str" cm="1">
        <f t="array" ref="E19">Common_InputFunctions.Utility_DisplayArrayInTable(CommonLivestock_SourceData.SourceData_Livestock_Common_SymbolsMMS_Data(), Table_Data_MMSSymbols[[#Headers],[Symbol]], 0)</f>
        <v>Deep litter</v>
      </c>
      <c r="F19" s="20" t="str" cm="1">
        <f t="array" ref="F19">Common_InputFunctions.Utility_DisplayArrayInTable(CommonLivestock_SourceData.SourceData_Livestock_Common_SymbolsMMS_Data(), Table_Data_MMSSymbols[[#Headers],[Symbol]], 0)</f>
        <v>Deep litter (m=8)</v>
      </c>
      <c r="G19" s="25"/>
    </row>
    <row r="20" spans="1:8" ht="20" customHeight="1" x14ac:dyDescent="0.25">
      <c r="A20" s="5" t="str">
        <f>HYPERLINK("#'Input - Crop pasture farm input'!A1", "Crop pasture farm input")</f>
        <v>Crop pasture farm input</v>
      </c>
      <c r="D20" s="20" t="str" cm="1">
        <f t="array" ref="D20">Common_InputFunctions.Utility_DisplayArrayInTable(CommonLivestock_SourceData.SourceData_Livestock_Common_SymbolsMMS_Data(), Table_Data_MMSSymbols[[#Headers],[Symbol]], 0)</f>
        <v>9</v>
      </c>
      <c r="E20" s="20" t="str" cm="1">
        <f t="array" ref="E20">Common_InputFunctions.Utility_DisplayArrayInTable(CommonLivestock_SourceData.SourceData_Livestock_Common_SymbolsMMS_Data(), Table_Data_MMSSymbols[[#Headers],[Symbol]], 0)</f>
        <v>Pit storage</v>
      </c>
      <c r="F20" s="20" t="str" cm="1">
        <f t="array" ref="F20">Common_InputFunctions.Utility_DisplayArrayInTable(CommonLivestock_SourceData.SourceData_Livestock_Common_SymbolsMMS_Data(), Table_Data_MMSSymbols[[#Headers],[Symbol]], 0)</f>
        <v>Pit storage (m=9)</v>
      </c>
      <c r="G20" s="25"/>
    </row>
    <row r="21" spans="1:8" ht="20" customHeight="1" x14ac:dyDescent="0.25">
      <c r="A21" s="5" t="str">
        <f>HYPERLINK("#'Input - Livestock farm Inputs'!A1", "Livestock farm Inputs")</f>
        <v>Livestock farm Inputs</v>
      </c>
      <c r="D21" s="20" t="str" cm="1">
        <f t="array" ref="D21">Common_InputFunctions.Utility_DisplayArrayInTable(CommonLivestock_SourceData.SourceData_Livestock_Common_SymbolsMMS_Data(), Table_Data_MMSSymbols[[#Headers],[Symbol]], 0)</f>
        <v>10</v>
      </c>
      <c r="E21" s="20" t="str" cm="1">
        <f t="array" ref="E21">Common_InputFunctions.Utility_DisplayArrayInTable(CommonLivestock_SourceData.SourceData_Livestock_Common_SymbolsMMS_Data(), Table_Data_MMSSymbols[[#Headers],[Symbol]], 0)</f>
        <v>Poultry manure with bedding</v>
      </c>
      <c r="F21" s="20" t="str" cm="1">
        <f t="array" ref="F21">Common_InputFunctions.Utility_DisplayArrayInTable(CommonLivestock_SourceData.SourceData_Livestock_Common_SymbolsMMS_Data(), Table_Data_MMSSymbols[[#Headers],[Symbol]], 0)</f>
        <v>Poultry manure with bedding (m=10)</v>
      </c>
      <c r="G21" s="25"/>
    </row>
    <row r="22" spans="1:8" ht="20" customHeight="1" x14ac:dyDescent="0.25">
      <c r="A22" s="5" t="str">
        <f>HYPERLINK("#'Input - Freight'!A1", "Freight")</f>
        <v>Freight</v>
      </c>
      <c r="D22" s="20" t="str" cm="1">
        <f t="array" ref="D22">Common_InputFunctions.Utility_DisplayArrayInTable(CommonLivestock_SourceData.SourceData_Livestock_Common_SymbolsMMS_Data(), Table_Data_MMSSymbols[[#Headers],[Symbol]], 0)</f>
        <v>11</v>
      </c>
      <c r="E22" s="20" t="str" cm="1">
        <f t="array" ref="E22">Common_InputFunctions.Utility_DisplayArrayInTable(CommonLivestock_SourceData.SourceData_Livestock_Common_SymbolsMMS_Data(), Table_Data_MMSSymbols[[#Headers],[Symbol]], 0)</f>
        <v>Poultry manure without bedding</v>
      </c>
      <c r="F22" s="20" t="str" cm="1">
        <f t="array" ref="F22">Common_InputFunctions.Utility_DisplayArrayInTable(CommonLivestock_SourceData.SourceData_Livestock_Common_SymbolsMMS_Data(), Table_Data_MMSSymbols[[#Headers],[Symbol]], 0)</f>
        <v>Poultry manure without bedding (m=11)</v>
      </c>
      <c r="G22" s="25"/>
    </row>
    <row r="23" spans="1:8" ht="20" customHeight="1" x14ac:dyDescent="0.25">
      <c r="A23" s="5" t="str">
        <f>HYPERLINK("#'Input - Solid waste'!A1", "Solid waste")</f>
        <v>Solid waste</v>
      </c>
      <c r="D23" s="20" t="str" cm="1">
        <f t="array" ref="D23">Common_InputFunctions.Utility_DisplayArrayInTable(CommonLivestock_SourceData.SourceData_Livestock_Common_SymbolsMMS_Data(), Table_Data_MMSSymbols[[#Headers],[Symbol]], 0)</f>
        <v>11a</v>
      </c>
      <c r="E23" s="20" t="str" cm="1">
        <f t="array" ref="E23">Common_InputFunctions.Utility_DisplayArrayInTable(CommonLivestock_SourceData.SourceData_Livestock_Common_SymbolsMMS_Data(), Table_Data_MMSSymbols[[#Headers],[Symbol]], 0)</f>
        <v>Belt manure removal</v>
      </c>
      <c r="F23" s="20" t="str" cm="1">
        <f t="array" ref="F23">Common_InputFunctions.Utility_DisplayArrayInTable(CommonLivestock_SourceData.SourceData_Livestock_Common_SymbolsMMS_Data(), Table_Data_MMSSymbols[[#Headers],[Symbol]], 0)</f>
        <v>Belt manure removal (m=11a)</v>
      </c>
      <c r="G23" s="25"/>
    </row>
    <row r="24" spans="1:8" ht="20" customHeight="1" x14ac:dyDescent="0.25">
      <c r="A24" s="5" t="str">
        <f>HYPERLINK("#'Input - Manure sent off-site'!A1", "Manure sent off-site")</f>
        <v>Manure sent off-site</v>
      </c>
      <c r="D24" s="20" t="str" cm="1">
        <f t="array" ref="D24">Common_InputFunctions.Utility_DisplayArrayInTable(CommonLivestock_SourceData.SourceData_Livestock_Common_SymbolsMMS_Data(), Table_Data_MMSSymbols[[#Headers],[Symbol]], 0)</f>
        <v>11b</v>
      </c>
      <c r="E24" s="20" t="str" cm="1">
        <f t="array" ref="E24">Common_InputFunctions.Utility_DisplayArrayInTable(CommonLivestock_SourceData.SourceData_Livestock_Common_SymbolsMMS_Data(), Table_Data_MMSSymbols[[#Headers],[Symbol]], 0)</f>
        <v>Manure stored in house</v>
      </c>
      <c r="F24" s="20" t="str" cm="1">
        <f t="array" ref="F24">Common_InputFunctions.Utility_DisplayArrayInTable(CommonLivestock_SourceData.SourceData_Livestock_Common_SymbolsMMS_Data(), Table_Data_MMSSymbols[[#Headers],[Symbol]], 0)</f>
        <v>Manure stored in house (m=11b)</v>
      </c>
      <c r="G24" s="25"/>
    </row>
    <row r="25" spans="1:8" ht="20" customHeight="1" x14ac:dyDescent="0.25">
      <c r="A25" s="5" t="str">
        <f>HYPERLINK("#'Input - Data quality'!A1", "Data quality")</f>
        <v>Data quality</v>
      </c>
      <c r="D25" s="20" t="str" cm="1">
        <f t="array" ref="D25">Common_InputFunctions.Utility_DisplayArrayInTable(CommonLivestock_SourceData.SourceData_Livestock_Common_SymbolsMMS_Data(), Table_Data_MMSSymbols[[#Headers],[Symbol]], 0)</f>
        <v>12</v>
      </c>
      <c r="E25" s="20" t="str" cm="1">
        <f t="array" ref="E25">Common_InputFunctions.Utility_DisplayArrayInTable(CommonLivestock_SourceData.SourceData_Livestock_Common_SymbolsMMS_Data(), Table_Data_MMSSymbols[[#Headers],[Symbol]], 0)</f>
        <v>Direct processing</v>
      </c>
      <c r="F25" s="20" t="str" cm="1">
        <f t="array" ref="F25">Common_InputFunctions.Utility_DisplayArrayInTable(CommonLivestock_SourceData.SourceData_Livestock_Common_SymbolsMMS_Data(), Table_Data_MMSSymbols[[#Headers],[Symbol]], 0)</f>
        <v>Direct processing (m=12)</v>
      </c>
      <c r="G25" s="25"/>
    </row>
    <row r="26" spans="1:8" ht="20" customHeight="1" x14ac:dyDescent="0.25">
      <c r="D26" s="20" t="str" cm="1">
        <f t="array" ref="D26">Common_InputFunctions.Utility_DisplayArrayInTable(CommonLivestock_SourceData.SourceData_Livestock_Common_SymbolsMMS_Data(), Table_Data_MMSSymbols[[#Headers],[Symbol]], 0)</f>
        <v>13</v>
      </c>
      <c r="E26" s="20" t="str" cm="1">
        <f t="array" ref="E26">Common_InputFunctions.Utility_DisplayArrayInTable(CommonLivestock_SourceData.SourceData_Livestock_Common_SymbolsMMS_Data(), Table_Data_MMSSymbols[[#Headers],[Symbol]], 0)</f>
        <v>Direct application</v>
      </c>
      <c r="F26" s="20" t="str" cm="1">
        <f t="array" ref="F26">Common_InputFunctions.Utility_DisplayArrayInTable(CommonLivestock_SourceData.SourceData_Livestock_Common_SymbolsMMS_Data(), Table_Data_MMSSymbols[[#Headers],[Symbol]], 0)</f>
        <v>Direct application (m=13)</v>
      </c>
      <c r="G26" s="25"/>
    </row>
    <row r="27" spans="1:8" ht="20" customHeight="1" x14ac:dyDescent="0.25">
      <c r="D27" s="20" t="str" cm="1">
        <f t="array" ref="D27">Common_InputFunctions.Utility_DisplayArrayInTable(CommonLivestock_SourceData.SourceData_Livestock_Common_SymbolsMMS_Data(), Table_Data_MMSSymbols[[#Headers],[Symbol]], 0)</f>
        <v>14</v>
      </c>
      <c r="E27" s="20" t="str" cm="1">
        <f t="array" ref="E27">Common_InputFunctions.Utility_DisplayArrayInTable(CommonLivestock_SourceData.SourceData_Livestock_Common_SymbolsMMS_Data(), Table_Data_MMSSymbols[[#Headers],[Symbol]], 0)</f>
        <v>Pasture range and paddock</v>
      </c>
      <c r="F27" s="20" t="str" cm="1">
        <f t="array" ref="F27">Common_InputFunctions.Utility_DisplayArrayInTable(CommonLivestock_SourceData.SourceData_Livestock_Common_SymbolsMMS_Data(), Table_Data_MMSSymbols[[#Headers],[Symbol]], 0)</f>
        <v>Pasture range and paddock (m=14)</v>
      </c>
      <c r="G27" s="25"/>
    </row>
    <row r="28" spans="1:8" ht="20" customHeight="1" x14ac:dyDescent="0.25">
      <c r="A28" s="6" t="s">
        <v>2</v>
      </c>
      <c r="G28" s="25"/>
      <c r="H28" s="25"/>
    </row>
    <row r="29" spans="1:8" ht="20" customHeight="1" x14ac:dyDescent="0.25">
      <c r="A29" s="5" t="str">
        <f>HYPERLINK("#'3.2.1.1-2 Enteric Methane'!A1", "3.2.1.1-2 Enteric Methane")</f>
        <v>3.2.1.1-2 Enteric Methane</v>
      </c>
      <c r="D29" s="2" t="str" cm="1">
        <f t="array" ref="D29">CommonLivestock_SourceData.SourceData_Livestock_Product_BeefCattle_Title()</f>
        <v>Beef cattle products for scope 3</v>
      </c>
    </row>
    <row r="30" spans="1:8" ht="20" customHeight="1" x14ac:dyDescent="0.25">
      <c r="A30" s="5" t="str">
        <f>HYPERLINK("#'4.2.1.1-2 Methane'!A1", "4.2.1.1-2 Manure methane")</f>
        <v>4.2.1.1-2 Manure methane</v>
      </c>
      <c r="D30" s="1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 customHeight="1" x14ac:dyDescent="0.25">
      <c r="A31" s="5" t="str">
        <f>HYPERLINK("#'4.2.1.3-4 Soil direct N20'!A1", "4.2.1.3-4 Soil direct N2O")</f>
        <v>4.2.1.3-4 Soil direct N2O</v>
      </c>
      <c r="D31" s="20" t="s">
        <v>139</v>
      </c>
      <c r="E31" s="20" t="s">
        <v>1202</v>
      </c>
      <c r="F31" s="1" t="s">
        <v>1203</v>
      </c>
    </row>
    <row r="32" spans="1:8" ht="20" customHeight="1" x14ac:dyDescent="0.25">
      <c r="A32" s="5" t="str">
        <f>HYPERLINK("#'4.2.1.5-6 Soil Atmos Dep'!A1", "4.2.1.5-6 Soil atm. deposition")</f>
        <v>4.2.1.5-6 Soil atm. deposition</v>
      </c>
      <c r="D32" s="20" t="str" cm="1">
        <f t="array" ref="D32">Common_InputFunctions.Utility_DisplayArrayInTable(CommonLivestock_SourceData.SourceData_Livestock_Product_BeefCattle_Data(),Table_SourceData_LivestockProduct_Beefcattle[[#Headers],[Product]],0)</f>
        <v>Cattle, for manufacturing beef</v>
      </c>
      <c r="E32" s="20" t="str" cm="1">
        <f t="array" ref="E32">Common_InputFunctions.Utility_DisplayArrayInTable(CommonLivestock_SourceData.SourceData_Livestock_Product_BeefCattle_Data(),Table_SourceData_LivestockProduct_Beefcattle[[#Headers],[Product]],0)</f>
        <v>Australia</v>
      </c>
    </row>
    <row r="33" spans="1:6" ht="20" customHeight="1" x14ac:dyDescent="0.25">
      <c r="A33" s="5" t="str">
        <f>HYPERLINK("#'4.2.1.7-8 Soil leach runoff'!A1", "4.2.1.7-8 Soil leach &amp; runoff")</f>
        <v>4.2.1.7-8 Soil leach &amp; runoff</v>
      </c>
      <c r="D33" s="1" t="str" cm="1">
        <f t="array" ref="D33">Common_InputFunctions.Utility_DisplayArrayInTable(CommonLivestock_SourceData.SourceData_Livestock_Product_BeefCattle_Data(),Table_SourceData_LivestockProduct_Beefcattle[[#Headers],[Product]],0)</f>
        <v>Cattle, for prime beef</v>
      </c>
      <c r="E33" s="20" t="str" cm="1">
        <f t="array" ref="E33">Common_InputFunctions.Utility_DisplayArrayInTable(CommonLivestock_SourceData.SourceData_Livestock_Product_BeefCattle_Data(),Table_SourceData_LivestockProduct_Beefcattle[[#Headers],[Product]],0)</f>
        <v>NSW</v>
      </c>
    </row>
    <row r="34" spans="1:6" ht="20" customHeight="1" x14ac:dyDescent="0.25">
      <c r="A34" s="5" t="str">
        <f>HYPERLINK("#'5.1.1.1-2 Inorganic fert N2O'!A1", "5.1.1.1-2 Inorganic fert N2O")</f>
        <v>5.1.1.1-2 Inorganic fert N2O</v>
      </c>
      <c r="D34" s="1" t="str" cm="1">
        <f t="array" ref="D34">Common_InputFunctions.Utility_DisplayArrayInTable(CommonLivestock_SourceData.SourceData_Livestock_Product_BeefCattle_Data(),Table_SourceData_LivestockProduct_Beefcattle[[#Headers],[Product]],0)</f>
        <v>Cattle, weaners</v>
      </c>
      <c r="E34" s="20" t="str" cm="1">
        <f t="array" ref="E34">Common_InputFunctions.Utility_DisplayArrayInTable(CommonLivestock_SourceData.SourceData_Livestock_Product_BeefCattle_Data(),Table_SourceData_LivestockProduct_Beefcattle[[#Headers],[Product]],0)</f>
        <v>NT</v>
      </c>
    </row>
    <row r="35" spans="1:6" ht="20" customHeight="1" x14ac:dyDescent="0.25">
      <c r="A35" s="5" t="str">
        <f>HYPERLINK("#'5.1.1.3-4 Inorganic fert CO2'!A1", "5.1.1.3-4 Inorganic fert CO2")</f>
        <v>5.1.1.3-4 Inorganic fert CO2</v>
      </c>
      <c r="D35" s="1" t="str" cm="1">
        <f t="array" ref="D35">Common_InputFunctions.Utility_DisplayArrayInTable(CommonLivestock_SourceData.SourceData_Livestock_Product_BeefCattle_Data(),Table_SourceData_LivestockProduct_Beefcattle[[#Headers],[Product]],0)</f>
        <v/>
      </c>
      <c r="E35" s="20" t="str" cm="1">
        <f t="array" ref="E35">Common_InputFunctions.Utility_DisplayArrayInTable(CommonLivestock_SourceData.SourceData_Livestock_Product_BeefCattle_Data(),Table_SourceData_LivestockProduct_Beefcattle[[#Headers],[Product]],0)</f>
        <v>QLD</v>
      </c>
    </row>
    <row r="36" spans="1:6" ht="20" customHeight="1" x14ac:dyDescent="0.25">
      <c r="A36" s="5" t="str">
        <f>HYPERLINK("#'5.2.1.1-2 Organic Fert N2O'!A1", "5.2.1.1-2 Organic fert N2O")</f>
        <v>5.2.1.1-2 Organic fert N2O</v>
      </c>
      <c r="D36" s="1" t="str" cm="1">
        <f t="array" ref="D36">Common_InputFunctions.Utility_DisplayArrayInTable(CommonLivestock_SourceData.SourceData_Livestock_Product_BeefCattle_Data(),Table_SourceData_LivestockProduct_Beefcattle[[#Headers],[Product]],0)</f>
        <v/>
      </c>
      <c r="E36" s="20" t="str" cm="1">
        <f t="array" ref="E36">Common_InputFunctions.Utility_DisplayArrayInTable(CommonLivestock_SourceData.SourceData_Livestock_Product_BeefCattle_Data(),Table_SourceData_LivestockProduct_Beefcattle[[#Headers],[Product]],0)</f>
        <v>SA</v>
      </c>
    </row>
    <row r="37" spans="1:6" ht="20" customHeight="1" x14ac:dyDescent="0.25">
      <c r="A37" s="5" t="str">
        <f>HYPERLINK("#'5.3.1.1-2 Lime CO2'!A1", "5.3.1.1-2 Lime CO2")</f>
        <v>5.3.1.1-2 Lime CO2</v>
      </c>
      <c r="D37" s="1" t="str" cm="1">
        <f t="array" ref="D37">Common_InputFunctions.Utility_DisplayArrayInTable(CommonLivestock_SourceData.SourceData_Livestock_Product_BeefCattle_Data(),Table_SourceData_LivestockProduct_Beefcattle[[#Headers],[Product]],0)</f>
        <v/>
      </c>
      <c r="E37" s="20" t="str" cm="1">
        <f t="array" ref="E37">Common_InputFunctions.Utility_DisplayArrayInTable(CommonLivestock_SourceData.SourceData_Livestock_Product_BeefCattle_Data(),Table_SourceData_LivestockProduct_Beefcattle[[#Headers],[Product]],0)</f>
        <v>TAS</v>
      </c>
    </row>
    <row r="38" spans="1:6" ht="20" customHeight="1" x14ac:dyDescent="0.25">
      <c r="A38" s="5" t="str">
        <f>HYPERLINK("#'5.4.1.1-4 Atmos deposition'!A1", "5.4.1.1-4 Atmos. deposition")</f>
        <v>5.4.1.1-4 Atmos. deposition</v>
      </c>
      <c r="D38" s="1" t="str" cm="1">
        <f t="array" ref="D38">Common_InputFunctions.Utility_DisplayArrayInTable(CommonLivestock_SourceData.SourceData_Livestock_Product_BeefCattle_Data(),Table_SourceData_LivestockProduct_Beefcattle[[#Headers],[Product]],0)</f>
        <v/>
      </c>
      <c r="E38" s="20" t="str" cm="1">
        <f t="array" ref="E38">Common_InputFunctions.Utility_DisplayArrayInTable(CommonLivestock_SourceData.SourceData_Livestock_Product_BeefCattle_Data(),Table_SourceData_LivestockProduct_Beefcattle[[#Headers],[Product]],0)</f>
        <v>VIC</v>
      </c>
    </row>
    <row r="39" spans="1:6" ht="20" customHeight="1" x14ac:dyDescent="0.25">
      <c r="A39" s="5" t="str">
        <f>HYPERLINK("#'5.5.1.1-2 Leaching and runoff'!A1", "5.5.1.1-2 Leaching &amp; runoff")</f>
        <v>5.5.1.1-2 Leaching &amp; runoff</v>
      </c>
      <c r="D39" s="1" t="str" cm="1">
        <f t="array" ref="D39">Common_InputFunctions.Utility_DisplayArrayInTable(CommonLivestock_SourceData.SourceData_Livestock_Product_BeefCattle_Data(),Table_SourceData_LivestockProduct_Beefcattle[[#Headers],[Product]],0)</f>
        <v/>
      </c>
      <c r="E39" s="20" t="str" cm="1">
        <f t="array" ref="E39">Common_InputFunctions.Utility_DisplayArrayInTable(CommonLivestock_SourceData.SourceData_Livestock_Product_BeefCattle_Data(),Table_SourceData_LivestockProduct_Beefcattle[[#Headers],[Product]],0)</f>
        <v>WA</v>
      </c>
    </row>
    <row r="40" spans="1:6" ht="20" customHeight="1" x14ac:dyDescent="0.25">
      <c r="A40" s="5" t="str">
        <f>HYPERLINK("#'6.2.1.1-2 Pasture residue N2O'!A1", "6.2.1.1-2 Pasture residue N2O")</f>
        <v>6.2.1.1-2 Pasture residue N2O</v>
      </c>
    </row>
    <row r="41" spans="1:6" ht="20" customHeight="1" x14ac:dyDescent="0.25">
      <c r="A41" s="5" t="str">
        <f>HYPERLINK("#'6.3.1.1-2 Leach runoff pasture'!A1", "6.3.1.1-2 Leach &amp; runoff (pasture)")</f>
        <v>6.3.1.1-2 Leach &amp; runoff (pasture)</v>
      </c>
      <c r="D41" s="2" t="str" cm="1">
        <f t="array" ref="D41">CommonLivestock_SourceData.SourceData_Livestock_Product_Sheep_Title()</f>
        <v>Sheep products for scope 3</v>
      </c>
    </row>
    <row r="42" spans="1:6" ht="20" customHeight="1" x14ac:dyDescent="0.25">
      <c r="A42" s="5" t="str">
        <f>HYPERLINK("#'8.1.1.1-2 Transport fuel'!A1", "8.1.1.1-2 Transport fuel")</f>
        <v>8.1.1.1-2 Transport fuel</v>
      </c>
      <c r="D42" s="1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 customHeight="1" x14ac:dyDescent="0.25">
      <c r="A43" s="5" t="str">
        <f>HYPERLINK("#'8.2.1.1-2 Stationary fuel'!A1", "8.2.1.1-2 Stationary fuel")</f>
        <v>8.2.1.1-2 Stationary fuel</v>
      </c>
      <c r="D43" s="20" t="s">
        <v>139</v>
      </c>
      <c r="E43" s="20" t="s">
        <v>1202</v>
      </c>
      <c r="F43" s="1" t="s">
        <v>1204</v>
      </c>
    </row>
    <row r="44" spans="1:6" ht="20" customHeight="1" x14ac:dyDescent="0.25">
      <c r="A44" s="5" t="str">
        <f>HYPERLINK("#'10.1.1-2 Solid waste treatment'!A1", "10.1.1.1-2 Solid waste")</f>
        <v>10.1.1.1-2 Solid waste</v>
      </c>
      <c r="D44" s="20" t="str" cm="1">
        <f t="array" ref="D44">Common_InputFunctions.Utility_DisplayArrayInTable(CommonLivestock_SourceData.SourceData_Livestock_Product_Sheep_Data(),Table_SourceData_LivestockProduct_Sheep[[#Headers],[Product]],0)</f>
        <v>Sheep, for mutton</v>
      </c>
      <c r="E44" s="20" t="str" cm="1">
        <f t="array" ref="E44">Common_InputFunctions.Utility_DisplayArrayInTable(CommonLivestock_SourceData.SourceData_Livestock_Product_Sheep_Data(),Table_SourceData_LivestockProduct_Sheep[[#Headers],[Product]],0)</f>
        <v>Australia</v>
      </c>
    </row>
    <row r="45" spans="1:6" ht="20" customHeight="1" x14ac:dyDescent="0.25">
      <c r="A45" s="5" t="str">
        <f>HYPERLINK("#'14.1.1-2 Purchased electricity'!A1", "14.1.1-2 Purchased electricity")</f>
        <v>14.1.1-2 Purchased electricity</v>
      </c>
      <c r="D45" s="20" t="str" cm="1">
        <f t="array" ref="D45">Common_InputFunctions.Utility_DisplayArrayInTable(CommonLivestock_SourceData.SourceData_Livestock_Product_Sheep_Data(),Table_SourceData_LivestockProduct_Sheep[[#Headers],[Product]],0)</f>
        <v>Sheep, for prime lamb</v>
      </c>
      <c r="E45" s="20" t="str" cm="1">
        <f t="array" ref="E45">Common_InputFunctions.Utility_DisplayArrayInTable(CommonLivestock_SourceData.SourceData_Livestock_Product_Sheep_Data(),Table_SourceData_LivestockProduct_Sheep[[#Headers],[Product]],0)</f>
        <v>NSW</v>
      </c>
    </row>
    <row r="46" spans="1:6" ht="20" customHeight="1" x14ac:dyDescent="0.25">
      <c r="A46" s="5" t="str">
        <f>HYPERLINK("#'15 Scope 3'!A1", "15 Scope 3")</f>
        <v>15 Scope 3</v>
      </c>
      <c r="D46" s="20" t="str" cm="1">
        <f t="array" ref="D46">Common_InputFunctions.Utility_DisplayArrayInTable(CommonLivestock_SourceData.SourceData_Livestock_Product_Sheep_Data(),Table_SourceData_LivestockProduct_Sheep[[#Headers],[Product]],0)</f>
        <v/>
      </c>
      <c r="E46" s="20" t="str" cm="1">
        <f t="array" ref="E46">Common_InputFunctions.Utility_DisplayArrayInTable(CommonLivestock_SourceData.SourceData_Livestock_Product_Sheep_Data(),Table_SourceData_LivestockProduct_Sheep[[#Headers],[Product]],0)</f>
        <v>QLD</v>
      </c>
    </row>
    <row r="47" spans="1:6" ht="20" customHeight="1" x14ac:dyDescent="0.25">
      <c r="A47" s="5" t="str">
        <f>HYPERLINK("#'Calcs - Manure sent off-site'!A1", "Calcs - Manure sent off-site")</f>
        <v>Calcs - Manure sent off-site</v>
      </c>
      <c r="D47" s="20" t="str" cm="1">
        <f t="array" ref="D47">Common_InputFunctions.Utility_DisplayArrayInTable(CommonLivestock_SourceData.SourceData_Livestock_Product_Sheep_Data(),Table_SourceData_LivestockProduct_Sheep[[#Headers],[Product]],0)</f>
        <v/>
      </c>
      <c r="E47" s="20" t="str" cm="1">
        <f t="array" ref="E47">Common_InputFunctions.Utility_DisplayArrayInTable(CommonLivestock_SourceData.SourceData_Livestock_Product_Sheep_Data(),Table_SourceData_LivestockProduct_Sheep[[#Headers],[Product]],0)</f>
        <v>SA</v>
      </c>
    </row>
    <row r="48" spans="1:6" ht="20" customHeight="1" x14ac:dyDescent="0.25">
      <c r="D48" s="20" t="str" cm="1">
        <f t="array" ref="D48">Common_InputFunctions.Utility_DisplayArrayInTable(CommonLivestock_SourceData.SourceData_Livestock_Product_Sheep_Data(),Table_SourceData_LivestockProduct_Sheep[[#Headers],[Product]],0)</f>
        <v/>
      </c>
      <c r="E48" s="20" t="str" cm="1">
        <f t="array" ref="E48">Common_InputFunctions.Utility_DisplayArrayInTable(CommonLivestock_SourceData.SourceData_Livestock_Product_Sheep_Data(),Table_SourceData_LivestockProduct_Sheep[[#Headers],[Product]],0)</f>
        <v>TAS</v>
      </c>
    </row>
    <row r="49" spans="1:6" ht="20" customHeight="1" x14ac:dyDescent="0.25">
      <c r="D49" s="20" t="str" cm="1">
        <f t="array" ref="D49">Common_InputFunctions.Utility_DisplayArrayInTable(CommonLivestock_SourceData.SourceData_Livestock_Product_Sheep_Data(),Table_SourceData_LivestockProduct_Sheep[[#Headers],[Product]],0)</f>
        <v/>
      </c>
      <c r="E49" s="20" t="str" cm="1">
        <f t="array" ref="E49">Common_InputFunctions.Utility_DisplayArrayInTable(CommonLivestock_SourceData.SourceData_Livestock_Product_Sheep_Data(),Table_SourceData_LivestockProduct_Sheep[[#Headers],[Product]],0)</f>
        <v>VIC</v>
      </c>
    </row>
    <row r="50" spans="1:6" ht="20" customHeight="1" x14ac:dyDescent="0.25">
      <c r="A50" s="85" t="s">
        <v>1</v>
      </c>
      <c r="D50" s="20" t="str" cm="1">
        <f t="array" ref="D50">Common_InputFunctions.Utility_DisplayArrayInTable(CommonLivestock_SourceData.SourceData_Livestock_Product_Sheep_Data(),Table_SourceData_LivestockProduct_Sheep[[#Headers],[Product]],0)</f>
        <v/>
      </c>
      <c r="E50" s="20" t="str" cm="1">
        <f t="array" ref="E50">Common_InputFunctions.Utility_DisplayArrayInTable(CommonLivestock_SourceData.SourceData_Livestock_Product_Sheep_Data(),Table_SourceData_LivestockProduct_Sheep[[#Headers],[Product]],0)</f>
        <v>WA</v>
      </c>
    </row>
    <row r="51" spans="1:6" ht="20" customHeight="1" x14ac:dyDescent="0.25">
      <c r="A51" s="5" t="str">
        <f>HYPERLINK("#'Constants - Pasture Beef'!A1", "Constants - Pasture Beef")</f>
        <v>Constants - Pasture Beef</v>
      </c>
    </row>
    <row r="52" spans="1:6" ht="20" customHeight="1" x14ac:dyDescent="0.25">
      <c r="A52" s="5" t="str">
        <f>HYPERLINK("#'Constants - Ag Residue'!A1", "Constants - Ag residue")</f>
        <v>Constants - Ag residue</v>
      </c>
      <c r="D52" s="2" t="str" cm="1">
        <f t="array" ref="D52">CommonLivestock_SourceData.SourceData_Livestock_Product_Chickens_Title()</f>
        <v>Chickens products for scope 3</v>
      </c>
    </row>
    <row r="53" spans="1:6" ht="20" customHeight="1" x14ac:dyDescent="0.25">
      <c r="A53" s="86" t="str">
        <f>HYPERLINK("#'Constants - Common Livestock'!A1", "Constants - Common Livestock")</f>
        <v>Constants - Common Livestock</v>
      </c>
      <c r="D53" s="17"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 customHeight="1" x14ac:dyDescent="0.25">
      <c r="A54" s="5" t="str">
        <f>HYPERLINK("#'Constants - Electricity'!A1", "Constants - Electricity")</f>
        <v>Constants - Electricity</v>
      </c>
      <c r="D54" s="20" t="s">
        <v>139</v>
      </c>
      <c r="E54" s="20" t="s">
        <v>1202</v>
      </c>
      <c r="F54" s="1" t="s">
        <v>1205</v>
      </c>
    </row>
    <row r="55" spans="1:6" ht="20" customHeight="1" x14ac:dyDescent="0.25">
      <c r="A55" s="5" t="str">
        <f>HYPERLINK("#'Constants - Fertiliser'!A1", "Constants - Fertiliser")</f>
        <v>Constants - Fertiliser</v>
      </c>
      <c r="D55" s="20" t="str" cm="1">
        <f t="array" ref="D55">Common_InputFunctions.Utility_DisplayArrayInTable(CommonLivestock_SourceData.SourceData_Livestock_Product_Chickens_Data(),Table_SourceData_LivestockProduct_Chickens[[#Headers],[Product]],0)</f>
        <v>Chickens</v>
      </c>
      <c r="E55" s="20" t="str" cm="1">
        <f t="array" ref="E55">Common_InputFunctions.Utility_DisplayArrayInTable(CommonLivestock_SourceData.SourceData_Livestock_Product_Chickens_Data(),Table_SourceData_LivestockProduct_Chickens[[#Headers],[Product]],0)</f>
        <v>Australia</v>
      </c>
    </row>
    <row r="56" spans="1:6" ht="20" customHeight="1" x14ac:dyDescent="0.25">
      <c r="A56" s="5" t="str">
        <f>HYPERLINK("#'Constants - Fuel'!A1", "Constants - Fuel")</f>
        <v>Constants - Fuel</v>
      </c>
    </row>
    <row r="57" spans="1:6" ht="20" customHeight="1" x14ac:dyDescent="0.25">
      <c r="A57" s="5" t="str">
        <f>HYPERLINK("#'Constants - Scope 3'!A1", "Constants - Scope 3")</f>
        <v>Constants - Scope 3</v>
      </c>
      <c r="D57" s="2" t="str" cm="1">
        <f t="array" ref="D57">CommonLivestock_SourceData.SourceData_Livestock_Product_Dairycattle_Title()</f>
        <v>Dairy cattle products for scope 3</v>
      </c>
    </row>
    <row r="58" spans="1:6" ht="20" customHeight="1" x14ac:dyDescent="0.25">
      <c r="A58" s="5" t="str">
        <f>HYPERLINK("#'Constants - Solid Waste'!A1", "Constants - Solid Waste")</f>
        <v>Constants - Solid Waste</v>
      </c>
      <c r="D58" s="17"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 customHeight="1" x14ac:dyDescent="0.25">
      <c r="A59" s="5" t="str">
        <f>HYPERLINK("#'Constants - Common'!A1", "Constants - Common")</f>
        <v>Constants - Common</v>
      </c>
      <c r="D59" s="20" t="s">
        <v>139</v>
      </c>
      <c r="E59" s="20" t="s">
        <v>1202</v>
      </c>
      <c r="F59" s="1" t="s">
        <v>1206</v>
      </c>
    </row>
    <row r="60" spans="1:6" ht="20" customHeight="1" x14ac:dyDescent="0.25">
      <c r="A60" s="5" t="str">
        <f>HYPERLINK("#'Acknowledgements'!A1", "Acknowledgements")</f>
        <v>Acknowledgements</v>
      </c>
      <c r="D60" s="20" t="str" cm="1">
        <f t="array" ref="D60">Common_InputFunctions.Utility_DisplayArrayInTable(CommonLivestock_SourceData.SourceData_Livestock_Product_Dairycattle_Data(),Table_SourceData_LivestockProduct_Dairycattle[[#Headers],[Product]],0)</f>
        <v>Dairy cows</v>
      </c>
      <c r="E60" s="20" t="str" cm="1">
        <f t="array" ref="E60">Common_InputFunctions.Utility_DisplayArrayInTable(CommonLivestock_SourceData.SourceData_Livestock_Product_Dairycattle_Data(),Table_SourceData_LivestockProduct_Dairycattle[[#Headers],[Product]],0)</f>
        <v>VIC</v>
      </c>
    </row>
    <row r="61" spans="1:6" ht="20" customHeight="1" x14ac:dyDescent="0.25"/>
    <row r="62" spans="1:6" ht="20" customHeight="1" x14ac:dyDescent="0.25">
      <c r="D62" s="2" t="str" cm="1">
        <f t="array" ref="D62">CommonLivestock_SourceData.SourceData_Livestock_Product_Pigs_Title()</f>
        <v>Pigs products for scope 3</v>
      </c>
    </row>
    <row r="63" spans="1:6" ht="20" customHeight="1" x14ac:dyDescent="0.25">
      <c r="D63" s="17"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ht="20" customHeight="1">
      <c r="D64" s="20" t="s">
        <v>139</v>
      </c>
      <c r="E64" s="20" t="s">
        <v>1202</v>
      </c>
      <c r="F64" s="1" t="s">
        <v>1207</v>
      </c>
    </row>
    <row r="65" spans="4:5" x14ac:dyDescent="0.25" ht="20" customHeight="1">
      <c r="D65" s="20" t="str" cm="1">
        <f t="array" ref="D65">Common_InputFunctions.Utility_DisplayArrayInTable(CommonLivestock_SourceData.SourceData_Livestock_Product_Pigs_Data(),Table_SourceData_LivestockProduct_Pigs[[#Headers],[Product]],0)</f>
        <v>Pigs</v>
      </c>
      <c r="E65" s="2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D541C-66F9-4903-A9F1-9D4D58EB88E3}">
  <sheetPr>
    <tabColor theme="2" tint="-0.499984740745262"/>
  </sheetPr>
  <dimension ref="A1:AI1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789</v>
      </c>
      <c r="AG1"/>
      <c r="AH1"/>
      <c r="AI1"/>
    </row>
    <row r="2" spans="1:35" s="3" customFormat="1" ht="20" customHeight="1" x14ac:dyDescent="0.25">
      <c r="A2"/>
      <c r="AG2"/>
      <c r="AH2"/>
      <c r="AI2"/>
    </row>
    <row r="3" spans="1:35" ht="20"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 customHeight="1" x14ac:dyDescent="0.25">
      <c r="A4" s="5" t="str">
        <f>HYPERLINK("#'Results - Activity period'!A1", "Results - Activity period")</f>
        <v>Results - Activity period</v>
      </c>
    </row>
    <row r="5" spans="1:35" ht="20" customHeight="1" x14ac:dyDescent="0.25">
      <c r="A5" s="5" t="str">
        <f>HYPERLINK("#'Results - Product EI'!A1", "Results - Product Emissions Intensity")</f>
        <v>Results - Product Emissions Intensity</v>
      </c>
      <c r="D5" s="2" t="str" cm="1">
        <f t="array" ref="D5">Electricity_SourceData.Electricity_Scope2Scope3LocationBased_Title()</f>
        <v>Electricity scope 2 and scope 3 location-based emission factors</v>
      </c>
    </row>
    <row r="6" spans="1:35" ht="20" customHeight="1" x14ac:dyDescent="0.25">
      <c r="D6" s="17" t="str" cm="1">
        <f t="array" ref="D6">Electricity_SourceData.Electricity_Scope2Scope3LocationBased_Source()</f>
        <v>Australian National Greenhouse Accounts Factors 2025 - Table 1</v>
      </c>
      <c r="E6" s="8"/>
      <c r="F6" s="8"/>
    </row>
    <row r="7" spans="1:35" ht="20" customHeight="1" x14ac:dyDescent="0.25">
      <c r="D7" s="26" t="str" cm="1">
        <f t="array" ref="D7">"⚠️" &amp; Electricity_SourceData.Electricity_Scope2Scope3LocationBased_Variation()</f>
        <v>⚠️VARIATION OF SOURCE DATA: NSW and ACT split into separate rows.</v>
      </c>
      <c r="E7" s="8"/>
      <c r="F7" s="8"/>
    </row>
    <row r="8" spans="1:35" ht="20" customHeight="1" x14ac:dyDescent="0.25">
      <c r="A8" s="7" t="s">
        <v>0</v>
      </c>
      <c r="D8" s="8"/>
      <c r="E8" s="8"/>
      <c r="F8" s="8"/>
    </row>
    <row r="9" spans="1:35" ht="20" customHeight="1" x14ac:dyDescent="0.25">
      <c r="A9" s="5" t="str">
        <f>HYPERLINK("#'Input - Enterprise'!A1", "Enterprise")</f>
        <v>Enterprise</v>
      </c>
      <c r="D9" s="186" t="s">
        <v>790</v>
      </c>
      <c r="E9" s="186" t="s">
        <v>791</v>
      </c>
      <c r="F9" s="186" t="s">
        <v>792</v>
      </c>
    </row>
    <row r="10" spans="1:35" ht="20" customHeight="1" x14ac:dyDescent="0.25">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 customHeight="1" x14ac:dyDescent="0.25">
      <c r="A11" s="5" t="str">
        <f>HYPERLINK("#'Input - Pasture Beef'!A1", "Pasture Beef")</f>
        <v>Pasture Beef</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 customHeight="1" x14ac:dyDescent="0.25">
      <c r="A12" s="5" t="str">
        <f>HYPERLINK("#'Input - Livestock sales'!A1", "Livestock sales")</f>
        <v>Livestock sales</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 customHeight="1" x14ac:dyDescent="0.25">
      <c r="A13" s="5" t="str">
        <f>HYPERLINK("#'Input - Beef cattle purchases'!A1", "Beef cattle purchases")</f>
        <v>Beef cattle purchases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 customHeight="1" x14ac:dyDescent="0.25">
      <c r="A14" s="5" t="str">
        <f>HYPERLINK("#'Input - Pasture'!A1", "Pasture")</f>
        <v>Pasture</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 customHeight="1" x14ac:dyDescent="0.25">
      <c r="A15" s="5" t="str">
        <f>HYPERLINK("#'Input - Fert Prod System'!A1", "Fert Prod System")</f>
        <v>Fert Prod System</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 customHeight="1" x14ac:dyDescent="0.25">
      <c r="A16" s="5" t="str">
        <f>HYPERLINK("#'Input - Fertiliser'!A1", "Fertiliser")</f>
        <v>Fertiliser</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 customHeight="1" x14ac:dyDescent="0.25">
      <c r="A17" s="5" t="str">
        <f>HYPERLINK("#'Input - Fuel'!A1", "Fuel")</f>
        <v>Fuel</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 customHeight="1" x14ac:dyDescent="0.25">
      <c r="A18" s="5" t="str">
        <f>HYPERLINK("#'Input - Electricity'!A1", "Electricity")</f>
        <v>Electricity</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 customHeight="1" x14ac:dyDescent="0.25">
      <c r="A19" s="5" t="str">
        <f>HYPERLINK("#'Input - Common farm inputs'!A1", "Common farm inputs")</f>
        <v>Common farm inputs</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 customHeight="1" x14ac:dyDescent="0.25">
      <c r="A20" s="5" t="str">
        <f>HYPERLINK("#'Input - Crop pasture farm input'!A1", "Crop pasture farm input")</f>
        <v>Crop pasture farm input</v>
      </c>
    </row>
    <row r="21" spans="1:8" ht="20" customHeight="1" x14ac:dyDescent="0.25">
      <c r="A21" s="5" t="str">
        <f>HYPERLINK("#'Input - Livestock farm Inputs'!A1", "Livestock farm Inputs")</f>
        <v>Livestock farm Inputs</v>
      </c>
      <c r="D21" s="2" t="str" cm="1">
        <f t="array" ref="D21">Electricity_SourceData.Electricity_Scope2Scope3MarketBased_Title()</f>
        <v>Electricity scope 2 and scope 3 market-based emission factors</v>
      </c>
    </row>
    <row r="22" spans="1:8" ht="20" customHeight="1" x14ac:dyDescent="0.25">
      <c r="A22" s="5" t="str">
        <f>HYPERLINK("#'Input - Freight'!A1", "Freight")</f>
        <v>Freight</v>
      </c>
      <c r="D22" s="17" t="str" cm="1">
        <f t="array" ref="D22">Electricity_SourceData.Electricity_Scope2Scope3MarketBased_Source()</f>
        <v>Australian National Greenhouse Accounts Factors 2025 - Table 2a</v>
      </c>
    </row>
    <row r="23" spans="1:8" ht="20" customHeight="1" x14ac:dyDescent="0.25">
      <c r="A23" s="5" t="str">
        <f>HYPERLINK("#'Input - Solid waste'!A1", "Solid waste")</f>
        <v>Solid waste</v>
      </c>
    </row>
    <row r="24" spans="1:8" ht="20" customHeight="1" x14ac:dyDescent="0.25">
      <c r="A24" s="5" t="str">
        <f>HYPERLINK("#'Input - Manure sent off-site'!A1", "Manure sent off-site")</f>
        <v>Manure sent off-site</v>
      </c>
      <c r="D24" s="177" t="s">
        <v>790</v>
      </c>
      <c r="E24" s="177" t="s">
        <v>793</v>
      </c>
      <c r="F24" s="177" t="s">
        <v>794</v>
      </c>
      <c r="G24" s="177" t="s">
        <v>795</v>
      </c>
      <c r="H24" s="177" t="s">
        <v>796</v>
      </c>
    </row>
    <row r="25" spans="1:8" ht="20" customHeight="1" x14ac:dyDescent="0.25">
      <c r="A25" s="5" t="str">
        <f>HYPERLINK("#'Input - Data quality'!A1", "Data quality")</f>
        <v>Data quality</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 customHeight="1" x14ac:dyDescent="0.25"/>
    <row r="27" spans="1:8" ht="20" customHeight="1" x14ac:dyDescent="0.25"/>
    <row r="28" spans="1:8" ht="20" customHeight="1" x14ac:dyDescent="0.25">
      <c r="A28" s="6" t="s">
        <v>2</v>
      </c>
    </row>
    <row r="29" spans="1:8" ht="20" customHeight="1" x14ac:dyDescent="0.25">
      <c r="A29" s="5" t="str">
        <f>HYPERLINK("#'3.2.1.1-2 Enteric Methane'!A1", "3.2.1.1-2 Enteric Methane")</f>
        <v>3.2.1.1-2 Enteric Methane</v>
      </c>
    </row>
    <row r="30" spans="1:8" ht="20" customHeight="1" x14ac:dyDescent="0.25">
      <c r="A30" s="5" t="str">
        <f>HYPERLINK("#'4.2.1.1-2 Methane'!A1", "4.2.1.1-2 Manure methane")</f>
        <v>4.2.1.1-2 Manure methane</v>
      </c>
    </row>
    <row r="31" spans="1:8" ht="20" customHeight="1" x14ac:dyDescent="0.25">
      <c r="A31" s="5" t="str">
        <f>HYPERLINK("#'4.2.1.3-4 Soil direct N20'!A1", "4.2.1.3-4 Soil direct N2O")</f>
        <v>4.2.1.3-4 Soil direct N2O</v>
      </c>
    </row>
    <row r="32" spans="1:8" ht="20" customHeight="1" x14ac:dyDescent="0.25">
      <c r="A32" s="5" t="str">
        <f>HYPERLINK("#'4.2.1.5-6 Soil Atmos Dep'!A1", "4.2.1.5-6 Soil atm. deposition")</f>
        <v>4.2.1.5-6 Soil atm. deposition</v>
      </c>
    </row>
    <row r="33" spans="1:1" ht="20" customHeight="1" x14ac:dyDescent="0.25">
      <c r="A33" s="5" t="str">
        <f>HYPERLINK("#'4.2.1.7-8 Soil leach runoff'!A1", "4.2.1.7-8 Soil leach &amp; runoff")</f>
        <v>4.2.1.7-8 Soil leach &amp; runoff</v>
      </c>
    </row>
    <row r="34" spans="1:1" ht="20" customHeight="1" x14ac:dyDescent="0.25">
      <c r="A34" s="5" t="str">
        <f>HYPERLINK("#'5.1.1.1-2 Inorganic fert N2O'!A1", "5.1.1.1-2 Inorganic fert N2O")</f>
        <v>5.1.1.1-2 Inorganic fert N2O</v>
      </c>
    </row>
    <row r="35" spans="1:1" ht="20" customHeight="1" x14ac:dyDescent="0.25">
      <c r="A35" s="5" t="str">
        <f>HYPERLINK("#'5.1.1.3-4 Inorganic fert CO2'!A1", "5.1.1.3-4 Inorganic fert CO2")</f>
        <v>5.1.1.3-4 Inorganic fert CO2</v>
      </c>
    </row>
    <row r="36" spans="1:1" ht="20" customHeight="1" x14ac:dyDescent="0.25">
      <c r="A36" s="5" t="str">
        <f>HYPERLINK("#'5.2.1.1-2 Organic Fert N2O'!A1", "5.2.1.1-2 Organic fert N2O")</f>
        <v>5.2.1.1-2 Organic fert N2O</v>
      </c>
    </row>
    <row r="37" spans="1:1" ht="20" customHeight="1" x14ac:dyDescent="0.25">
      <c r="A37" s="5" t="str">
        <f>HYPERLINK("#'5.3.1.1-2 Lime CO2'!A1", "5.3.1.1-2 Lime CO2")</f>
        <v>5.3.1.1-2 Lime CO2</v>
      </c>
    </row>
    <row r="38" spans="1:1" ht="20" customHeight="1" x14ac:dyDescent="0.25">
      <c r="A38" s="5" t="str">
        <f>HYPERLINK("#'5.4.1.1-4 Atmos deposition'!A1", "5.4.1.1-4 Atmos. deposition")</f>
        <v>5.4.1.1-4 Atmos. deposition</v>
      </c>
    </row>
    <row r="39" spans="1:1" ht="20" customHeight="1" x14ac:dyDescent="0.25">
      <c r="A39" s="5" t="str">
        <f>HYPERLINK("#'5.5.1.1-2 Leaching and runoff'!A1", "5.5.1.1-2 Leaching &amp; runoff")</f>
        <v>5.5.1.1-2 Leaching &amp; runoff</v>
      </c>
    </row>
    <row r="40" spans="1:1" ht="20" customHeight="1" x14ac:dyDescent="0.25">
      <c r="A40" s="5" t="str">
        <f>HYPERLINK("#'6.2.1.1-2 Pasture residue N2O'!A1", "6.2.1.1-2 Pasture residue N2O")</f>
        <v>6.2.1.1-2 Pasture residue N2O</v>
      </c>
    </row>
    <row r="41" spans="1:1" ht="20" customHeight="1" x14ac:dyDescent="0.25">
      <c r="A41" s="5" t="str">
        <f>HYPERLINK("#'6.3.1.1-2 Leach runoff pasture'!A1", "6.3.1.1-2 Leach &amp; runoff (pasture)")</f>
        <v>6.3.1.1-2 Leach &amp; runoff (pasture)</v>
      </c>
    </row>
    <row r="42" spans="1:1" ht="20" customHeight="1" x14ac:dyDescent="0.25">
      <c r="A42" s="5" t="str">
        <f>HYPERLINK("#'8.1.1.1-2 Transport fuel'!A1", "8.1.1.1-2 Transport fuel")</f>
        <v>8.1.1.1-2 Transport fuel</v>
      </c>
    </row>
    <row r="43" spans="1:1" ht="20" customHeight="1" x14ac:dyDescent="0.25">
      <c r="A43" s="5" t="str">
        <f>HYPERLINK("#'8.2.1.1-2 Stationary fuel'!A1", "8.2.1.1-2 Stationary fuel")</f>
        <v>8.2.1.1-2 Stationary fuel</v>
      </c>
    </row>
    <row r="44" spans="1:1" ht="20" customHeight="1" x14ac:dyDescent="0.25">
      <c r="A44" s="5" t="str">
        <f>HYPERLINK("#'10.1.1-2 Solid waste treatment'!A1", "10.1.1.1-2 Solid waste")</f>
        <v>10.1.1.1-2 Solid waste</v>
      </c>
    </row>
    <row r="45" spans="1:1" ht="20" customHeight="1" x14ac:dyDescent="0.25">
      <c r="A45" s="5" t="str">
        <f>HYPERLINK("#'14.1.1-2 Purchased electricity'!A1", "14.1.1-2 Purchased electricity")</f>
        <v>14.1.1-2 Purchased electricity</v>
      </c>
    </row>
    <row r="46" spans="1:1" ht="20" customHeight="1" x14ac:dyDescent="0.25">
      <c r="A46" s="5" t="str">
        <f>HYPERLINK("#'15 Scope 3'!A1", "15 Scope 3")</f>
        <v>15 Scope 3</v>
      </c>
    </row>
    <row r="47" spans="1:1" ht="20" customHeight="1" x14ac:dyDescent="0.25">
      <c r="A47" s="5" t="str">
        <f>HYPERLINK("#'Calcs - Manure sent off-site'!A1", "Calcs - Manure sent off-site")</f>
        <v>Calcs - Manure sent off-site</v>
      </c>
    </row>
    <row r="48" spans="1:1" ht="20" customHeight="1" x14ac:dyDescent="0.25"/>
    <row r="49" spans="1:1" ht="20" customHeight="1" x14ac:dyDescent="0.25"/>
    <row r="50" spans="1:1" ht="20" customHeight="1" x14ac:dyDescent="0.25">
      <c r="A50" s="85" t="s">
        <v>1</v>
      </c>
    </row>
    <row r="51" spans="1:1" ht="20" customHeight="1" x14ac:dyDescent="0.25">
      <c r="A51" s="5" t="str">
        <f>HYPERLINK("#'Constants - Pasture Beef'!A1", "Constants - Pasture Beef")</f>
        <v>Constants - Pasture Beef</v>
      </c>
    </row>
    <row r="52" spans="1:1" ht="20" customHeight="1" x14ac:dyDescent="0.25">
      <c r="A52" s="5" t="str">
        <f>HYPERLINK("#'Constants - Ag Residue'!A1", "Constants - Ag residue")</f>
        <v>Constants - Ag residue</v>
      </c>
    </row>
    <row r="53" spans="1:1" ht="20" customHeight="1" x14ac:dyDescent="0.25">
      <c r="A53" s="5" t="str">
        <f>HYPERLINK("#'Constants - Common Livestock'!A1", "Constants - Common Livestock")</f>
        <v>Constants - Common Livestock</v>
      </c>
    </row>
    <row r="54" spans="1:1" ht="20" customHeight="1" x14ac:dyDescent="0.25">
      <c r="A54" s="86" t="str">
        <f>HYPERLINK("#'Constants - Electricity'!A1", "Constants - Electricity")</f>
        <v>Constants - Electricity</v>
      </c>
    </row>
    <row r="55" spans="1:1" ht="20" customHeight="1" x14ac:dyDescent="0.25">
      <c r="A55" s="5" t="str">
        <f>HYPERLINK("#'Constants - Fertiliser'!A1", "Constants - Fertiliser")</f>
        <v>Constants - Fertiliser</v>
      </c>
    </row>
    <row r="56" spans="1:1" ht="20" customHeight="1" x14ac:dyDescent="0.25">
      <c r="A56" s="5" t="str">
        <f>HYPERLINK("#'Constants - Fuel'!A1", "Constants - Fuel")</f>
        <v>Constants - Fuel</v>
      </c>
    </row>
    <row r="57" spans="1:1" ht="20" customHeight="1" x14ac:dyDescent="0.25">
      <c r="A57" s="5" t="str">
        <f>HYPERLINK("#'Constants - Scope 3'!A1", "Constants - Scope 3")</f>
        <v>Constants - Scope 3</v>
      </c>
    </row>
    <row r="58" spans="1:1" ht="20" customHeight="1" x14ac:dyDescent="0.25">
      <c r="A58" s="5" t="str">
        <f>HYPERLINK("#'Constants - Solid Waste'!A1", "Constants - Solid Waste")</f>
        <v>Constants - Solid Waste</v>
      </c>
    </row>
    <row r="59" spans="1:1" ht="20" customHeight="1" x14ac:dyDescent="0.25">
      <c r="A59" s="5" t="str">
        <f>HYPERLINK("#'Constants - Common'!A1", "Constants - Common")</f>
        <v>Constants - Common</v>
      </c>
    </row>
    <row r="60" spans="1:1" ht="20" customHeight="1" x14ac:dyDescent="0.25">
      <c r="A60" s="5" t="str">
        <f>HYPERLINK("#'Acknowledgements'!A1", "Acknowledgements")</f>
        <v>Acknowledgements</v>
      </c>
    </row>
    <row r="61" spans="1:1" ht="20" customHeight="1" x14ac:dyDescent="0.25"/>
    <row r="62" spans="1:1" ht="20" customHeight="1" x14ac:dyDescent="0.25"/>
    <row r="63" spans="1:1" ht="20" customHeight="1" x14ac:dyDescent="0.25"/>
    <row r="64" spans="1:1"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tableParts count="2">
    <tablePart r:id="rId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C5939-9EAF-4AB3-9AFA-13EEA9EE4908}">
  <dimension ref="A1:AM223"/>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1" customFormat="1" ht="30" customHeight="1" x14ac:dyDescent="0.35">
      <c r="A1" s="10" t="e" vm="1">
        <v>#VALUE!</v>
      </c>
      <c r="C1" s="21" t="s">
        <v>724</v>
      </c>
      <c r="AF1" s="1"/>
      <c r="AG1" s="1"/>
      <c r="AH1" s="1"/>
      <c r="AI1" s="1"/>
      <c r="AJ1" s="1"/>
    </row>
    <row r="2" spans="1:36" s="3" customFormat="1" ht="20" customHeight="1" x14ac:dyDescent="0.25">
      <c r="A2"/>
      <c r="AF2" s="1"/>
      <c r="AG2" s="1"/>
      <c r="AH2" s="1"/>
      <c r="AI2" s="1"/>
      <c r="AJ2" s="1"/>
    </row>
    <row r="3" spans="1:36" ht="20"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spans="1:36" ht="20" customHeight="1" x14ac:dyDescent="0.25">
      <c r="A4" s="5" t="str">
        <f>HYPERLINK("#'Results - Activity period'!A1", "Results - Activity period")</f>
        <v>Results - Activity period</v>
      </c>
    </row>
    <row r="5" spans="1:36" ht="20" customHeight="1" x14ac:dyDescent="0.25">
      <c r="A5" s="5" t="str">
        <f>HYPERLINK("#'Results - Product EI'!A1", "Results - Product Emissions Intensity")</f>
        <v>Results - Product Emissions Intensity</v>
      </c>
      <c r="D5" s="2" t="str" cm="1">
        <f t="array" ref="D5">Fertiliser_SourceData.Fertiliser_ChemicalCompoundElements_Title()</f>
        <v>Common inorganic fertilisers</v>
      </c>
      <c r="E5" s="168"/>
      <c r="F5" s="168"/>
      <c r="G5" s="168"/>
      <c r="H5" s="168"/>
      <c r="I5" s="168"/>
      <c r="J5" s="168"/>
    </row>
    <row r="6" spans="1:36" ht="20" customHeight="1" x14ac:dyDescent="0.25">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 customHeight="1" x14ac:dyDescent="0.25">
      <c r="D7" s="26" t="str" cm="1">
        <f t="array" ref="D7:D18">Fertiliser_SourceData.Fertiliser_ChemicalCompoundElements_Variation()</f>
        <v>VARIATION ON SOURCE</v>
      </c>
    </row>
    <row r="8" spans="1:36" ht="20" customHeight="1" x14ac:dyDescent="0.25">
      <c r="A8" s="7" t="s">
        <v>0</v>
      </c>
      <c r="D8" s="26" t="str">
        <v>Added 'Basis' column to allow cross-referencing with table Table A.2.2.6: Fraction of inorganic fertiliser f that volatilises as NH3 and NOx ((kg NH3-N + NOx-N)/kg N) (FracGASFf)</v>
      </c>
    </row>
    <row r="9" spans="1:36" ht="20" customHeight="1" x14ac:dyDescent="0.25">
      <c r="A9" s="5" t="str">
        <f>HYPERLINK("#'Input - Enterprise'!A1", "Enterprise")</f>
        <v>Enterprise</v>
      </c>
      <c r="D9" s="26" t="str">
        <v>Added extra fertiliser types and generic chemical compounds to allow for custom NPKS blends</v>
      </c>
    </row>
    <row r="10" spans="1:36" ht="20" customHeight="1" x14ac:dyDescent="0.25">
      <c r="A10" s="5" t="str">
        <f>HYPERLINK("#'Input - Site'!A1", "Site")</f>
        <v>Site</v>
      </c>
      <c r="D10" s="26" t="str">
        <v>Added extra 'Scope 3 definition' column to allow mapping with scope 3 data</v>
      </c>
    </row>
    <row r="11" spans="1:36" ht="20" customHeight="1" x14ac:dyDescent="0.25">
      <c r="A11" s="5" t="str">
        <f>HYPERLINK("#'Input - Pasture Beef'!A1", "Pasture Beef")</f>
        <v>Pasture Beef</v>
      </c>
      <c r="D11" s="26" t="str">
        <v>Added 'Source' column</v>
      </c>
    </row>
    <row r="12" spans="1:36" ht="20" customHeight="1" x14ac:dyDescent="0.25">
      <c r="A12" s="5" t="str">
        <f>HYPERLINK("#'Input - Livestock sales'!A1", "Livestock sales")</f>
        <v>Livestock sales</v>
      </c>
      <c r="D12" s="26" t="str">
        <v>Combined data from Table A.2.2.3 and Table A.2.2.4 into one table to aid lookup.</v>
      </c>
    </row>
    <row r="13" spans="1:36" ht="20" customHeight="1" x14ac:dyDescent="0.25">
      <c r="A13" s="5" t="str">
        <f>HYPERLINK("#'Input - Beef cattle purchases'!A1", "Beef cattle purchases")</f>
        <v>Beef cattle purchases</v>
      </c>
      <c r="D13" s="26" t="str">
        <v>Excluded 'References' column</v>
      </c>
    </row>
    <row r="14" spans="1:36" ht="20" customHeight="1" x14ac:dyDescent="0.25">
      <c r="A14" s="5" t="str">
        <f>HYPERLINK("#'Input - Pasture'!A1", "Pasture")</f>
        <v>Pasture</v>
      </c>
      <c r="D14" s="26" t="str">
        <v>Excluded 'Ammonium sulfate' as it is a duplicate of 'Sulphate of ammonia (SOA)'</v>
      </c>
    </row>
    <row r="15" spans="1:36" ht="20" customHeight="1" x14ac:dyDescent="0.25">
      <c r="A15" s="5" t="str">
        <f>HYPERLINK("#'Input - Fert Prod System'!A1", "Fert Prod System")</f>
        <v>Fert Prod System</v>
      </c>
      <c r="D15" s="26" t="str">
        <v>Excluded 'Calcium nitrate' as no scope 3 value available.</v>
      </c>
    </row>
    <row r="16" spans="1:36" ht="20" customHeight="1" x14ac:dyDescent="0.25">
      <c r="A16" s="5" t="str">
        <f>HYPERLINK("#'Input - Fertiliser'!A1", "Fertiliser")</f>
        <v>Fertiliser</v>
      </c>
      <c r="D16" s="26" t="str">
        <v>Set 'Nitrogen - Generic' basis as 'Urea-based fertilisers, as urea is the most commonly used form of nitrogen in Australian fertilisers</v>
      </c>
    </row>
    <row r="17" spans="1:22" ht="20" customHeight="1" x14ac:dyDescent="0.25">
      <c r="A17" s="5" t="str">
        <f>HYPERLINK("#'Input - Fuel'!A1", "Fuel")</f>
        <v>Fuel</v>
      </c>
      <c r="D17" s="2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 customHeight="1" x14ac:dyDescent="0.25">
      <c r="A18" s="5" t="str">
        <f>HYPERLINK("#'Input - Electricity'!A1", "Electricity")</f>
        <v>Electricity</v>
      </c>
      <c r="D18" s="26"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 customHeight="1" x14ac:dyDescent="0.25">
      <c r="A19" s="5" t="str">
        <f>HYPERLINK("#'Input - Common farm inputs'!A1", "Common farm inputs")</f>
        <v>Common farm inputs</v>
      </c>
      <c r="D19" t="s">
        <v>645</v>
      </c>
      <c r="E19" t="s">
        <v>725</v>
      </c>
      <c r="F19" t="s">
        <v>726</v>
      </c>
      <c r="G19" t="s">
        <v>700</v>
      </c>
      <c r="H19" t="s">
        <v>727</v>
      </c>
      <c r="I19" t="s">
        <v>728</v>
      </c>
      <c r="K19" s="20" t="s">
        <v>645</v>
      </c>
      <c r="L19" s="20" t="s">
        <v>725</v>
      </c>
      <c r="Q19" s="20" t="s">
        <v>645</v>
      </c>
      <c r="R19" s="20" t="s">
        <v>725</v>
      </c>
      <c r="V19" s="20" t="s">
        <v>728</v>
      </c>
    </row>
    <row r="20" spans="1:22" ht="20" customHeight="1" x14ac:dyDescent="0.25">
      <c r="A20" s="5" t="str">
        <f>HYPERLINK("#'Input - Crop pasture farm input'!A1", "Crop pasture farm input")</f>
        <v>Crop pasture farm input</v>
      </c>
      <c r="D20" s="177" t="str" cm="1">
        <f t="array" ref="D20">Common_InputFunctions.Utility_DisplayArrayInTable(Fertiliser_SourceData.Fertiliser_ChemicalCompoundElements_Data(),Table_Fertiliser_ChemicalCompounds[[#Headers],[Fertiliser type f]], 0)</f>
        <v>Monoammonium phosphate (MAP)</v>
      </c>
      <c r="E20" s="177" cm="1">
        <f t="array" ref="E20">Common_InputFunctions.Utility_DisplayArrayInTable(Fertiliser_SourceData.Fertiliser_ChemicalCompoundElements_Data(),Table_Fertiliser_ChemicalCompounds[[#Headers],[Fertiliser type f]], 0)</f>
        <v>0.1</v>
      </c>
      <c r="F20" s="177" cm="1">
        <f t="array" ref="F20">Common_InputFunctions.Utility_DisplayArrayInTable(Fertiliser_SourceData.Fertiliser_ChemicalCompoundElements_Data(),Table_Fertiliser_ChemicalCompounds[[#Headers],[Fertiliser type f]], 0)</f>
        <v>0</v>
      </c>
      <c r="G20" s="177" t="str" cm="1">
        <f t="array" ref="G20">Common_InputFunctions.Utility_DisplayArrayInTable(Fertiliser_SourceData.Fertiliser_ChemicalCompoundElements_Data(),Table_Fertiliser_ChemicalCompounds[[#Headers],[Fertiliser type f]], 0)</f>
        <v>Ammonium-based fertilisers</v>
      </c>
      <c r="H20" s="177" t="str" cm="1">
        <f t="array" ref="H20">Common_InputFunctions.Utility_DisplayArrayInTable(Fertiliser_SourceData.Fertiliser_ChemicalCompoundElements_Data(),Table_Fertiliser_ChemicalCompounds[[#Headers],[Fertiliser type f]], 0)</f>
        <v>Monoammonium phosphate (MAP)</v>
      </c>
      <c r="I20" s="177" t="str" cm="1">
        <f t="array" ref="I20">Common_InputFunctions.Utility_DisplayArrayInTable(Fertiliser_SourceData.Fertiliser_ChemicalCompoundElements_Data(),Table_Fertiliser_ChemicalCompounds[[#Headers],[Fertiliser type f]], 0)</f>
        <v>VEERG</v>
      </c>
      <c r="K20" s="20" t="str" cm="1">
        <f t="array" ref="K20">Common_InputFunctions.Utility_DisplayArrayInTable(Fertiliser_SourceData.Fertiliser_FractionNCommonFertilisers_Data(), Table2[[#Headers],[Fertiliser type f]], 0)</f>
        <v>Monoammonium phosphate (MAP)</v>
      </c>
      <c r="L20" s="20" cm="1">
        <f t="array" ref="L20">Common_InputFunctions.Utility_DisplayArrayInTable(Fertiliser_SourceData.Fertiliser_FractionNCommonFertilisers_Data(), Table2[[#Headers],[Fertiliser type f]], 0)</f>
        <v>0.1</v>
      </c>
      <c r="Q20" s="20" t="str" cm="1">
        <f t="array" ref="Q20">Common_InputFunctions.Utility_DisplayArrayInTable(Fertiliser_SourceData.Fertiliser_FractionUreaCommonFertilisers_Data(), Table28[[#Headers],[Fertiliser type f]], 0)</f>
        <v>Monoammonium phosphate (MAP)</v>
      </c>
      <c r="R20" s="20" cm="1">
        <f t="array" ref="R20">Common_InputFunctions.Utility_DisplayArrayInTable(Fertiliser_SourceData.Fertiliser_FractionUreaCommonFertilisers_Data(), Table28[[#Headers],[Fertiliser type f]], 0)</f>
        <v>0</v>
      </c>
      <c r="V20" s="20" t="str" cm="1">
        <f t="array" ref="V20">Common_InputFunctions.Utility_DisplayArrayInTable(Fertiliser_SourceData.Fertiliser_UreaAmmoniaSourceRegions_Data(),Table_SourceData_Fertiliser_UreaAmmoniaSources[[#Headers],[Source]],0)</f>
        <v>Global</v>
      </c>
    </row>
    <row r="21" spans="1:22" ht="20" customHeight="1" x14ac:dyDescent="0.25">
      <c r="A21" s="5" t="str">
        <f>HYPERLINK("#'Input - Livestock farm Inputs'!A1", "Livestock farm Inputs")</f>
        <v>Livestock farm Inputs</v>
      </c>
      <c r="D21" s="177" t="str" cm="1">
        <f t="array" ref="D21">Common_InputFunctions.Utility_DisplayArrayInTable(Fertiliser_SourceData.Fertiliser_ChemicalCompoundElements_Data(),Table_Fertiliser_ChemicalCompounds[[#Headers],[Fertiliser type f]], 0)</f>
        <v>Diammonium phosphate (DAP)</v>
      </c>
      <c r="E21" s="177" cm="1">
        <f t="array" ref="E21">Common_InputFunctions.Utility_DisplayArrayInTable(Fertiliser_SourceData.Fertiliser_ChemicalCompoundElements_Data(),Table_Fertiliser_ChemicalCompounds[[#Headers],[Fertiliser type f]], 0)</f>
        <v>0.18</v>
      </c>
      <c r="F21" s="177" cm="1">
        <f t="array" ref="F21">Common_InputFunctions.Utility_DisplayArrayInTable(Fertiliser_SourceData.Fertiliser_ChemicalCompoundElements_Data(),Table_Fertiliser_ChemicalCompounds[[#Headers],[Fertiliser type f]], 0)</f>
        <v>0</v>
      </c>
      <c r="G21" s="177" t="str" cm="1">
        <f t="array" ref="G21">Common_InputFunctions.Utility_DisplayArrayInTable(Fertiliser_SourceData.Fertiliser_ChemicalCompoundElements_Data(),Table_Fertiliser_ChemicalCompounds[[#Headers],[Fertiliser type f]], 0)</f>
        <v>Ammonium-based fertilisers</v>
      </c>
      <c r="H21" s="177" t="str" cm="1">
        <f t="array" ref="H21">Common_InputFunctions.Utility_DisplayArrayInTable(Fertiliser_SourceData.Fertiliser_ChemicalCompoundElements_Data(),Table_Fertiliser_ChemicalCompounds[[#Headers],[Fertiliser type f]], 0)</f>
        <v>Diammonium phosphate (DAP)</v>
      </c>
      <c r="I21" s="177" t="str" cm="1">
        <f t="array" ref="I21">Common_InputFunctions.Utility_DisplayArrayInTable(Fertiliser_SourceData.Fertiliser_ChemicalCompoundElements_Data(),Table_Fertiliser_ChemicalCompounds[[#Headers],[Fertiliser type f]], 0)</f>
        <v>VEERG</v>
      </c>
      <c r="K21" s="20" t="str" cm="1">
        <f t="array" ref="K21">Common_InputFunctions.Utility_DisplayArrayInTable(Fertiliser_SourceData.Fertiliser_FractionNCommonFertilisers_Data(), Table2[[#Headers],[Fertiliser type f]], 0)</f>
        <v>Diammonium phosphate (DAP)</v>
      </c>
      <c r="L21" s="20" cm="1">
        <f t="array" ref="L21">Common_InputFunctions.Utility_DisplayArrayInTable(Fertiliser_SourceData.Fertiliser_FractionNCommonFertilisers_Data(), Table2[[#Headers],[Fertiliser type f]], 0)</f>
        <v>0.18</v>
      </c>
      <c r="Q21" s="20" t="str" cm="1">
        <f t="array" ref="Q21">Common_InputFunctions.Utility_DisplayArrayInTable(Fertiliser_SourceData.Fertiliser_FractionUreaCommonFertilisers_Data(), Table28[[#Headers],[Fertiliser type f]], 0)</f>
        <v>Diammonium phosphate (DAP)</v>
      </c>
      <c r="R21" s="20" cm="1">
        <f t="array" ref="R21">Common_InputFunctions.Utility_DisplayArrayInTable(Fertiliser_SourceData.Fertiliser_FractionUreaCommonFertilisers_Data(), Table28[[#Headers],[Fertiliser type f]], 0)</f>
        <v>0</v>
      </c>
      <c r="V21" s="20" t="str" cm="1">
        <f t="array" ref="V21">Common_InputFunctions.Utility_DisplayArrayInTable(Fertiliser_SourceData.Fertiliser_UreaAmmoniaSourceRegions_Data(),Table_SourceData_Fertiliser_UreaAmmoniaSources[[#Headers],[Source]],0)</f>
        <v>Canada</v>
      </c>
    </row>
    <row r="22" spans="1:22" ht="20" customHeight="1" x14ac:dyDescent="0.25">
      <c r="A22" s="5" t="str">
        <f>HYPERLINK("#'Input - Freight'!A1", "Freight")</f>
        <v>Freight</v>
      </c>
      <c r="D22" s="177" t="str" cm="1">
        <f t="array" ref="D22">Common_InputFunctions.Utility_DisplayArrayInTable(Fertiliser_SourceData.Fertiliser_ChemicalCompoundElements_Data(),Table_Fertiliser_ChemicalCompounds[[#Headers],[Fertiliser type f]], 0)</f>
        <v>Urea</v>
      </c>
      <c r="E22" s="177" cm="1">
        <f t="array" ref="E22">Common_InputFunctions.Utility_DisplayArrayInTable(Fertiliser_SourceData.Fertiliser_ChemicalCompoundElements_Data(),Table_Fertiliser_ChemicalCompounds[[#Headers],[Fertiliser type f]], 0)</f>
        <v>0.46</v>
      </c>
      <c r="F22" s="177" cm="1">
        <f t="array" ref="F22">Common_InputFunctions.Utility_DisplayArrayInTable(Fertiliser_SourceData.Fertiliser_ChemicalCompoundElements_Data(),Table_Fertiliser_ChemicalCompounds[[#Headers],[Fertiliser type f]], 0)</f>
        <v>1</v>
      </c>
      <c r="G22" s="177" t="str" cm="1">
        <f t="array" ref="G22">Common_InputFunctions.Utility_DisplayArrayInTable(Fertiliser_SourceData.Fertiliser_ChemicalCompoundElements_Data(),Table_Fertiliser_ChemicalCompounds[[#Headers],[Fertiliser type f]], 0)</f>
        <v>Urea-based fertilisers</v>
      </c>
      <c r="H22" s="177" t="str" cm="1">
        <f t="array" ref="H22">Common_InputFunctions.Utility_DisplayArrayInTable(Fertiliser_SourceData.Fertiliser_ChemicalCompoundElements_Data(),Table_Fertiliser_ChemicalCompounds[[#Headers],[Fertiliser type f]], 0)</f>
        <v>Urea</v>
      </c>
      <c r="I22" s="177" t="str" cm="1">
        <f t="array" ref="I22">Common_InputFunctions.Utility_DisplayArrayInTable(Fertiliser_SourceData.Fertiliser_ChemicalCompoundElements_Data(),Table_Fertiliser_ChemicalCompounds[[#Headers],[Fertiliser type f]], 0)</f>
        <v>VEERG</v>
      </c>
      <c r="K22" s="20" t="str" cm="1">
        <f t="array" ref="K22">Common_InputFunctions.Utility_DisplayArrayInTable(Fertiliser_SourceData.Fertiliser_FractionNCommonFertilisers_Data(), Table2[[#Headers],[Fertiliser type f]], 0)</f>
        <v>Urea</v>
      </c>
      <c r="L22" s="20" cm="1">
        <f t="array" ref="L22">Common_InputFunctions.Utility_DisplayArrayInTable(Fertiliser_SourceData.Fertiliser_FractionNCommonFertilisers_Data(), Table2[[#Headers],[Fertiliser type f]], 0)</f>
        <v>0.46</v>
      </c>
      <c r="Q22" s="20" t="str" cm="1">
        <f t="array" ref="Q22">Common_InputFunctions.Utility_DisplayArrayInTable(Fertiliser_SourceData.Fertiliser_FractionUreaCommonFertilisers_Data(), Table28[[#Headers],[Fertiliser type f]], 0)</f>
        <v>Urea</v>
      </c>
      <c r="R22" s="20" cm="1">
        <f t="array" ref="R22">Common_InputFunctions.Utility_DisplayArrayInTable(Fertiliser_SourceData.Fertiliser_FractionUreaCommonFertilisers_Data(), Table28[[#Headers],[Fertiliser type f]], 0)</f>
        <v>1</v>
      </c>
      <c r="V22" s="20" t="str" cm="1">
        <f t="array" ref="V22">Common_InputFunctions.Utility_DisplayArrayInTable(Fertiliser_SourceData.Fertiliser_UreaAmmoniaSourceRegions_Data(),Table_SourceData_Fertiliser_UreaAmmoniaSources[[#Headers],[Source]],0)</f>
        <v>China</v>
      </c>
    </row>
    <row r="23" spans="1:22" ht="20" customHeight="1" x14ac:dyDescent="0.25">
      <c r="A23" s="5" t="str">
        <f>HYPERLINK("#'Input - Solid waste'!A1", "Solid waste")</f>
        <v>Solid waste</v>
      </c>
      <c r="D23" s="177" t="str" cm="1">
        <f t="array" ref="D23">Common_InputFunctions.Utility_DisplayArrayInTable(Fertiliser_SourceData.Fertiliser_ChemicalCompoundElements_Data(),Table_Fertiliser_ChemicalCompounds[[#Headers],[Fertiliser type f]], 0)</f>
        <v>Sulphate of ammonia (SOA)</v>
      </c>
      <c r="E23" s="177" cm="1">
        <f t="array" ref="E23">Common_InputFunctions.Utility_DisplayArrayInTable(Fertiliser_SourceData.Fertiliser_ChemicalCompoundElements_Data(),Table_Fertiliser_ChemicalCompounds[[#Headers],[Fertiliser type f]], 0)</f>
        <v>0.21</v>
      </c>
      <c r="F23" s="177" cm="1">
        <f t="array" ref="F23">Common_InputFunctions.Utility_DisplayArrayInTable(Fertiliser_SourceData.Fertiliser_ChemicalCompoundElements_Data(),Table_Fertiliser_ChemicalCompounds[[#Headers],[Fertiliser type f]], 0)</f>
        <v>0</v>
      </c>
      <c r="G23" s="177" t="str" cm="1">
        <f t="array" ref="G23">Common_InputFunctions.Utility_DisplayArrayInTable(Fertiliser_SourceData.Fertiliser_ChemicalCompoundElements_Data(),Table_Fertiliser_ChemicalCompounds[[#Headers],[Fertiliser type f]], 0)</f>
        <v>Ammonium-based fertilisers</v>
      </c>
      <c r="H23" s="177" t="str" cm="1">
        <f t="array" ref="H23">Common_InputFunctions.Utility_DisplayArrayInTable(Fertiliser_SourceData.Fertiliser_ChemicalCompoundElements_Data(),Table_Fertiliser_ChemicalCompounds[[#Headers],[Fertiliser type f]], 0)</f>
        <v>Sulphate of ammonia (SOA)</v>
      </c>
      <c r="I23" s="177" t="str" cm="1">
        <f t="array" ref="I23">Common_InputFunctions.Utility_DisplayArrayInTable(Fertiliser_SourceData.Fertiliser_ChemicalCompoundElements_Data(),Table_Fertiliser_ChemicalCompounds[[#Headers],[Fertiliser type f]], 0)</f>
        <v>VEERG</v>
      </c>
      <c r="K23" s="20" t="str" cm="1">
        <f t="array" ref="K23">Common_InputFunctions.Utility_DisplayArrayInTable(Fertiliser_SourceData.Fertiliser_FractionNCommonFertilisers_Data(), Table2[[#Headers],[Fertiliser type f]], 0)</f>
        <v>Sulphate of ammonia (SOA)</v>
      </c>
      <c r="L23" s="20" cm="1">
        <f t="array" ref="L23">Common_InputFunctions.Utility_DisplayArrayInTable(Fertiliser_SourceData.Fertiliser_FractionNCommonFertilisers_Data(), Table2[[#Headers],[Fertiliser type f]], 0)</f>
        <v>0.21</v>
      </c>
      <c r="Q23" s="20" t="str" cm="1">
        <f t="array" ref="Q23">Common_InputFunctions.Utility_DisplayArrayInTable(Fertiliser_SourceData.Fertiliser_FractionUreaCommonFertilisers_Data(), Table28[[#Headers],[Fertiliser type f]], 0)</f>
        <v>Sulphate of ammonia (SOA)</v>
      </c>
      <c r="R23" s="20" cm="1">
        <f t="array" ref="R23">Common_InputFunctions.Utility_DisplayArrayInTable(Fertiliser_SourceData.Fertiliser_FractionUreaCommonFertilisers_Data(), Table28[[#Headers],[Fertiliser type f]], 0)</f>
        <v>0</v>
      </c>
      <c r="V23" s="20" t="str" cm="1">
        <f t="array" ref="V23">Common_InputFunctions.Utility_DisplayArrayInTable(Fertiliser_SourceData.Fertiliser_UreaAmmoniaSourceRegions_Data(),Table_SourceData_Fertiliser_UreaAmmoniaSources[[#Headers],[Source]],0)</f>
        <v>Yemen</v>
      </c>
    </row>
    <row r="24" spans="1:22" ht="20" customHeight="1" x14ac:dyDescent="0.25">
      <c r="A24" s="5" t="str">
        <f>HYPERLINK("#'Input - Manure sent off-site'!A1", "Manure sent off-site")</f>
        <v>Manure sent off-site</v>
      </c>
      <c r="D24" s="177" t="str" cm="1">
        <f t="array" ref="D24">Common_InputFunctions.Utility_DisplayArrayInTable(Fertiliser_SourceData.Fertiliser_ChemicalCompoundElements_Data(),Table_Fertiliser_ChemicalCompounds[[#Headers],[Fertiliser type f]], 0)</f>
        <v>Urea-ammonium nitrate (UAN)</v>
      </c>
      <c r="E24" s="177" cm="1">
        <f t="array" ref="E24">Common_InputFunctions.Utility_DisplayArrayInTable(Fertiliser_SourceData.Fertiliser_ChemicalCompoundElements_Data(),Table_Fertiliser_ChemicalCompounds[[#Headers],[Fertiliser type f]], 0)</f>
        <v>0.32</v>
      </c>
      <c r="F24" s="177" cm="1">
        <f t="array" ref="F24">Common_InputFunctions.Utility_DisplayArrayInTable(Fertiliser_SourceData.Fertiliser_ChemicalCompoundElements_Data(),Table_Fertiliser_ChemicalCompounds[[#Headers],[Fertiliser type f]], 0)</f>
        <v>0.35</v>
      </c>
      <c r="G24" s="177" t="str" cm="1">
        <f t="array" ref="G24">Common_InputFunctions.Utility_DisplayArrayInTable(Fertiliser_SourceData.Fertiliser_ChemicalCompoundElements_Data(),Table_Fertiliser_ChemicalCompounds[[#Headers],[Fertiliser type f]], 0)</f>
        <v>Urea-based fertilisers</v>
      </c>
      <c r="H24" s="177" t="str" cm="1">
        <f t="array" ref="H24">Common_InputFunctions.Utility_DisplayArrayInTable(Fertiliser_SourceData.Fertiliser_ChemicalCompoundElements_Data(),Table_Fertiliser_ChemicalCompounds[[#Headers],[Fertiliser type f]], 0)</f>
        <v>Urea-ammonium nitrate (UAN)</v>
      </c>
      <c r="I24" s="177" t="str" cm="1">
        <f t="array" ref="I24">Common_InputFunctions.Utility_DisplayArrayInTable(Fertiliser_SourceData.Fertiliser_ChemicalCompoundElements_Data(),Table_Fertiliser_ChemicalCompounds[[#Headers],[Fertiliser type f]], 0)</f>
        <v>VEERG</v>
      </c>
      <c r="K24" s="20" t="str" cm="1">
        <f t="array" ref="K24">Common_InputFunctions.Utility_DisplayArrayInTable(Fertiliser_SourceData.Fertiliser_FractionNCommonFertilisers_Data(), Table2[[#Headers],[Fertiliser type f]], 0)</f>
        <v>Urea-ammonium nitrate (UAN)</v>
      </c>
      <c r="L24" s="20" cm="1">
        <f t="array" ref="L24">Common_InputFunctions.Utility_DisplayArrayInTable(Fertiliser_SourceData.Fertiliser_FractionNCommonFertilisers_Data(), Table2[[#Headers],[Fertiliser type f]], 0)</f>
        <v>0.32</v>
      </c>
      <c r="Q24" s="20" t="str" cm="1">
        <f t="array" ref="Q24">Common_InputFunctions.Utility_DisplayArrayInTable(Fertiliser_SourceData.Fertiliser_FractionUreaCommonFertilisers_Data(), Table28[[#Headers],[Fertiliser type f]], 0)</f>
        <v>Urea-ammonium nitrate (UAN)</v>
      </c>
      <c r="R24" s="20" cm="1">
        <f t="array" ref="R24">Common_InputFunctions.Utility_DisplayArrayInTable(Fertiliser_SourceData.Fertiliser_FractionUreaCommonFertilisers_Data(), Table28[[#Headers],[Fertiliser type f]], 0)</f>
        <v>0.35</v>
      </c>
    </row>
    <row r="25" spans="1:22" ht="20" customHeight="1" x14ac:dyDescent="0.25">
      <c r="A25" s="5" t="str">
        <f>HYPERLINK("#'Input - Data quality'!A1", "Data quality")</f>
        <v>Data quality</v>
      </c>
      <c r="D25" s="177" t="str" cm="1">
        <f t="array" ref="D25">Common_InputFunctions.Utility_DisplayArrayInTable(Fertiliser_SourceData.Fertiliser_ChemicalCompoundElements_Data(),Table_Fertiliser_ChemicalCompounds[[#Headers],[Fertiliser type f]], 0)</f>
        <v>Ammonium nitrate (AN)</v>
      </c>
      <c r="E25" s="177" cm="1">
        <f t="array" ref="E25">Common_InputFunctions.Utility_DisplayArrayInTable(Fertiliser_SourceData.Fertiliser_ChemicalCompoundElements_Data(),Table_Fertiliser_ChemicalCompounds[[#Headers],[Fertiliser type f]], 0)</f>
        <v>0.33700000000000002</v>
      </c>
      <c r="F25" s="177" cm="1">
        <f t="array" ref="F25">Common_InputFunctions.Utility_DisplayArrayInTable(Fertiliser_SourceData.Fertiliser_ChemicalCompoundElements_Data(),Table_Fertiliser_ChemicalCompounds[[#Headers],[Fertiliser type f]], 0)</f>
        <v>0</v>
      </c>
      <c r="G25" s="177" t="str" cm="1">
        <f t="array" ref="G25">Common_InputFunctions.Utility_DisplayArrayInTable(Fertiliser_SourceData.Fertiliser_ChemicalCompoundElements_Data(),Table_Fertiliser_ChemicalCompounds[[#Headers],[Fertiliser type f]], 0)</f>
        <v>Ammonium-nitrate based fertilisers</v>
      </c>
      <c r="H25" s="177" t="str" cm="1">
        <f t="array" ref="H25">Common_InputFunctions.Utility_DisplayArrayInTable(Fertiliser_SourceData.Fertiliser_ChemicalCompoundElements_Data(),Table_Fertiliser_ChemicalCompounds[[#Headers],[Fertiliser type f]], 0)</f>
        <v>Ammonium nitrate (AN)</v>
      </c>
      <c r="I25" s="177" t="str" cm="1">
        <f t="array" ref="I25">Common_InputFunctions.Utility_DisplayArrayInTable(Fertiliser_SourceData.Fertiliser_ChemicalCompoundElements_Data(),Table_Fertiliser_ChemicalCompounds[[#Headers],[Fertiliser type f]], 0)</f>
        <v>VEERG</v>
      </c>
      <c r="K25" s="20" t="str" cm="1">
        <f t="array" ref="K25">Common_InputFunctions.Utility_DisplayArrayInTable(Fertiliser_SourceData.Fertiliser_FractionNCommonFertilisers_Data(), Table2[[#Headers],[Fertiliser type f]], 0)</f>
        <v>Ammonium nitrate (AN)</v>
      </c>
      <c r="L25" s="20" cm="1">
        <f t="array" ref="L25">Common_InputFunctions.Utility_DisplayArrayInTable(Fertiliser_SourceData.Fertiliser_FractionNCommonFertilisers_Data(), Table2[[#Headers],[Fertiliser type f]], 0)</f>
        <v>0.33700000000000002</v>
      </c>
      <c r="Q25" s="20" t="str" cm="1">
        <f t="array" ref="Q25">Common_InputFunctions.Utility_DisplayArrayInTable(Fertiliser_SourceData.Fertiliser_FractionUreaCommonFertilisers_Data(), Table28[[#Headers],[Fertiliser type f]], 0)</f>
        <v>Ammonium nitrate (AN)</v>
      </c>
      <c r="R25" s="20" cm="1">
        <f t="array" ref="R25">Common_InputFunctions.Utility_DisplayArrayInTable(Fertiliser_SourceData.Fertiliser_FractionUreaCommonFertilisers_Data(), Table28[[#Headers],[Fertiliser type f]], 0)</f>
        <v>0</v>
      </c>
    </row>
    <row r="26" spans="1:22" ht="20" customHeight="1" x14ac:dyDescent="0.25">
      <c r="D26" s="177" t="str" cm="1">
        <f t="array" ref="D26">Common_InputFunctions.Utility_DisplayArrayInTable(Fertiliser_SourceData.Fertiliser_ChemicalCompoundElements_Data(),Table_Fertiliser_ChemicalCompounds[[#Headers],[Fertiliser type f]], 0)</f>
        <v>Calcium ammonium nitrate (CAN)</v>
      </c>
      <c r="E26" s="177" cm="1">
        <f t="array" ref="E26">Common_InputFunctions.Utility_DisplayArrayInTable(Fertiliser_SourceData.Fertiliser_ChemicalCompoundElements_Data(),Table_Fertiliser_ChemicalCompounds[[#Headers],[Fertiliser type f]], 0)</f>
        <v>0.27</v>
      </c>
      <c r="F26" s="177" cm="1">
        <f t="array" ref="F26">Common_InputFunctions.Utility_DisplayArrayInTable(Fertiliser_SourceData.Fertiliser_ChemicalCompoundElements_Data(),Table_Fertiliser_ChemicalCompounds[[#Headers],[Fertiliser type f]], 0)</f>
        <v>0</v>
      </c>
      <c r="G26" s="177" t="str" cm="1">
        <f t="array" ref="G26">Common_InputFunctions.Utility_DisplayArrayInTable(Fertiliser_SourceData.Fertiliser_ChemicalCompoundElements_Data(),Table_Fertiliser_ChemicalCompounds[[#Headers],[Fertiliser type f]], 0)</f>
        <v>Ammonium-nitrate based fertilisers</v>
      </c>
      <c r="H26" s="177" t="str" cm="1">
        <f t="array" ref="H26">Common_InputFunctions.Utility_DisplayArrayInTable(Fertiliser_SourceData.Fertiliser_ChemicalCompoundElements_Data(),Table_Fertiliser_ChemicalCompounds[[#Headers],[Fertiliser type f]], 0)</f>
        <v>Calcium ammonium nitrate (CAN)</v>
      </c>
      <c r="I26" s="177" t="str" cm="1">
        <f t="array" ref="I26">Common_InputFunctions.Utility_DisplayArrayInTable(Fertiliser_SourceData.Fertiliser_ChemicalCompoundElements_Data(),Table_Fertiliser_ChemicalCompounds[[#Headers],[Fertiliser type f]], 0)</f>
        <v>VEERG</v>
      </c>
      <c r="K26" s="20" t="str" cm="1">
        <f t="array" ref="K26">Common_InputFunctions.Utility_DisplayArrayInTable(Fertiliser_SourceData.Fertiliser_FractionNCommonFertilisers_Data(), Table2[[#Headers],[Fertiliser type f]], 0)</f>
        <v>Calcium ammonium nitrate (CAN)</v>
      </c>
      <c r="L26" s="20" cm="1">
        <f t="array" ref="L26">Common_InputFunctions.Utility_DisplayArrayInTable(Fertiliser_SourceData.Fertiliser_FractionNCommonFertilisers_Data(), Table2[[#Headers],[Fertiliser type f]], 0)</f>
        <v>0.27</v>
      </c>
      <c r="Q26" s="20" t="str" cm="1">
        <f t="array" ref="Q26">Common_InputFunctions.Utility_DisplayArrayInTable(Fertiliser_SourceData.Fertiliser_FractionUreaCommonFertilisers_Data(), Table28[[#Headers],[Fertiliser type f]], 0)</f>
        <v>Calcium ammonium nitrate (CAN)</v>
      </c>
      <c r="R26" s="20" cm="1">
        <f t="array" ref="R26">Common_InputFunctions.Utility_DisplayArrayInTable(Fertiliser_SourceData.Fertiliser_FractionUreaCommonFertilisers_Data(), Table28[[#Headers],[Fertiliser type f]], 0)</f>
        <v>0</v>
      </c>
    </row>
    <row r="27" spans="1:22" ht="20" customHeight="1" x14ac:dyDescent="0.25">
      <c r="D27" s="177" t="str" cm="1">
        <f t="array" ref="D27">Common_InputFunctions.Utility_DisplayArrayInTable(Fertiliser_SourceData.Fertiliser_ChemicalCompoundElements_Data(),Table_Fertiliser_ChemicalCompounds[[#Headers],[Fertiliser type f]], 0)</f>
        <v>Nitrogen - Ammoniacal</v>
      </c>
      <c r="E27" s="177" cm="1">
        <f t="array" ref="E27">Common_InputFunctions.Utility_DisplayArrayInTable(Fertiliser_SourceData.Fertiliser_ChemicalCompoundElements_Data(),Table_Fertiliser_ChemicalCompounds[[#Headers],[Fertiliser type f]], 0)</f>
        <v>1</v>
      </c>
      <c r="F27" s="177" cm="1">
        <f t="array" ref="F27">Common_InputFunctions.Utility_DisplayArrayInTable(Fertiliser_SourceData.Fertiliser_ChemicalCompoundElements_Data(),Table_Fertiliser_ChemicalCompounds[[#Headers],[Fertiliser type f]], 0)</f>
        <v>0</v>
      </c>
      <c r="G27" s="177" t="str" cm="1">
        <f t="array" ref="G27">Common_InputFunctions.Utility_DisplayArrayInTable(Fertiliser_SourceData.Fertiliser_ChemicalCompoundElements_Data(),Table_Fertiliser_ChemicalCompounds[[#Headers],[Fertiliser type f]], 0)</f>
        <v>Ammonium-based fertilisers</v>
      </c>
      <c r="H27" s="177" t="str" cm="1">
        <f t="array" ref="H27">Common_InputFunctions.Utility_DisplayArrayInTable(Fertiliser_SourceData.Fertiliser_ChemicalCompoundElements_Data(),Table_Fertiliser_ChemicalCompounds[[#Headers],[Fertiliser type f]], 0)</f>
        <v>Nitrogen - Ammoniacal</v>
      </c>
      <c r="I27" s="177" t="str" cm="1">
        <f t="array" ref="I27">Common_InputFunctions.Utility_DisplayArrayInTable(Fertiliser_SourceData.Fertiliser_ChemicalCompoundElements_Data(),Table_Fertiliser_ChemicalCompounds[[#Headers],[Fertiliser type f]], 0)</f>
        <v>LifeCycles</v>
      </c>
      <c r="K27" s="20" t="str" cm="1">
        <f t="array" ref="K27">Common_InputFunctions.Utility_DisplayArrayInTable(Fertiliser_SourceData.Fertiliser_FractionNCommonFertilisers_Data(), Table2[[#Headers],[Fertiliser type f]], 0)</f>
        <v>Ammonium Sulfate</v>
      </c>
      <c r="L27" s="20" cm="1">
        <f t="array" ref="L27">Common_InputFunctions.Utility_DisplayArrayInTable(Fertiliser_SourceData.Fertiliser_FractionNCommonFertilisers_Data(), Table2[[#Headers],[Fertiliser type f]], 0)</f>
        <v>0.21</v>
      </c>
      <c r="Q27" s="20" t="str" cm="1">
        <f t="array" ref="Q27">Common_InputFunctions.Utility_DisplayArrayInTable(Fertiliser_SourceData.Fertiliser_FractionUreaCommonFertilisers_Data(), Table28[[#Headers],[Fertiliser type f]], 0)</f>
        <v>Ammonium Sulfate</v>
      </c>
      <c r="R27" s="20" cm="1">
        <f t="array" ref="R27">Common_InputFunctions.Utility_DisplayArrayInTable(Fertiliser_SourceData.Fertiliser_FractionUreaCommonFertilisers_Data(), Table28[[#Headers],[Fertiliser type f]], 0)</f>
        <v>0</v>
      </c>
    </row>
    <row r="28" spans="1:22" ht="20" customHeight="1" x14ac:dyDescent="0.25">
      <c r="A28" s="6" t="s">
        <v>2</v>
      </c>
      <c r="D28" s="177" t="str" cm="1">
        <f t="array" ref="D28">Common_InputFunctions.Utility_DisplayArrayInTable(Fertiliser_SourceData.Fertiliser_ChemicalCompoundElements_Data(),Table_Fertiliser_ChemicalCompounds[[#Headers],[Fertiliser type f]], 0)</f>
        <v>Nitrogen - Nitrate</v>
      </c>
      <c r="E28" s="177" cm="1">
        <f t="array" ref="E28">Common_InputFunctions.Utility_DisplayArrayInTable(Fertiliser_SourceData.Fertiliser_ChemicalCompoundElements_Data(),Table_Fertiliser_ChemicalCompounds[[#Headers],[Fertiliser type f]], 0)</f>
        <v>1</v>
      </c>
      <c r="F28" s="177" cm="1">
        <f t="array" ref="F28">Common_InputFunctions.Utility_DisplayArrayInTable(Fertiliser_SourceData.Fertiliser_ChemicalCompoundElements_Data(),Table_Fertiliser_ChemicalCompounds[[#Headers],[Fertiliser type f]], 0)</f>
        <v>0</v>
      </c>
      <c r="G28" s="177" t="str" cm="1">
        <f t="array" ref="G28">Common_InputFunctions.Utility_DisplayArrayInTable(Fertiliser_SourceData.Fertiliser_ChemicalCompoundElements_Data(),Table_Fertiliser_ChemicalCompounds[[#Headers],[Fertiliser type f]], 0)</f>
        <v>Nitrate-based fertilisers</v>
      </c>
      <c r="H28" s="177" t="str" cm="1">
        <f t="array" ref="H28">Common_InputFunctions.Utility_DisplayArrayInTable(Fertiliser_SourceData.Fertiliser_ChemicalCompoundElements_Data(),Table_Fertiliser_ChemicalCompounds[[#Headers],[Fertiliser type f]], 0)</f>
        <v>Nitrogen from Nitrate</v>
      </c>
      <c r="I28" s="177" t="str" cm="1">
        <f t="array" ref="I28">Common_InputFunctions.Utility_DisplayArrayInTable(Fertiliser_SourceData.Fertiliser_ChemicalCompoundElements_Data(),Table_Fertiliser_ChemicalCompounds[[#Headers],[Fertiliser type f]], 0)</f>
        <v>LifeCycles</v>
      </c>
      <c r="K28" s="20" t="str" cm="1">
        <f t="array" ref="K28">Common_InputFunctions.Utility_DisplayArrayInTable(Fertiliser_SourceData.Fertiliser_FractionNCommonFertilisers_Data(), Table2[[#Headers],[Fertiliser type f]], 0)</f>
        <v>Calcium Nitrate</v>
      </c>
      <c r="L28" s="20" cm="1">
        <f t="array" ref="L28">Common_InputFunctions.Utility_DisplayArrayInTable(Fertiliser_SourceData.Fertiliser_FractionNCommonFertilisers_Data(), Table2[[#Headers],[Fertiliser type f]], 0)</f>
        <v>0.155</v>
      </c>
      <c r="Q28" s="20" t="str" cm="1">
        <f t="array" ref="Q28">Common_InputFunctions.Utility_DisplayArrayInTable(Fertiliser_SourceData.Fertiliser_FractionUreaCommonFertilisers_Data(), Table28[[#Headers],[Fertiliser type f]], 0)</f>
        <v>Calcium Nitrate</v>
      </c>
      <c r="R28" s="20" cm="1">
        <f t="array" ref="R28">Common_InputFunctions.Utility_DisplayArrayInTable(Fertiliser_SourceData.Fertiliser_FractionUreaCommonFertilisers_Data(), Table28[[#Headers],[Fertiliser type f]], 0)</f>
        <v>0</v>
      </c>
    </row>
    <row r="29" spans="1:22" ht="20" customHeight="1" x14ac:dyDescent="0.25">
      <c r="A29" s="5" t="str">
        <f>HYPERLINK("#'3.2.1.1-2 Enteric Methane'!A1", "3.2.1.1-2 Enteric Methane")</f>
        <v>3.2.1.1-2 Enteric Methane</v>
      </c>
      <c r="D29" s="177" t="str" cm="1">
        <f t="array" ref="D29">Common_InputFunctions.Utility_DisplayArrayInTable(Fertiliser_SourceData.Fertiliser_ChemicalCompoundElements_Data(),Table_Fertiliser_ChemicalCompounds[[#Headers],[Fertiliser type f]], 0)</f>
        <v>Nitrogen - Generic</v>
      </c>
      <c r="E29" s="177" cm="1">
        <f t="array" ref="E29">Common_InputFunctions.Utility_DisplayArrayInTable(Fertiliser_SourceData.Fertiliser_ChemicalCompoundElements_Data(),Table_Fertiliser_ChemicalCompounds[[#Headers],[Fertiliser type f]], 0)</f>
        <v>1</v>
      </c>
      <c r="F29" s="177" cm="1">
        <f t="array" ref="F29">Common_InputFunctions.Utility_DisplayArrayInTable(Fertiliser_SourceData.Fertiliser_ChemicalCompoundElements_Data(),Table_Fertiliser_ChemicalCompounds[[#Headers],[Fertiliser type f]], 0)</f>
        <v>0</v>
      </c>
      <c r="G29" s="177" t="str" cm="1">
        <f t="array" ref="G29">Common_InputFunctions.Utility_DisplayArrayInTable(Fertiliser_SourceData.Fertiliser_ChemicalCompoundElements_Data(),Table_Fertiliser_ChemicalCompounds[[#Headers],[Fertiliser type f]], 0)</f>
        <v>Urea-based fertilisers</v>
      </c>
      <c r="H29" s="177" t="str" cm="1">
        <f t="array" ref="H29">Common_InputFunctions.Utility_DisplayArrayInTable(Fertiliser_SourceData.Fertiliser_ChemicalCompoundElements_Data(),Table_Fertiliser_ChemicalCompounds[[#Headers],[Fertiliser type f]], 0)</f>
        <v>Nitrogen from fertiliser</v>
      </c>
      <c r="I29" s="177" t="str" cm="1">
        <f t="array" ref="I29">Common_InputFunctions.Utility_DisplayArrayInTable(Fertiliser_SourceData.Fertiliser_ChemicalCompoundElements_Data(),Table_Fertiliser_ChemicalCompounds[[#Headers],[Fertiliser type f]], 0)</f>
        <v>LifeCycles</v>
      </c>
    </row>
    <row r="30" spans="1:22" ht="20" customHeight="1" x14ac:dyDescent="0.25">
      <c r="A30" s="5" t="str">
        <f>HYPERLINK("#'4.2.1.1-2 Methane'!A1", "4.2.1.1-2 Manure methane")</f>
        <v>4.2.1.1-2 Manure methane</v>
      </c>
      <c r="D30" s="177" t="str" cm="1">
        <f t="array" ref="D30">Common_InputFunctions.Utility_DisplayArrayInTable(Fertiliser_SourceData.Fertiliser_ChemicalCompoundElements_Data(),Table_Fertiliser_ChemicalCompounds[[#Headers],[Fertiliser type f]], 0)</f>
        <v>Phosphorus - Generic</v>
      </c>
      <c r="E30" s="177" cm="1">
        <f t="array" ref="E30">Common_InputFunctions.Utility_DisplayArrayInTable(Fertiliser_SourceData.Fertiliser_ChemicalCompoundElements_Data(),Table_Fertiliser_ChemicalCompounds[[#Headers],[Fertiliser type f]], 0)</f>
        <v>0</v>
      </c>
      <c r="F30" s="177" cm="1">
        <f t="array" ref="F30">Common_InputFunctions.Utility_DisplayArrayInTable(Fertiliser_SourceData.Fertiliser_ChemicalCompoundElements_Data(),Table_Fertiliser_ChemicalCompounds[[#Headers],[Fertiliser type f]], 0)</f>
        <v>0</v>
      </c>
      <c r="G30" s="177" t="str" cm="1">
        <f t="array" ref="G30">Common_InputFunctions.Utility_DisplayArrayInTable(Fertiliser_SourceData.Fertiliser_ChemicalCompoundElements_Data(),Table_Fertiliser_ChemicalCompounds[[#Headers],[Fertiliser type f]], 0)</f>
        <v>Other fertilisers</v>
      </c>
      <c r="H30" s="177" t="str" cm="1">
        <f t="array" ref="H30">Common_InputFunctions.Utility_DisplayArrayInTable(Fertiliser_SourceData.Fertiliser_ChemicalCompoundElements_Data(),Table_Fertiliser_ChemicalCompounds[[#Headers],[Fertiliser type f]], 0)</f>
        <v>Phosphorus from fertiliser</v>
      </c>
      <c r="I30" s="177" t="str" cm="1">
        <f t="array" ref="I30">Common_InputFunctions.Utility_DisplayArrayInTable(Fertiliser_SourceData.Fertiliser_ChemicalCompoundElements_Data(),Table_Fertiliser_ChemicalCompounds[[#Headers],[Fertiliser type f]], 0)</f>
        <v>LifeCycles</v>
      </c>
    </row>
    <row r="31" spans="1:22" ht="20" customHeight="1" x14ac:dyDescent="0.25">
      <c r="A31" s="5" t="str">
        <f>HYPERLINK("#'4.2.1.3-4 Soil direct N20'!A1", "4.2.1.3-4 Soil direct N2O")</f>
        <v>4.2.1.3-4 Soil direct N2O</v>
      </c>
      <c r="D31" s="177" t="str" cm="1">
        <f t="array" ref="D31">Common_InputFunctions.Utility_DisplayArrayInTable(Fertiliser_SourceData.Fertiliser_ChemicalCompoundElements_Data(),Table_Fertiliser_ChemicalCompounds[[#Headers],[Fertiliser type f]], 0)</f>
        <v>Potassium - Generic</v>
      </c>
      <c r="E31" s="177" cm="1">
        <f t="array" ref="E31">Common_InputFunctions.Utility_DisplayArrayInTable(Fertiliser_SourceData.Fertiliser_ChemicalCompoundElements_Data(),Table_Fertiliser_ChemicalCompounds[[#Headers],[Fertiliser type f]], 0)</f>
        <v>0</v>
      </c>
      <c r="F31" s="177" cm="1">
        <f t="array" ref="F31">Common_InputFunctions.Utility_DisplayArrayInTable(Fertiliser_SourceData.Fertiliser_ChemicalCompoundElements_Data(),Table_Fertiliser_ChemicalCompounds[[#Headers],[Fertiliser type f]], 0)</f>
        <v>0</v>
      </c>
      <c r="G31" s="177" t="str" cm="1">
        <f t="array" ref="G31">Common_InputFunctions.Utility_DisplayArrayInTable(Fertiliser_SourceData.Fertiliser_ChemicalCompoundElements_Data(),Table_Fertiliser_ChemicalCompounds[[#Headers],[Fertiliser type f]], 0)</f>
        <v>Other fertilisers</v>
      </c>
      <c r="H31" s="177" t="str" cm="1">
        <f t="array" ref="H31">Common_InputFunctions.Utility_DisplayArrayInTable(Fertiliser_SourceData.Fertiliser_ChemicalCompoundElements_Data(),Table_Fertiliser_ChemicalCompounds[[#Headers],[Fertiliser type f]], 0)</f>
        <v>Potassium from fertiliser</v>
      </c>
      <c r="I31" s="177" t="str" cm="1">
        <f t="array" ref="I31">Common_InputFunctions.Utility_DisplayArrayInTable(Fertiliser_SourceData.Fertiliser_ChemicalCompoundElements_Data(),Table_Fertiliser_ChemicalCompounds[[#Headers],[Fertiliser type f]], 0)</f>
        <v>LifeCycles</v>
      </c>
    </row>
    <row r="32" spans="1:22" ht="20" customHeight="1" x14ac:dyDescent="0.25">
      <c r="A32" s="5" t="str">
        <f>HYPERLINK("#'4.2.1.5-6 Soil Atmos Dep'!A1", "4.2.1.5-6 Soil atm. deposition")</f>
        <v>4.2.1.5-6 Soil atm. deposition</v>
      </c>
      <c r="D32" s="177" t="str" cm="1">
        <f t="array" ref="D32">Common_InputFunctions.Utility_DisplayArrayInTable(Fertiliser_SourceData.Fertiliser_ChemicalCompoundElements_Data(),Table_Fertiliser_ChemicalCompounds[[#Headers],[Fertiliser type f]], 0)</f>
        <v>Sulfur - Generic</v>
      </c>
      <c r="E32" s="177" cm="1">
        <f t="array" ref="E32">Common_InputFunctions.Utility_DisplayArrayInTable(Fertiliser_SourceData.Fertiliser_ChemicalCompoundElements_Data(),Table_Fertiliser_ChemicalCompounds[[#Headers],[Fertiliser type f]], 0)</f>
        <v>0</v>
      </c>
      <c r="F32" s="177" cm="1">
        <f t="array" ref="F32">Common_InputFunctions.Utility_DisplayArrayInTable(Fertiliser_SourceData.Fertiliser_ChemicalCompoundElements_Data(),Table_Fertiliser_ChemicalCompounds[[#Headers],[Fertiliser type f]], 0)</f>
        <v>0</v>
      </c>
      <c r="G32" s="177" t="str" cm="1">
        <f t="array" ref="G32">Common_InputFunctions.Utility_DisplayArrayInTable(Fertiliser_SourceData.Fertiliser_ChemicalCompoundElements_Data(),Table_Fertiliser_ChemicalCompounds[[#Headers],[Fertiliser type f]], 0)</f>
        <v>Other fertilisers</v>
      </c>
      <c r="H32" s="177" t="str" cm="1">
        <f t="array" ref="H32">Common_InputFunctions.Utility_DisplayArrayInTable(Fertiliser_SourceData.Fertiliser_ChemicalCompoundElements_Data(),Table_Fertiliser_ChemicalCompounds[[#Headers],[Fertiliser type f]], 0)</f>
        <v>Sulfur from fertiliser</v>
      </c>
      <c r="I32" s="177" t="str" cm="1">
        <f t="array" ref="I32">Common_InputFunctions.Utility_DisplayArrayInTable(Fertiliser_SourceData.Fertiliser_ChemicalCompoundElements_Data(),Table_Fertiliser_ChemicalCompounds[[#Headers],[Fertiliser type f]], 0)</f>
        <v>LifeCycles</v>
      </c>
    </row>
    <row r="33" spans="1:10" ht="20" customHeight="1" x14ac:dyDescent="0.25">
      <c r="A33" s="5" t="str">
        <f>HYPERLINK("#'4.2.1.7-8 Soil leach runoff'!A1", "4.2.1.7-8 Soil leach &amp; runoff")</f>
        <v>4.2.1.7-8 Soil leach &amp; runoff</v>
      </c>
      <c r="D33" s="177" t="str" cm="1">
        <f t="array" ref="D33">Common_InputFunctions.Utility_DisplayArrayInTable(Fertiliser_SourceData.Fertiliser_ChemicalCompoundElements_Data(),Table_Fertiliser_ChemicalCompounds[[#Headers],[Fertiliser type f]], 0)</f>
        <v>Zinc - Generic</v>
      </c>
      <c r="E33" s="177" cm="1">
        <f t="array" ref="E33">Common_InputFunctions.Utility_DisplayArrayInTable(Fertiliser_SourceData.Fertiliser_ChemicalCompoundElements_Data(),Table_Fertiliser_ChemicalCompounds[[#Headers],[Fertiliser type f]], 0)</f>
        <v>0</v>
      </c>
      <c r="F33" s="177" cm="1">
        <f t="array" ref="F33">Common_InputFunctions.Utility_DisplayArrayInTable(Fertiliser_SourceData.Fertiliser_ChemicalCompoundElements_Data(),Table_Fertiliser_ChemicalCompounds[[#Headers],[Fertiliser type f]], 0)</f>
        <v>0</v>
      </c>
      <c r="G33" s="177" t="str" cm="1">
        <f t="array" ref="G33">Common_InputFunctions.Utility_DisplayArrayInTable(Fertiliser_SourceData.Fertiliser_ChemicalCompoundElements_Data(),Table_Fertiliser_ChemicalCompounds[[#Headers],[Fertiliser type f]], 0)</f>
        <v>Other fertilisers</v>
      </c>
      <c r="H33" s="177" t="str" cm="1">
        <f t="array" ref="H33">Common_InputFunctions.Utility_DisplayArrayInTable(Fertiliser_SourceData.Fertiliser_ChemicalCompoundElements_Data(),Table_Fertiliser_ChemicalCompounds[[#Headers],[Fertiliser type f]], 0)</f>
        <v>Zinc from fertiliser</v>
      </c>
      <c r="I33" s="177" t="str" cm="1">
        <f t="array" ref="I33">Common_InputFunctions.Utility_DisplayArrayInTable(Fertiliser_SourceData.Fertiliser_ChemicalCompoundElements_Data(),Table_Fertiliser_ChemicalCompounds[[#Headers],[Fertiliser type f]], 0)</f>
        <v>LifeCycles</v>
      </c>
    </row>
    <row r="34" spans="1:10" ht="20" customHeight="1" x14ac:dyDescent="0.25">
      <c r="A34" s="5" t="str">
        <f>HYPERLINK("#'5.1.1.1-2 Inorganic fert N2O'!A1", "5.1.1.1-2 Inorganic fert N2O")</f>
        <v>5.1.1.1-2 Inorganic fert N2O</v>
      </c>
      <c r="D34" s="177" t="str" cm="1">
        <f t="array" ref="D34">Common_InputFunctions.Utility_DisplayArrayInTable(Fertiliser_SourceData.Fertiliser_ChemicalCompoundElements_Data(),Table_Fertiliser_ChemicalCompounds[[#Headers],[Fertiliser type f]], 0)</f>
        <v>Muriate of potash (MOP)</v>
      </c>
      <c r="E34" s="177" cm="1">
        <f t="array" ref="E34">Common_InputFunctions.Utility_DisplayArrayInTable(Fertiliser_SourceData.Fertiliser_ChemicalCompoundElements_Data(),Table_Fertiliser_ChemicalCompounds[[#Headers],[Fertiliser type f]], 0)</f>
        <v>0</v>
      </c>
      <c r="F34" s="177" cm="1">
        <f t="array" ref="F34">Common_InputFunctions.Utility_DisplayArrayInTable(Fertiliser_SourceData.Fertiliser_ChemicalCompoundElements_Data(),Table_Fertiliser_ChemicalCompounds[[#Headers],[Fertiliser type f]], 0)</f>
        <v>0</v>
      </c>
      <c r="G34" s="177" t="str" cm="1">
        <f t="array" ref="G34">Common_InputFunctions.Utility_DisplayArrayInTable(Fertiliser_SourceData.Fertiliser_ChemicalCompoundElements_Data(),Table_Fertiliser_ChemicalCompounds[[#Headers],[Fertiliser type f]], 0)</f>
        <v>Other fertilisers</v>
      </c>
      <c r="H34" s="177" t="str" cm="1">
        <f t="array" ref="H34">Common_InputFunctions.Utility_DisplayArrayInTable(Fertiliser_SourceData.Fertiliser_ChemicalCompoundElements_Data(),Table_Fertiliser_ChemicalCompounds[[#Headers],[Fertiliser type f]], 0)</f>
        <v>Muriate of potash (MOP)</v>
      </c>
      <c r="I34" s="177" t="str" cm="1">
        <f t="array" ref="I34">Common_InputFunctions.Utility_DisplayArrayInTable(Fertiliser_SourceData.Fertiliser_ChemicalCompoundElements_Data(),Table_Fertiliser_ChemicalCompounds[[#Headers],[Fertiliser type f]], 0)</f>
        <v>LifeCycles</v>
      </c>
    </row>
    <row r="35" spans="1:10" ht="20" customHeight="1" x14ac:dyDescent="0.25">
      <c r="A35" s="5" t="str">
        <f>HYPERLINK("#'5.1.1.3-4 Inorganic fert CO2'!A1", "5.1.1.3-4 Inorganic fert CO2")</f>
        <v>5.1.1.3-4 Inorganic fert CO2</v>
      </c>
      <c r="D35" s="177" t="str" cm="1">
        <f t="array" ref="D35">Common_InputFunctions.Utility_DisplayArrayInTable(Fertiliser_SourceData.Fertiliser_ChemicalCompoundElements_Data(),Table_Fertiliser_ChemicalCompounds[[#Headers],[Fertiliser type f]], 0)</f>
        <v>Double superphosphate</v>
      </c>
      <c r="E35" s="177" cm="1">
        <f t="array" ref="E35">Common_InputFunctions.Utility_DisplayArrayInTable(Fertiliser_SourceData.Fertiliser_ChemicalCompoundElements_Data(),Table_Fertiliser_ChemicalCompounds[[#Headers],[Fertiliser type f]], 0)</f>
        <v>0</v>
      </c>
      <c r="F35" s="177" cm="1">
        <f t="array" ref="F35">Common_InputFunctions.Utility_DisplayArrayInTable(Fertiliser_SourceData.Fertiliser_ChemicalCompoundElements_Data(),Table_Fertiliser_ChemicalCompounds[[#Headers],[Fertiliser type f]], 0)</f>
        <v>0</v>
      </c>
      <c r="G35" s="177" t="str" cm="1">
        <f t="array" ref="G35">Common_InputFunctions.Utility_DisplayArrayInTable(Fertiliser_SourceData.Fertiliser_ChemicalCompoundElements_Data(),Table_Fertiliser_ChemicalCompounds[[#Headers],[Fertiliser type f]], 0)</f>
        <v>Other fertilisers</v>
      </c>
      <c r="H35" s="177" t="str" cm="1">
        <f t="array" ref="H35">Common_InputFunctions.Utility_DisplayArrayInTable(Fertiliser_SourceData.Fertiliser_ChemicalCompoundElements_Data(),Table_Fertiliser_ChemicalCompounds[[#Headers],[Fertiliser type f]], 0)</f>
        <v>Double superphosphate</v>
      </c>
      <c r="I35" s="177" t="str" cm="1">
        <f t="array" ref="I35">Common_InputFunctions.Utility_DisplayArrayInTable(Fertiliser_SourceData.Fertiliser_ChemicalCompoundElements_Data(),Table_Fertiliser_ChemicalCompounds[[#Headers],[Fertiliser type f]], 0)</f>
        <v>LifeCycles</v>
      </c>
    </row>
    <row r="36" spans="1:10" ht="20" customHeight="1" x14ac:dyDescent="0.25">
      <c r="A36" s="5" t="str">
        <f>HYPERLINK("#'5.2.1.1-2 Organic Fert N2O'!A1", "5.2.1.1-2 Organic fert N2O")</f>
        <v>5.2.1.1-2 Organic fert N2O</v>
      </c>
      <c r="D36" s="177" t="str" cm="1">
        <f t="array" ref="D36">Common_InputFunctions.Utility_DisplayArrayInTable(Fertiliser_SourceData.Fertiliser_ChemicalCompoundElements_Data(),Table_Fertiliser_ChemicalCompounds[[#Headers],[Fertiliser type f]], 0)</f>
        <v>Single superphosphate (SSP)</v>
      </c>
      <c r="E36" s="177" cm="1">
        <f t="array" ref="E36">Common_InputFunctions.Utility_DisplayArrayInTable(Fertiliser_SourceData.Fertiliser_ChemicalCompoundElements_Data(),Table_Fertiliser_ChemicalCompounds[[#Headers],[Fertiliser type f]], 0)</f>
        <v>0</v>
      </c>
      <c r="F36" s="177" cm="1">
        <f t="array" ref="F36">Common_InputFunctions.Utility_DisplayArrayInTable(Fertiliser_SourceData.Fertiliser_ChemicalCompoundElements_Data(),Table_Fertiliser_ChemicalCompounds[[#Headers],[Fertiliser type f]], 0)</f>
        <v>0</v>
      </c>
      <c r="G36" s="177" t="str" cm="1">
        <f t="array" ref="G36">Common_InputFunctions.Utility_DisplayArrayInTable(Fertiliser_SourceData.Fertiliser_ChemicalCompoundElements_Data(),Table_Fertiliser_ChemicalCompounds[[#Headers],[Fertiliser type f]], 0)</f>
        <v>Other fertilisers</v>
      </c>
      <c r="H36" s="177" t="str" cm="1">
        <f t="array" ref="H36">Common_InputFunctions.Utility_DisplayArrayInTable(Fertiliser_SourceData.Fertiliser_ChemicalCompoundElements_Data(),Table_Fertiliser_ChemicalCompounds[[#Headers],[Fertiliser type f]], 0)</f>
        <v>Single superphosphate (SSP)</v>
      </c>
      <c r="I36" s="177" t="str" cm="1">
        <f t="array" ref="I36">Common_InputFunctions.Utility_DisplayArrayInTable(Fertiliser_SourceData.Fertiliser_ChemicalCompoundElements_Data(),Table_Fertiliser_ChemicalCompounds[[#Headers],[Fertiliser type f]], 0)</f>
        <v>LifeCycles</v>
      </c>
    </row>
    <row r="37" spans="1:10" ht="20" customHeight="1" x14ac:dyDescent="0.25">
      <c r="A37" s="5" t="str">
        <f>HYPERLINK("#'5.3.1.1-2 Lime CO2'!A1", "5.3.1.1-2 Lime CO2")</f>
        <v>5.3.1.1-2 Lime CO2</v>
      </c>
      <c r="D37" s="177" t="str" cm="1">
        <f t="array" ref="D37">Common_InputFunctions.Utility_DisplayArrayInTable(Fertiliser_SourceData.Fertiliser_ChemicalCompoundElements_Data(),Table_Fertiliser_ChemicalCompounds[[#Headers],[Fertiliser type f]], 0)</f>
        <v>Ammonia</v>
      </c>
      <c r="E37" s="177" cm="1">
        <f t="array" ref="E37">Common_InputFunctions.Utility_DisplayArrayInTable(Fertiliser_SourceData.Fertiliser_ChemicalCompoundElements_Data(),Table_Fertiliser_ChemicalCompounds[[#Headers],[Fertiliser type f]], 0)</f>
        <v>0.82350000000000001</v>
      </c>
      <c r="F37" s="177" cm="1">
        <f t="array" ref="F37">Common_InputFunctions.Utility_DisplayArrayInTable(Fertiliser_SourceData.Fertiliser_ChemicalCompoundElements_Data(),Table_Fertiliser_ChemicalCompounds[[#Headers],[Fertiliser type f]], 0)</f>
        <v>0</v>
      </c>
      <c r="G37" s="177" t="str" cm="1">
        <f t="array" ref="G37">Common_InputFunctions.Utility_DisplayArrayInTable(Fertiliser_SourceData.Fertiliser_ChemicalCompoundElements_Data(),Table_Fertiliser_ChemicalCompounds[[#Headers],[Fertiliser type f]], 0)</f>
        <v>Ammonium-based fertilisers</v>
      </c>
      <c r="H37" s="177" t="str" cm="1">
        <f t="array" ref="H37">Common_InputFunctions.Utility_DisplayArrayInTable(Fertiliser_SourceData.Fertiliser_ChemicalCompoundElements_Data(),Table_Fertiliser_ChemicalCompounds[[#Headers],[Fertiliser type f]], 0)</f>
        <v>Ammonia</v>
      </c>
      <c r="I37" s="177" t="str" cm="1">
        <f t="array" ref="I37">Common_InputFunctions.Utility_DisplayArrayInTable(Fertiliser_SourceData.Fertiliser_ChemicalCompoundElements_Data(),Table_Fertiliser_ChemicalCompounds[[#Headers],[Fertiliser type f]], 0)</f>
        <v>LifeCycles</v>
      </c>
    </row>
    <row r="38" spans="1:10" ht="20" customHeight="1" x14ac:dyDescent="0.25">
      <c r="A38" s="5" t="str">
        <f>HYPERLINK("#'5.4.1.1-4 Atmos deposition'!A1", "5.4.1.1-4 Atmos. deposition")</f>
        <v>5.4.1.1-4 Atmos. deposition</v>
      </c>
      <c r="D38" s="20" t="str" cm="1">
        <f t="array" ref="D38">Common_InputFunctions.Utility_DisplayArrayInTable(Fertiliser_SourceData.Fertiliser_ChemicalCompoundElements_Data(),Table_Fertiliser_ChemicalCompounds[[#Headers],[Fertiliser type f]], 0)</f>
        <v>Calcium nitrate</v>
      </c>
      <c r="E38" s="20" cm="1">
        <f t="array" ref="E38">Common_InputFunctions.Utility_DisplayArrayInTable(Fertiliser_SourceData.Fertiliser_ChemicalCompoundElements_Data(),Table_Fertiliser_ChemicalCompounds[[#Headers],[Fertiliser type f]], 0)</f>
        <v>0.155</v>
      </c>
      <c r="F38" s="20" cm="1">
        <f t="array" ref="F38">Common_InputFunctions.Utility_DisplayArrayInTable(Fertiliser_SourceData.Fertiliser_ChemicalCompoundElements_Data(),Table_Fertiliser_ChemicalCompounds[[#Headers],[Fertiliser type f]], 0)</f>
        <v>0</v>
      </c>
      <c r="G38" s="20" t="str" cm="1">
        <f t="array" ref="G38">Common_InputFunctions.Utility_DisplayArrayInTable(Fertiliser_SourceData.Fertiliser_ChemicalCompoundElements_Data(),Table_Fertiliser_ChemicalCompounds[[#Headers],[Fertiliser type f]], 0)</f>
        <v>Nitrate-based fertilisers</v>
      </c>
      <c r="H38" s="20" t="str" cm="1">
        <f t="array" ref="H38">Common_InputFunctions.Utility_DisplayArrayInTable(Fertiliser_SourceData.Fertiliser_ChemicalCompoundElements_Data(),Table_Fertiliser_ChemicalCompounds[[#Headers],[Fertiliser type f]], 0)</f>
        <v>Calcium nitrate</v>
      </c>
      <c r="I38" s="20" t="str" cm="1">
        <f t="array" ref="I38">Common_InputFunctions.Utility_DisplayArrayInTable(Fertiliser_SourceData.Fertiliser_ChemicalCompoundElements_Data(),Table_Fertiliser_ChemicalCompounds[[#Headers],[Fertiliser type f]], 0)</f>
        <v>VEERG</v>
      </c>
    </row>
    <row r="39" spans="1:10" ht="20" customHeight="1" x14ac:dyDescent="0.25">
      <c r="A39" s="5" t="str">
        <f>HYPERLINK("#'5.5.1.1-2 Leaching and runoff'!A1", "5.5.1.1-2 Leaching &amp; runoff")</f>
        <v>5.5.1.1-2 Leaching &amp; runoff</v>
      </c>
    </row>
    <row r="40" spans="1:10" ht="20" customHeight="1" x14ac:dyDescent="0.25">
      <c r="A40" s="5" t="str">
        <f>HYPERLINK("#'6.2.1.1-2 Pasture residue N2O'!A1", "6.2.1.1-2 Pasture residue N2O")</f>
        <v>6.2.1.1-2 Pasture residue N2O</v>
      </c>
      <c r="D40" s="2" t="s">
        <v>729</v>
      </c>
      <c r="F40" s="2" t="s">
        <v>730</v>
      </c>
      <c r="H40" s="2" t="s">
        <v>485</v>
      </c>
      <c r="J40" s="2" t="s">
        <v>731</v>
      </c>
    </row>
    <row r="41" spans="1:10" ht="20" customHeight="1" x14ac:dyDescent="0.25">
      <c r="A41" s="5" t="str">
        <f>HYPERLINK("#'6.3.1.1-2 Leach runoff pasture'!A1", "6.3.1.1-2 Leach &amp; runoff (pasture)")</f>
        <v>6.3.1.1-2 Leach &amp; runoff (pasture)</v>
      </c>
      <c r="D41" s="20" t="s">
        <v>171</v>
      </c>
      <c r="F41" s="20" t="s">
        <v>171</v>
      </c>
      <c r="H41" s="20" t="s">
        <v>72</v>
      </c>
      <c r="J41" s="20" t="s">
        <v>732</v>
      </c>
    </row>
    <row r="42" spans="1:10" ht="20" customHeight="1" x14ac:dyDescent="0.25">
      <c r="A42" s="5" t="str">
        <f>HYPERLINK("#'8.1.1.1-2 Transport fuel'!A1", "8.1.1.1-2 Transport fuel")</f>
        <v>8.1.1.1-2 Transport fuel</v>
      </c>
      <c r="D42" s="20" t="s">
        <v>174</v>
      </c>
      <c r="F42" s="20" t="s">
        <v>174</v>
      </c>
      <c r="H42" s="20" t="s">
        <v>491</v>
      </c>
      <c r="J42" s="20" t="s">
        <v>733</v>
      </c>
    </row>
    <row r="43" spans="1:10" ht="20" customHeight="1" x14ac:dyDescent="0.25">
      <c r="A43" s="5" t="str">
        <f>HYPERLINK("#'8.2.1.1-2 Stationary fuel'!A1", "8.2.1.1-2 Stationary fuel")</f>
        <v>8.2.1.1-2 Stationary fuel</v>
      </c>
      <c r="D43" s="1" t="s">
        <v>734</v>
      </c>
      <c r="F43" s="1" t="s">
        <v>735</v>
      </c>
      <c r="H43" s="20" t="s">
        <v>495</v>
      </c>
      <c r="J43" s="1" t="s">
        <v>628</v>
      </c>
    </row>
    <row r="44" spans="1:10" ht="20" customHeight="1" x14ac:dyDescent="0.25">
      <c r="A44" s="5" t="str">
        <f>HYPERLINK("#'10.1.1-2 Solid waste treatment'!A1", "10.1.1.1-2 Solid waste")</f>
        <v>10.1.1.1-2 Solid waste</v>
      </c>
      <c r="F44" s="1" t="s">
        <v>736</v>
      </c>
      <c r="H44" s="1" t="s">
        <v>355</v>
      </c>
      <c r="J44" s="1" t="s">
        <v>737</v>
      </c>
    </row>
    <row r="45" spans="1:10" ht="20" customHeight="1" x14ac:dyDescent="0.25">
      <c r="A45" s="5" t="str">
        <f>HYPERLINK("#'14.1.1-2 Purchased electricity'!A1", "14.1.1-2 Purchased electricity")</f>
        <v>14.1.1-2 Purchased electricity</v>
      </c>
      <c r="F45" s="1" t="s">
        <v>668</v>
      </c>
      <c r="H45" s="1" t="s">
        <v>503</v>
      </c>
      <c r="J45" s="1" t="s">
        <v>627</v>
      </c>
    </row>
    <row r="46" spans="1:10" ht="20" customHeight="1" x14ac:dyDescent="0.25">
      <c r="A46" s="5" t="str">
        <f>HYPERLINK("#'15 Scope 3'!A1", "15 Scope 3")</f>
        <v>15 Scope 3</v>
      </c>
      <c r="H46" s="1" t="s">
        <v>505</v>
      </c>
      <c r="J46" s="1" t="s">
        <v>629</v>
      </c>
    </row>
    <row r="47" spans="1:10" ht="20" customHeight="1" x14ac:dyDescent="0.25">
      <c r="A47" s="5" t="str">
        <f>HYPERLINK("#'Calcs - Manure sent off-site'!A1", "Calcs - Manure sent off-site")</f>
        <v>Calcs - Manure sent off-site</v>
      </c>
    </row>
    <row r="48" spans="1:10" ht="20" customHeight="1" x14ac:dyDescent="0.25">
      <c r="D48" s="2" t="str" cm="1">
        <f t="array" ref="D48">Fertiliser_SourceData.Fertiliser_FracGASF_Title()</f>
        <v>Fraction of inorganic fertiliser that volatilises as NH3 and NOx</v>
      </c>
      <c r="G48" s="168"/>
    </row>
    <row r="49" spans="1:8" ht="20" customHeight="1" x14ac:dyDescent="0.25">
      <c r="D49" s="17" t="str" cm="1">
        <f t="array" ref="D49">Fertiliser_SourceData.Fertiliser_FracGASF_Source()</f>
        <v>Table A.2.2.6: Fraction of inorganic fertiliser f that volatilises as NH3 and NOx ((kg NH3-N + NOx-N)/kg N) (FracGASFf)</v>
      </c>
      <c r="G49" s="168"/>
    </row>
    <row r="50" spans="1:8" ht="20" customHeight="1" x14ac:dyDescent="0.25">
      <c r="A50" s="85" t="s">
        <v>1</v>
      </c>
      <c r="D50" s="20" t="s">
        <v>645</v>
      </c>
      <c r="E50" s="20" t="s">
        <v>738</v>
      </c>
      <c r="G50" s="168"/>
    </row>
    <row r="51" spans="1:8" ht="20" customHeight="1" x14ac:dyDescent="0.25">
      <c r="A51" s="5" t="str">
        <f>HYPERLINK("#'Constants - Pasture Beef'!A1", "Constants - Pasture Beef")</f>
        <v>Constants - Pasture Beef</v>
      </c>
      <c r="D51" s="20" t="str" cm="1">
        <f t="array" ref="D51">Common_InputFunctions.Utility_DisplayArrayInTable(Fertiliser_SourceData.Fertiliser_FracGASF_Data(), Table_SourceData_Fertiliser_FracGASF[[#Headers],[Fertiliser type f]], 0)</f>
        <v>Urea-based fertilisers</v>
      </c>
      <c r="E51" s="20" cm="1">
        <f t="array" ref="E51">Common_InputFunctions.Utility_DisplayArrayInTable(Fertiliser_SourceData.Fertiliser_FracGASF_Data(), Table_SourceData_Fertiliser_FracGASF[[#Headers],[Fertiliser type f]], 0)</f>
        <v>0.15</v>
      </c>
      <c r="G51" s="168"/>
    </row>
    <row r="52" spans="1:8" ht="20" customHeight="1" x14ac:dyDescent="0.25">
      <c r="A52" s="5" t="str">
        <f>HYPERLINK("#'Constants - Ag Residue'!A1", "Constants - Ag residue")</f>
        <v>Constants - Ag residue</v>
      </c>
      <c r="D52" s="1" t="str" cm="1">
        <f t="array" ref="D52">Common_InputFunctions.Utility_DisplayArrayInTable(Fertiliser_SourceData.Fertiliser_FracGASF_Data(), Table_SourceData_Fertiliser_FracGASF[[#Headers],[Fertiliser type f]], 0)</f>
        <v>Ammonium-based fertilisers</v>
      </c>
      <c r="E52" s="20" cm="1">
        <f t="array" ref="E52">Common_InputFunctions.Utility_DisplayArrayInTable(Fertiliser_SourceData.Fertiliser_FracGASF_Data(), Table_SourceData_Fertiliser_FracGASF[[#Headers],[Fertiliser type f]], 0)</f>
        <v>0.08</v>
      </c>
      <c r="G52" s="168"/>
    </row>
    <row r="53" spans="1:8" ht="20" customHeight="1" x14ac:dyDescent="0.25">
      <c r="A53" s="5" t="str">
        <f>HYPERLINK("#'Constants - Common Livestock'!A1", "Constants - Common Livestock")</f>
        <v>Constants - Common Livestock</v>
      </c>
      <c r="D53" s="1" t="str" cm="1">
        <f t="array" ref="D53">Common_InputFunctions.Utility_DisplayArrayInTable(Fertiliser_SourceData.Fertiliser_FracGASF_Data(), Table_SourceData_Fertiliser_FracGASF[[#Headers],[Fertiliser type f]], 0)</f>
        <v>Nitrate-based fertilisers</v>
      </c>
      <c r="E53" s="20" cm="1">
        <f t="array" ref="E53">Common_InputFunctions.Utility_DisplayArrayInTable(Fertiliser_SourceData.Fertiliser_FracGASF_Data(), Table_SourceData_Fertiliser_FracGASF[[#Headers],[Fertiliser type f]], 0)</f>
        <v>0.01</v>
      </c>
      <c r="G53" s="168"/>
    </row>
    <row r="54" spans="1:8" ht="20" customHeight="1" x14ac:dyDescent="0.25">
      <c r="A54" s="5" t="str">
        <f>HYPERLINK("#'Constants - Electricity'!A1", "Constants - Electricity")</f>
        <v>Constants - Electricity</v>
      </c>
      <c r="D54" s="1" t="str" cm="1">
        <f t="array" ref="D54">Common_InputFunctions.Utility_DisplayArrayInTable(Fertiliser_SourceData.Fertiliser_FracGASF_Data(), Table_SourceData_Fertiliser_FracGASF[[#Headers],[Fertiliser type f]], 0)</f>
        <v>Ammonium-nitrate based fertilisers</v>
      </c>
      <c r="E54" s="20" cm="1">
        <f t="array" ref="E54">Common_InputFunctions.Utility_DisplayArrayInTable(Fertiliser_SourceData.Fertiliser_FracGASF_Data(), Table_SourceData_Fertiliser_FracGASF[[#Headers],[Fertiliser type f]], 0)</f>
        <v>0.05</v>
      </c>
      <c r="G54" s="168"/>
      <c r="H54" s="168"/>
    </row>
    <row r="55" spans="1:8" ht="20" customHeight="1" x14ac:dyDescent="0.25">
      <c r="A55" s="86" t="str">
        <f>HYPERLINK("#'Constants - Fertiliser'!A1", "Constants - Fertiliser")</f>
        <v>Constants - Fertiliser</v>
      </c>
      <c r="D55" s="1" t="str" cm="1">
        <f t="array" ref="D55">Common_InputFunctions.Utility_DisplayArrayInTable(Fertiliser_SourceData.Fertiliser_FracGASF_Data(), Table_SourceData_Fertiliser_FracGASF[[#Headers],[Fertiliser type f]], 0)</f>
        <v>Other fertilisers</v>
      </c>
      <c r="E55" s="20" cm="1">
        <f t="array" ref="E55">Common_InputFunctions.Utility_DisplayArrayInTable(Fertiliser_SourceData.Fertiliser_FracGASF_Data(), Table_SourceData_Fertiliser_FracGASF[[#Headers],[Fertiliser type f]], 0)</f>
        <v>0.11</v>
      </c>
      <c r="G55" s="168"/>
      <c r="H55" s="168"/>
    </row>
    <row r="56" spans="1:8" ht="20" customHeight="1" x14ac:dyDescent="0.25">
      <c r="A56" s="5" t="str">
        <f>HYPERLINK("#'Constants - Fuel'!A1", "Constants - Fuel")</f>
        <v>Constants - Fuel</v>
      </c>
    </row>
    <row r="57" spans="1:8" ht="20" customHeight="1" x14ac:dyDescent="0.25">
      <c r="A57" s="5" t="str">
        <f>HYPERLINK("#'Constants - Scope 3'!A1", "Constants - Scope 3")</f>
        <v>Constants - Scope 3</v>
      </c>
    </row>
    <row r="58" spans="1:8" ht="20" customHeight="1" x14ac:dyDescent="0.25">
      <c r="A58" s="5" t="str">
        <f>HYPERLINK("#'Constants - Solid Waste'!A1", "Constants - Solid Waste")</f>
        <v>Constants - Solid Waste</v>
      </c>
      <c r="D58" s="2" t="str" cm="1">
        <f t="array" ref="D58">Fertiliser_SourceData.Fertiliser_EFUreaCO2_Title()</f>
        <v>Emission factor for carbon emissions from urea application</v>
      </c>
    </row>
    <row r="59" spans="1:8" ht="20" customHeight="1" x14ac:dyDescent="0.25">
      <c r="A59" s="5" t="str">
        <f>HYPERLINK("#'Constants - Common'!A1", "Constants - Common")</f>
        <v>Constants - Common</v>
      </c>
      <c r="D59" s="17" t="str" cm="1">
        <f t="array" ref="D59">Fertiliser_SourceData.Fertiliser_EFUreaCO2_Source()</f>
        <v>VEERG 2026: 5.1.2.2 Constant Parameters</v>
      </c>
    </row>
    <row r="60" spans="1:8" ht="20" customHeight="1" x14ac:dyDescent="0.25">
      <c r="A60" s="5" t="str">
        <f>HYPERLINK("#'Acknowledgements'!A1", "Acknowledgements")</f>
        <v>Acknowledgements</v>
      </c>
      <c r="D60" s="77"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1" spans="1:8" ht="20" customHeight="1" x14ac:dyDescent="0.25"/>
    <row r="62" spans="1:8" ht="20" customHeight="1" x14ac:dyDescent="0.25"/>
    <row r="63" spans="1:8" ht="20" customHeight="1" x14ac:dyDescent="0.25">
      <c r="D63" s="2" t="str" cm="1">
        <f t="array" ref="D63">Fertiliser_SourceData.Fertiliser_LimeDolomiteGypsumConstants_Title()</f>
        <v>Constants for lime, dolomite and gypsum</v>
      </c>
    </row>
    <row r="64" spans="1:8" ht="20" customHeight="1" x14ac:dyDescent="0.25">
      <c r="D64" s="17" t="str" cm="1">
        <f t="array" ref="D64">Fertiliser_SourceData.Fertiliser_LimeDolomiteGypsumConstants_Source()</f>
        <v>VEERG 2026: 5.3.2.3 Constant Parameters</v>
      </c>
    </row>
    <row r="65" spans="4:6" ht="20" customHeight="1" x14ac:dyDescent="0.25">
      <c r="D65" s="20" t="s">
        <v>689</v>
      </c>
      <c r="E65" s="20" t="s">
        <v>739</v>
      </c>
      <c r="F65" s="20" t="s">
        <v>665</v>
      </c>
    </row>
    <row r="66" spans="4:6" ht="20" customHeight="1" x14ac:dyDescent="0.25">
      <c r="D66" s="20" t="str" cm="1">
        <f t="array" ref="D66">Common_InputFunctions.Utility_DisplayArrayInTable(Fertiliser_SourceData.Fertiliser_LimeDolomiteGypsumConstants_Data(), Table_SourceData_Fertiliser_LimeDolomiteConstants[[#Headers],[Element]], 0)</f>
        <v>Lime (Calcium carbonate)</v>
      </c>
      <c r="E66" s="20" cm="1">
        <f t="array" ref="E66">Common_InputFunctions.Utility_DisplayArrayInTable(Fertiliser_SourceData.Fertiliser_LimeDolomiteGypsumConstants_Data(), Table_SourceData_Fertiliser_LimeDolomiteConstants[[#Headers],[Element]], 0)</f>
        <v>0.9</v>
      </c>
      <c r="F66" s="20" cm="1">
        <f t="array" ref="F66">Common_InputFunctions.Utility_DisplayArrayInTable(Fertiliser_SourceData.Fertiliser_LimeDolomiteGypsumConstants_Data(), Table_SourceData_Fertiliser_LimeDolomiteConstants[[#Headers],[Element]], 0)</f>
        <v>0.12</v>
      </c>
    </row>
    <row r="67" spans="4:6" ht="20"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20" cm="1">
        <f t="array" ref="E67">Common_InputFunctions.Utility_DisplayArrayInTable(Fertiliser_SourceData.Fertiliser_LimeDolomiteGypsumConstants_Data(), Table_SourceData_Fertiliser_LimeDolomiteConstants[[#Headers],[Element]], 0)</f>
        <v>0.95</v>
      </c>
      <c r="F67" s="20" cm="1">
        <f t="array" ref="F67">Common_InputFunctions.Utility_DisplayArrayInTable(Fertiliser_SourceData.Fertiliser_LimeDolomiteGypsumConstants_Data(), Table_SourceData_Fertiliser_LimeDolomiteConstants[[#Headers],[Element]], 0)</f>
        <v>0.13</v>
      </c>
    </row>
    <row r="68" spans="4:6" ht="20" customHeight="1" x14ac:dyDescent="0.25">
      <c r="D68" s="1" t="str" cm="1">
        <f t="array" ref="D68">Common_InputFunctions.Utility_DisplayArrayInTable(Fertiliser_SourceData.Fertiliser_LimeDolomiteGypsumConstants_Data(), Table_SourceData_Fertiliser_LimeDolomiteConstants[[#Headers],[Element]], 0)</f>
        <v>Gypsum</v>
      </c>
      <c r="E68" s="20" cm="1">
        <f t="array" ref="E68">Common_InputFunctions.Utility_DisplayArrayInTable(Fertiliser_SourceData.Fertiliser_LimeDolomiteGypsumConstants_Data(), Table_SourceData_Fertiliser_LimeDolomiteConstants[[#Headers],[Element]], 0)</f>
        <v>0</v>
      </c>
      <c r="F68" s="20" cm="1">
        <f t="array" ref="F68">Common_InputFunctions.Utility_DisplayArrayInTable(Fertiliser_SourceData.Fertiliser_LimeDolomiteGypsumConstants_Data(), Table_SourceData_Fertiliser_LimeDolomiteConstants[[#Headers],[Element]], 0)</f>
        <v>0</v>
      </c>
    </row>
    <row r="69" spans="4:6" ht="20" customHeight="1" x14ac:dyDescent="0.25"/>
    <row r="70" spans="4:6" ht="20" customHeight="1" x14ac:dyDescent="0.25"/>
    <row r="71" spans="4:6" ht="20" customHeight="1" x14ac:dyDescent="0.25">
      <c r="D71" s="2" t="str" cm="1">
        <f t="array" ref="D71">Fertiliser_SourceData.Fertiliser_FracGASMSoil_Title()</f>
        <v>Fraction of organic fertiliser that volatilises as NH3 and NOx</v>
      </c>
    </row>
    <row r="72" spans="4:6" ht="20" customHeight="1" x14ac:dyDescent="0.25">
      <c r="D72" s="17" t="str" cm="1">
        <f t="array" ref="D72">Fertiliser_SourceData.Fertiliser_FracGASMSoil_Source()</f>
        <v>VEERG 2026: 5.4.2.3 Constant Parameters</v>
      </c>
    </row>
    <row r="73" spans="4:6" ht="20" customHeight="1" x14ac:dyDescent="0.25">
      <c r="D73" s="77"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4" spans="4:6" ht="20" customHeight="1" x14ac:dyDescent="0.25"/>
    <row r="75" spans="4:6" ht="20" customHeight="1" x14ac:dyDescent="0.25"/>
    <row r="76" spans="4:6" ht="20" customHeight="1" x14ac:dyDescent="0.25">
      <c r="D76" s="2" t="str" cm="1">
        <f t="array" ref="D76">Fertiliser_SourceData.Fertiliser_FracLEACH_Title()</f>
        <v>Fraction of nitrogen that is lost through leaching and runoff</v>
      </c>
    </row>
    <row r="77" spans="4:6" ht="20" customHeight="1" x14ac:dyDescent="0.25">
      <c r="D77" s="17" t="str" cm="1">
        <f t="array" ref="D77">Fertiliser_SourceData.Fertiliser_FracLEACH_Source()</f>
        <v>VEERG 2026: 5.5.2.3 Constant Parameters</v>
      </c>
    </row>
    <row r="78" spans="4:6" ht="20" customHeight="1" x14ac:dyDescent="0.25">
      <c r="D78" s="77"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79" spans="4:6" ht="20" customHeight="1" x14ac:dyDescent="0.25"/>
    <row r="80" spans="4:6" ht="20" customHeight="1" x14ac:dyDescent="0.25"/>
    <row r="81" spans="4:39" ht="20" customHeight="1" x14ac:dyDescent="0.25">
      <c r="D81" s="2" t="str" cm="1">
        <f t="array" ref="D81">Fertiliser_SourceData.Fertiliser_EFLeach_Title()</f>
        <v>Emission factor for nitrogen leaching and runoff</v>
      </c>
    </row>
    <row r="82" spans="4:39" ht="20" customHeight="1" x14ac:dyDescent="0.25">
      <c r="D82" s="17" t="str" cm="1">
        <f t="array" ref="D82">Fertiliser_SourceData.Fertiliser_EFLeach_Source()</f>
        <v>VEERG 2026: 5.5.2.3 Constant Parameters</v>
      </c>
    </row>
    <row r="83" spans="4:39" ht="20" customHeight="1" x14ac:dyDescent="0.25">
      <c r="D83" s="77"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4" spans="4:39" ht="20" customHeight="1" x14ac:dyDescent="0.25"/>
    <row r="85" spans="4:39" ht="20" customHeight="1" x14ac:dyDescent="0.25"/>
    <row r="86" spans="4:39" ht="20" customHeight="1" x14ac:dyDescent="0.25"/>
    <row r="87" spans="4:39" ht="20" customHeight="1" x14ac:dyDescent="0.25">
      <c r="D87" s="2" t="s">
        <v>740</v>
      </c>
      <c r="E87" s="168"/>
      <c r="F87" s="168"/>
      <c r="G87" s="168"/>
      <c r="H87" s="168"/>
      <c r="I87" s="168"/>
      <c r="J87" s="168"/>
      <c r="K87" s="168"/>
      <c r="L87" s="168"/>
      <c r="N87" s="168"/>
      <c r="O87" s="168"/>
      <c r="P87" s="168"/>
      <c r="Q87" s="168"/>
      <c r="R87" s="168"/>
      <c r="S87" s="168"/>
      <c r="T87" s="168"/>
      <c r="U87" s="168"/>
    </row>
    <row r="88" spans="4:39" ht="20" customHeight="1" x14ac:dyDescent="0.25">
      <c r="D88" s="168"/>
    </row>
    <row r="89" spans="4:39" ht="20" customHeight="1" x14ac:dyDescent="0.25">
      <c r="D89" s="178" t="s">
        <v>741</v>
      </c>
      <c r="E89" s="20" t="s">
        <v>139</v>
      </c>
      <c r="F89" s="20" t="s">
        <v>121</v>
      </c>
      <c r="G89" s="131" t="s">
        <v>588</v>
      </c>
      <c r="H89" s="131" t="s">
        <v>742</v>
      </c>
      <c r="I89" s="131" t="s">
        <v>605</v>
      </c>
      <c r="J89" s="131" t="s">
        <v>606</v>
      </c>
      <c r="K89" s="131" t="s">
        <v>743</v>
      </c>
      <c r="L89" s="131" t="s">
        <v>744</v>
      </c>
      <c r="M89" s="131" t="s">
        <v>745</v>
      </c>
      <c r="N89" s="131" t="s">
        <v>746</v>
      </c>
      <c r="O89" s="131" t="s">
        <v>590</v>
      </c>
      <c r="P89" s="131" t="s">
        <v>591</v>
      </c>
      <c r="Q89" s="20" t="s">
        <v>592</v>
      </c>
      <c r="R89" s="20" t="s">
        <v>593</v>
      </c>
      <c r="S89" s="20" t="s">
        <v>594</v>
      </c>
      <c r="T89" s="20" t="s">
        <v>595</v>
      </c>
      <c r="U89" s="131" t="s">
        <v>596</v>
      </c>
      <c r="V89" s="131" t="s">
        <v>597</v>
      </c>
      <c r="W89" s="20" t="s">
        <v>598</v>
      </c>
      <c r="X89" s="131" t="s">
        <v>599</v>
      </c>
      <c r="Y89" s="131" t="s">
        <v>600</v>
      </c>
      <c r="Z89" s="131" t="s">
        <v>601</v>
      </c>
      <c r="AA89" s="131" t="s">
        <v>747</v>
      </c>
      <c r="AB89" s="131" t="s">
        <v>748</v>
      </c>
      <c r="AC89" s="20" t="s">
        <v>749</v>
      </c>
      <c r="AD89" s="20" t="s">
        <v>750</v>
      </c>
      <c r="AE89" s="20" t="s">
        <v>751</v>
      </c>
      <c r="AF89" s="20" t="s">
        <v>752</v>
      </c>
      <c r="AG89" s="20" t="s">
        <v>753</v>
      </c>
      <c r="AH89" s="20" t="s">
        <v>754</v>
      </c>
      <c r="AK89" s="1"/>
      <c r="AL89" s="1"/>
      <c r="AM89" s="1"/>
    </row>
    <row r="90" spans="4:39" ht="20" customHeight="1" x14ac:dyDescent="0.25">
      <c r="D90" s="177" t="str" cm="1">
        <f t="array" ref="D90">Common_InputFunctions.Utility_DisplayArrayInTable(Fertiliser_SourceData.Fertiliser_Products_Data1(), FertiliserProducts[[#Headers],[Company]],1)</f>
        <v>Campbells fertilisers Australia</v>
      </c>
      <c r="E90" s="177" t="str" cm="1">
        <f t="array" ref="E90">Common_InputFunctions.Utility_DisplayArrayInTable(Fertiliser_SourceData.Fertiliser_Products_Data1(), FertiliserProducts[[#Headers],[Company]],1)</f>
        <v>Aqua Finish</v>
      </c>
      <c r="F90" s="177" t="str" cm="1">
        <f t="array" ref="F90">Common_InputFunctions.Utility_DisplayArrayInTable(Fertiliser_SourceData.Fertiliser_Products_Data1(), FertiliserProducts[[#Headers],[Company]],1)</f>
        <v>L</v>
      </c>
      <c r="G90" s="177" cm="1">
        <f t="array" ref="G90">Common_InputFunctions.Utility_DisplayArrayInTable(Fertiliser_SourceData.Fertiliser_Products_Data1(), FertiliserProducts[[#Headers],[Company]],1)</f>
        <v>1.26</v>
      </c>
      <c r="H90" s="177" t="str" cm="1">
        <f t="array" ref="H90">Common_InputFunctions.Utility_DisplayArrayInTable(Fertiliser_SourceData.Fertiliser_Products_Data1(), FertiliserProducts[[#Headers],[Company]],1)</f>
        <v/>
      </c>
      <c r="I90" s="177" t="str" cm="1">
        <f t="array" ref="I90">Common_InputFunctions.Utility_DisplayArrayInTable(Fertiliser_SourceData.Fertiliser_Products_Data1(), FertiliserProducts[[#Headers],[Company]],1)</f>
        <v/>
      </c>
      <c r="J90" s="177" t="str" cm="1">
        <f t="array" ref="J90">Common_InputFunctions.Utility_DisplayArrayInTable(Fertiliser_SourceData.Fertiliser_Products_Data1(), FertiliserProducts[[#Headers],[Company]],1)</f>
        <v/>
      </c>
      <c r="K90" s="177" cm="1">
        <f t="array" ref="K90">Common_InputFunctions.Utility_DisplayArrayInTable(Fertiliser_SourceData.Fertiliser_Products_Data1(), FertiliserProducts[[#Headers],[Company]],1)</f>
        <v>2.6</v>
      </c>
      <c r="L90" s="177" cm="1">
        <f t="array" ref="L90">Common_InputFunctions.Utility_DisplayArrayInTable(Fertiliser_SourceData.Fertiliser_Products_Data1(), FertiliserProducts[[#Headers],[Company]],1)</f>
        <v>4</v>
      </c>
      <c r="M90" s="177" cm="1">
        <f t="array" ref="M90">Common_InputFunctions.Utility_DisplayArrayInTable(Fertiliser_SourceData.Fertiliser_Products_Data1(), FertiliserProducts[[#Headers],[Company]],1)</f>
        <v>22.5</v>
      </c>
      <c r="N90" s="177" t="str" cm="1">
        <f t="array" ref="N90">Common_InputFunctions.Utility_DisplayArrayInTable(Fertiliser_SourceData.Fertiliser_Products_Data1(), FertiliserProducts[[#Headers],[Company]],1)</f>
        <v/>
      </c>
      <c r="O90" s="177" t="str" cm="1">
        <f t="array" ref="O90">Common_InputFunctions.Utility_DisplayArrayInTable(Fertiliser_SourceData.Fertiliser_Products_Data1(), FertiliserProducts[[#Headers],[Company]],1)</f>
        <v>Potassium - Generic</v>
      </c>
      <c r="P90" s="177" cm="1">
        <f t="array" ref="P90">Common_InputFunctions.Utility_DisplayArrayInTable(Fertiliser_SourceData.Fertiliser_Products_Data1(), FertiliserProducts[[#Headers],[Company]],1)</f>
        <v>0.22500000000000001</v>
      </c>
      <c r="Q90" s="177" t="str" cm="1">
        <f t="array" ref="Q90">Common_InputFunctions.Utility_DisplayArrayInTable(Fertiliser_SourceData.Fertiliser_Products_Data1(), FertiliserProducts[[#Headers],[Company]],1)</f>
        <v>Phosphorus - Generic</v>
      </c>
      <c r="R90" s="177" cm="1">
        <f t="array" ref="R90">Common_InputFunctions.Utility_DisplayArrayInTable(Fertiliser_SourceData.Fertiliser_Products_Data1(), FertiliserProducts[[#Headers],[Company]],1)</f>
        <v>0.04</v>
      </c>
      <c r="S90" s="177" t="str" cm="1">
        <f t="array" ref="S90">Common_InputFunctions.Utility_DisplayArrayInTable(Fertiliser_SourceData.Fertiliser_Products_Data1(), FertiliserProducts[[#Headers],[Company]],1)</f>
        <v>Nitrogen - Generic</v>
      </c>
      <c r="T90" s="177" cm="1">
        <f t="array" ref="T90">Common_InputFunctions.Utility_DisplayArrayInTable(Fertiliser_SourceData.Fertiliser_Products_Data1(), FertiliserProducts[[#Headers],[Company]],1)</f>
        <v>2.5999999999999999E-2</v>
      </c>
      <c r="U90" s="177" t="str" cm="1">
        <f t="array" ref="U90">Common_InputFunctions.Utility_DisplayArrayInTable(Fertiliser_SourceData.Fertiliser_Products_Data1(), FertiliserProducts[[#Headers],[Company]],1)</f>
        <v/>
      </c>
      <c r="V90" s="177" t="str" cm="1">
        <f t="array" ref="V90">Common_InputFunctions.Utility_DisplayArrayInTable(Fertiliser_SourceData.Fertiliser_Products_Data1(), FertiliserProducts[[#Headers],[Company]],1)</f>
        <v/>
      </c>
      <c r="W90" s="177" t="str" cm="1">
        <f t="array" ref="W90">Common_InputFunctions.Utility_DisplayArrayInTable(Fertiliser_SourceData.Fertiliser_Products_Data1(), FertiliserProducts[[#Headers],[Company]],1)</f>
        <v/>
      </c>
      <c r="X90" s="177" t="str" cm="1">
        <f t="array" ref="X90">Common_InputFunctions.Utility_DisplayArrayInTable(Fertiliser_SourceData.Fertiliser_Products_Data1(), FertiliserProducts[[#Headers],[Company]],1)</f>
        <v/>
      </c>
      <c r="Y90" s="177" t="str" cm="1">
        <f t="array" ref="Y90">Common_InputFunctions.Utility_DisplayArrayInTable(Fertiliser_SourceData.Fertiliser_Products_Data1(), FertiliserProducts[[#Headers],[Company]],1)</f>
        <v/>
      </c>
      <c r="Z90" s="177" t="str" cm="1">
        <f t="array" ref="Z90">Common_InputFunctions.Utility_DisplayArrayInTable(Fertiliser_SourceData.Fertiliser_Products_Data1(), FertiliserProducts[[#Headers],[Company]],1)</f>
        <v/>
      </c>
      <c r="AA90" s="177" t="str" cm="1">
        <f t="array" ref="AA90">Common_InputFunctions.Utility_DisplayArrayInTable(Fertiliser_SourceData.Fertiliser_Products_Data1(), FertiliserProducts[[#Headers],[Company]],1)</f>
        <v/>
      </c>
      <c r="AB90" s="177" t="str" cm="1">
        <f t="array" ref="AB90">Common_InputFunctions.Utility_DisplayArrayInTable(Fertiliser_SourceData.Fertiliser_Products_Data1(), FertiliserProducts[[#Headers],[Company]],1)</f>
        <v/>
      </c>
      <c r="AC90" s="177" t="str" cm="1">
        <f t="array" ref="AC90">Common_InputFunctions.Utility_DisplayArrayInTable(Fertiliser_SourceData.Fertiliser_Products_Data1(), FertiliserProducts[[#Headers],[Company]],1)</f>
        <v/>
      </c>
      <c r="AD90" s="177" t="str" cm="1">
        <f t="array" ref="AD90">Common_InputFunctions.Utility_DisplayArrayInTable(Fertiliser_SourceData.Fertiliser_Products_Data1(), FertiliserProducts[[#Headers],[Company]],1)</f>
        <v/>
      </c>
      <c r="AE90" s="177" t="str" cm="1">
        <f t="array" ref="AE90">Common_InputFunctions.Utility_DisplayArrayInTable(Fertiliser_SourceData.Fertiliser_Products_Data1(), FertiliserProducts[[#Headers],[Company]],1)</f>
        <v/>
      </c>
      <c r="AF90" s="177" t="str" cm="1">
        <f t="array" ref="AF90">Common_InputFunctions.Utility_DisplayArrayInTable(Fertiliser_SourceData.Fertiliser_Products_Data1(), FertiliserProducts[[#Headers],[Company]],1)</f>
        <v/>
      </c>
      <c r="AG90" s="177" t="str" cm="1">
        <f t="array" ref="AG90">Common_InputFunctions.Utility_DisplayArrayInTable(Fertiliser_SourceData.Fertiliser_Products_Data1(), FertiliserProducts[[#Headers],[Company]],1)</f>
        <v/>
      </c>
      <c r="AH90" s="177" t="str" cm="1">
        <f t="array" ref="AH90">Common_InputFunctions.Utility_DisplayArrayInTable(Fertiliser_SourceData.Fertiliser_Products_Data1(), FertiliserProducts[[#Headers],[Company]],1)</f>
        <v/>
      </c>
      <c r="AK90" s="1"/>
      <c r="AL90" s="1"/>
      <c r="AM90" s="1"/>
    </row>
    <row r="91" spans="4:39" ht="20" customHeight="1" x14ac:dyDescent="0.25">
      <c r="D91" s="177" t="str" cm="1">
        <f t="array" ref="D91">Common_InputFunctions.Utility_DisplayArrayInTable(Fertiliser_SourceData.Fertiliser_Products_Data1(), FertiliserProducts[[#Headers],[Company]],1)</f>
        <v>Campbells fertilisers Australia</v>
      </c>
      <c r="E91" s="177" t="str" cm="1">
        <f t="array" ref="E91">Common_InputFunctions.Utility_DisplayArrayInTable(Fertiliser_SourceData.Fertiliser_Products_Data1(), FertiliserProducts[[#Headers],[Company]],1)</f>
        <v>Aqua Grow</v>
      </c>
      <c r="F91" s="177" t="str" cm="1">
        <f t="array" ref="F91">Common_InputFunctions.Utility_DisplayArrayInTable(Fertiliser_SourceData.Fertiliser_Products_Data1(), FertiliserProducts[[#Headers],[Company]],1)</f>
        <v>L</v>
      </c>
      <c r="G91" s="177" cm="1">
        <f t="array" ref="G91">Common_InputFunctions.Utility_DisplayArrayInTable(Fertiliser_SourceData.Fertiliser_Products_Data1(), FertiliserProducts[[#Headers],[Company]],1)</f>
        <v>1.26</v>
      </c>
      <c r="H91" s="177" t="str" cm="1">
        <f t="array" ref="H91">Common_InputFunctions.Utility_DisplayArrayInTable(Fertiliser_SourceData.Fertiliser_Products_Data1(), FertiliserProducts[[#Headers],[Company]],1)</f>
        <v/>
      </c>
      <c r="I91" s="177" t="str" cm="1">
        <f t="array" ref="I91">Common_InputFunctions.Utility_DisplayArrayInTable(Fertiliser_SourceData.Fertiliser_Products_Data1(), FertiliserProducts[[#Headers],[Company]],1)</f>
        <v/>
      </c>
      <c r="J91" s="177" t="str" cm="1">
        <f t="array" ref="J91">Common_InputFunctions.Utility_DisplayArrayInTable(Fertiliser_SourceData.Fertiliser_Products_Data1(), FertiliserProducts[[#Headers],[Company]],1)</f>
        <v/>
      </c>
      <c r="K91" s="177" cm="1">
        <f t="array" ref="K91">Common_InputFunctions.Utility_DisplayArrayInTable(Fertiliser_SourceData.Fertiliser_Products_Data1(), FertiliserProducts[[#Headers],[Company]],1)</f>
        <v>9.6</v>
      </c>
      <c r="L91" s="177" cm="1">
        <f t="array" ref="L91">Common_InputFunctions.Utility_DisplayArrayInTable(Fertiliser_SourceData.Fertiliser_Products_Data1(), FertiliserProducts[[#Headers],[Company]],1)</f>
        <v>5</v>
      </c>
      <c r="M91" s="177" cm="1">
        <f t="array" ref="M91">Common_InputFunctions.Utility_DisplayArrayInTable(Fertiliser_SourceData.Fertiliser_Products_Data1(), FertiliserProducts[[#Headers],[Company]],1)</f>
        <v>10.5</v>
      </c>
      <c r="N91" s="177" t="str" cm="1">
        <f t="array" ref="N91">Common_InputFunctions.Utility_DisplayArrayInTable(Fertiliser_SourceData.Fertiliser_Products_Data1(), FertiliserProducts[[#Headers],[Company]],1)</f>
        <v/>
      </c>
      <c r="O91" s="177" t="str" cm="1">
        <f t="array" ref="O91">Common_InputFunctions.Utility_DisplayArrayInTable(Fertiliser_SourceData.Fertiliser_Products_Data1(), FertiliserProducts[[#Headers],[Company]],1)</f>
        <v>Potassium - Generic</v>
      </c>
      <c r="P91" s="177" cm="1">
        <f t="array" ref="P91">Common_InputFunctions.Utility_DisplayArrayInTable(Fertiliser_SourceData.Fertiliser_Products_Data1(), FertiliserProducts[[#Headers],[Company]],1)</f>
        <v>0.105</v>
      </c>
      <c r="Q91" s="177" t="str" cm="1">
        <f t="array" ref="Q91">Common_InputFunctions.Utility_DisplayArrayInTable(Fertiliser_SourceData.Fertiliser_Products_Data1(), FertiliserProducts[[#Headers],[Company]],1)</f>
        <v>Nitrogen - Generic</v>
      </c>
      <c r="R91" s="177" cm="1">
        <f t="array" ref="R91">Common_InputFunctions.Utility_DisplayArrayInTable(Fertiliser_SourceData.Fertiliser_Products_Data1(), FertiliserProducts[[#Headers],[Company]],1)</f>
        <v>9.6000000000000002E-2</v>
      </c>
      <c r="S91" s="177" t="str" cm="1">
        <f t="array" ref="S91">Common_InputFunctions.Utility_DisplayArrayInTable(Fertiliser_SourceData.Fertiliser_Products_Data1(), FertiliserProducts[[#Headers],[Company]],1)</f>
        <v>Phosphorus - Generic</v>
      </c>
      <c r="T91" s="177" cm="1">
        <f t="array" ref="T91">Common_InputFunctions.Utility_DisplayArrayInTable(Fertiliser_SourceData.Fertiliser_Products_Data1(), FertiliserProducts[[#Headers],[Company]],1)</f>
        <v>0.05</v>
      </c>
      <c r="U91" s="177" t="str" cm="1">
        <f t="array" ref="U91">Common_InputFunctions.Utility_DisplayArrayInTable(Fertiliser_SourceData.Fertiliser_Products_Data1(), FertiliserProducts[[#Headers],[Company]],1)</f>
        <v/>
      </c>
      <c r="V91" s="177" t="str" cm="1">
        <f t="array" ref="V91">Common_InputFunctions.Utility_DisplayArrayInTable(Fertiliser_SourceData.Fertiliser_Products_Data1(), FertiliserProducts[[#Headers],[Company]],1)</f>
        <v/>
      </c>
      <c r="W91" s="177" t="str" cm="1">
        <f t="array" ref="W91">Common_InputFunctions.Utility_DisplayArrayInTable(Fertiliser_SourceData.Fertiliser_Products_Data1(), FertiliserProducts[[#Headers],[Company]],1)</f>
        <v/>
      </c>
      <c r="X91" s="177" t="str" cm="1">
        <f t="array" ref="X91">Common_InputFunctions.Utility_DisplayArrayInTable(Fertiliser_SourceData.Fertiliser_Products_Data1(), FertiliserProducts[[#Headers],[Company]],1)</f>
        <v/>
      </c>
      <c r="Y91" s="177" t="str" cm="1">
        <f t="array" ref="Y91">Common_InputFunctions.Utility_DisplayArrayInTable(Fertiliser_SourceData.Fertiliser_Products_Data1(), FertiliserProducts[[#Headers],[Company]],1)</f>
        <v/>
      </c>
      <c r="Z91" s="177" t="str" cm="1">
        <f t="array" ref="Z91">Common_InputFunctions.Utility_DisplayArrayInTable(Fertiliser_SourceData.Fertiliser_Products_Data1(), FertiliserProducts[[#Headers],[Company]],1)</f>
        <v/>
      </c>
      <c r="AA91" s="177" t="str" cm="1">
        <f t="array" ref="AA91">Common_InputFunctions.Utility_DisplayArrayInTable(Fertiliser_SourceData.Fertiliser_Products_Data1(), FertiliserProducts[[#Headers],[Company]],1)</f>
        <v/>
      </c>
      <c r="AB91" s="177" t="str" cm="1">
        <f t="array" ref="AB91">Common_InputFunctions.Utility_DisplayArrayInTable(Fertiliser_SourceData.Fertiliser_Products_Data1(), FertiliserProducts[[#Headers],[Company]],1)</f>
        <v/>
      </c>
      <c r="AC91" s="177" t="str" cm="1">
        <f t="array" ref="AC91">Common_InputFunctions.Utility_DisplayArrayInTable(Fertiliser_SourceData.Fertiliser_Products_Data1(), FertiliserProducts[[#Headers],[Company]],1)</f>
        <v/>
      </c>
      <c r="AD91" s="177" t="str" cm="1">
        <f t="array" ref="AD91">Common_InputFunctions.Utility_DisplayArrayInTable(Fertiliser_SourceData.Fertiliser_Products_Data1(), FertiliserProducts[[#Headers],[Company]],1)</f>
        <v/>
      </c>
      <c r="AE91" s="177" t="str" cm="1">
        <f t="array" ref="AE91">Common_InputFunctions.Utility_DisplayArrayInTable(Fertiliser_SourceData.Fertiliser_Products_Data1(), FertiliserProducts[[#Headers],[Company]],1)</f>
        <v/>
      </c>
      <c r="AF91" s="177" t="str" cm="1">
        <f t="array" ref="AF91">Common_InputFunctions.Utility_DisplayArrayInTable(Fertiliser_SourceData.Fertiliser_Products_Data1(), FertiliserProducts[[#Headers],[Company]],1)</f>
        <v/>
      </c>
      <c r="AG91" s="177" t="str" cm="1">
        <f t="array" ref="AG91">Common_InputFunctions.Utility_DisplayArrayInTable(Fertiliser_SourceData.Fertiliser_Products_Data1(), FertiliserProducts[[#Headers],[Company]],1)</f>
        <v/>
      </c>
      <c r="AH91" s="177" t="str" cm="1">
        <f t="array" ref="AH91">Common_InputFunctions.Utility_DisplayArrayInTable(Fertiliser_SourceData.Fertiliser_Products_Data1(), FertiliserProducts[[#Headers],[Company]],1)</f>
        <v/>
      </c>
      <c r="AK91" s="1"/>
      <c r="AL91" s="1"/>
      <c r="AM91" s="1"/>
    </row>
    <row r="92" spans="4:39" ht="20" customHeight="1" x14ac:dyDescent="0.25">
      <c r="D92" s="177" t="str" cm="1">
        <f t="array" ref="D92">Common_InputFunctions.Utility_DisplayArrayInTable(Fertiliser_SourceData.Fertiliser_Products_Data1(), FertiliserProducts[[#Headers],[Company]],1)</f>
        <v>Campbells fertilisers Australia</v>
      </c>
      <c r="E92" s="177" t="str" cm="1">
        <f t="array" ref="E92">Common_InputFunctions.Utility_DisplayArrayInTable(Fertiliser_SourceData.Fertiliser_Products_Data1(), FertiliserProducts[[#Headers],[Company]],1)</f>
        <v>Aqua Nitro AN</v>
      </c>
      <c r="F92" s="177" t="str" cm="1">
        <f t="array" ref="F92">Common_InputFunctions.Utility_DisplayArrayInTable(Fertiliser_SourceData.Fertiliser_Products_Data1(), FertiliserProducts[[#Headers],[Company]],1)</f>
        <v>L</v>
      </c>
      <c r="G92" s="177" cm="1">
        <f t="array" ref="G92">Common_InputFunctions.Utility_DisplayArrayInTable(Fertiliser_SourceData.Fertiliser_Products_Data1(), FertiliserProducts[[#Headers],[Company]],1)</f>
        <v>1.24</v>
      </c>
      <c r="H92" s="177" t="str" cm="1">
        <f t="array" ref="H92">Common_InputFunctions.Utility_DisplayArrayInTable(Fertiliser_SourceData.Fertiliser_Products_Data1(), FertiliserProducts[[#Headers],[Company]],1)</f>
        <v/>
      </c>
      <c r="I92" s="177" t="str" cm="1">
        <f t="array" ref="I92">Common_InputFunctions.Utility_DisplayArrayInTable(Fertiliser_SourceData.Fertiliser_Products_Data1(), FertiliserProducts[[#Headers],[Company]],1)</f>
        <v/>
      </c>
      <c r="J92" s="177" t="str" cm="1">
        <f t="array" ref="J92">Common_InputFunctions.Utility_DisplayArrayInTable(Fertiliser_SourceData.Fertiliser_Products_Data1(), FertiliserProducts[[#Headers],[Company]],1)</f>
        <v/>
      </c>
      <c r="K92" s="177" cm="1">
        <f t="array" ref="K92">Common_InputFunctions.Utility_DisplayArrayInTable(Fertiliser_SourceData.Fertiliser_Products_Data1(), FertiliserProducts[[#Headers],[Company]],1)</f>
        <v>22.3</v>
      </c>
      <c r="L92" s="177" t="str" cm="1">
        <f t="array" ref="L92">Common_InputFunctions.Utility_DisplayArrayInTable(Fertiliser_SourceData.Fertiliser_Products_Data1(), FertiliserProducts[[#Headers],[Company]],1)</f>
        <v/>
      </c>
      <c r="M92" s="177" t="str" cm="1">
        <f t="array" ref="M92">Common_InputFunctions.Utility_DisplayArrayInTable(Fertiliser_SourceData.Fertiliser_Products_Data1(), FertiliserProducts[[#Headers],[Company]],1)</f>
        <v/>
      </c>
      <c r="N92" s="177" t="str" cm="1">
        <f t="array" ref="N92">Common_InputFunctions.Utility_DisplayArrayInTable(Fertiliser_SourceData.Fertiliser_Products_Data1(), FertiliserProducts[[#Headers],[Company]],1)</f>
        <v/>
      </c>
      <c r="O92" s="177" t="str" cm="1">
        <f t="array" ref="O92">Common_InputFunctions.Utility_DisplayArrayInTable(Fertiliser_SourceData.Fertiliser_Products_Data1(), FertiliserProducts[[#Headers],[Company]],1)</f>
        <v>Nitrogen - Ammoniacal</v>
      </c>
      <c r="P92" s="177" cm="1">
        <f t="array" ref="P92">Common_InputFunctions.Utility_DisplayArrayInTable(Fertiliser_SourceData.Fertiliser_Products_Data1(), FertiliserProducts[[#Headers],[Company]],1)</f>
        <v>0.223</v>
      </c>
      <c r="Q92" s="177" t="str" cm="1">
        <f t="array" ref="Q92">Common_InputFunctions.Utility_DisplayArrayInTable(Fertiliser_SourceData.Fertiliser_Products_Data1(), FertiliserProducts[[#Headers],[Company]],1)</f>
        <v/>
      </c>
      <c r="R92" s="177" t="str" cm="1">
        <f t="array" ref="R92">Common_InputFunctions.Utility_DisplayArrayInTable(Fertiliser_SourceData.Fertiliser_Products_Data1(), FertiliserProducts[[#Headers],[Company]],1)</f>
        <v/>
      </c>
      <c r="S92" s="177" t="str" cm="1">
        <f t="array" ref="S92">Common_InputFunctions.Utility_DisplayArrayInTable(Fertiliser_SourceData.Fertiliser_Products_Data1(), FertiliserProducts[[#Headers],[Company]],1)</f>
        <v/>
      </c>
      <c r="T92" s="177" t="str" cm="1">
        <f t="array" ref="T92">Common_InputFunctions.Utility_DisplayArrayInTable(Fertiliser_SourceData.Fertiliser_Products_Data1(), FertiliserProducts[[#Headers],[Company]],1)</f>
        <v/>
      </c>
      <c r="U92" s="177" t="str" cm="1">
        <f t="array" ref="U92">Common_InputFunctions.Utility_DisplayArrayInTable(Fertiliser_SourceData.Fertiliser_Products_Data1(), FertiliserProducts[[#Headers],[Company]],1)</f>
        <v/>
      </c>
      <c r="V92" s="177" t="str" cm="1">
        <f t="array" ref="V92">Common_InputFunctions.Utility_DisplayArrayInTable(Fertiliser_SourceData.Fertiliser_Products_Data1(), FertiliserProducts[[#Headers],[Company]],1)</f>
        <v/>
      </c>
      <c r="W92" s="177" t="str" cm="1">
        <f t="array" ref="W92">Common_InputFunctions.Utility_DisplayArrayInTable(Fertiliser_SourceData.Fertiliser_Products_Data1(), FertiliserProducts[[#Headers],[Company]],1)</f>
        <v/>
      </c>
      <c r="X92" s="177" t="str" cm="1">
        <f t="array" ref="X92">Common_InputFunctions.Utility_DisplayArrayInTable(Fertiliser_SourceData.Fertiliser_Products_Data1(), FertiliserProducts[[#Headers],[Company]],1)</f>
        <v/>
      </c>
      <c r="Y92" s="177" t="str" cm="1">
        <f t="array" ref="Y92">Common_InputFunctions.Utility_DisplayArrayInTable(Fertiliser_SourceData.Fertiliser_Products_Data1(), FertiliserProducts[[#Headers],[Company]],1)</f>
        <v/>
      </c>
      <c r="Z92" s="177" t="str" cm="1">
        <f t="array" ref="Z92">Common_InputFunctions.Utility_DisplayArrayInTable(Fertiliser_SourceData.Fertiliser_Products_Data1(), FertiliserProducts[[#Headers],[Company]],1)</f>
        <v/>
      </c>
      <c r="AA92" s="177" t="str" cm="1">
        <f t="array" ref="AA92">Common_InputFunctions.Utility_DisplayArrayInTable(Fertiliser_SourceData.Fertiliser_Products_Data1(), FertiliserProducts[[#Headers],[Company]],1)</f>
        <v/>
      </c>
      <c r="AB92" s="177" t="str" cm="1">
        <f t="array" ref="AB92">Common_InputFunctions.Utility_DisplayArrayInTable(Fertiliser_SourceData.Fertiliser_Products_Data1(), FertiliserProducts[[#Headers],[Company]],1)</f>
        <v/>
      </c>
      <c r="AC92" s="177" t="str" cm="1">
        <f t="array" ref="AC92">Common_InputFunctions.Utility_DisplayArrayInTable(Fertiliser_SourceData.Fertiliser_Products_Data1(), FertiliserProducts[[#Headers],[Company]],1)</f>
        <v/>
      </c>
      <c r="AD92" s="177" t="str" cm="1">
        <f t="array" ref="AD92">Common_InputFunctions.Utility_DisplayArrayInTable(Fertiliser_SourceData.Fertiliser_Products_Data1(), FertiliserProducts[[#Headers],[Company]],1)</f>
        <v/>
      </c>
      <c r="AE92" s="177" t="str" cm="1">
        <f t="array" ref="AE92">Common_InputFunctions.Utility_DisplayArrayInTable(Fertiliser_SourceData.Fertiliser_Products_Data1(), FertiliserProducts[[#Headers],[Company]],1)</f>
        <v/>
      </c>
      <c r="AF92" s="177" t="str" cm="1">
        <f t="array" ref="AF92">Common_InputFunctions.Utility_DisplayArrayInTable(Fertiliser_SourceData.Fertiliser_Products_Data1(), FertiliserProducts[[#Headers],[Company]],1)</f>
        <v/>
      </c>
      <c r="AG92" s="177" t="str" cm="1">
        <f t="array" ref="AG92">Common_InputFunctions.Utility_DisplayArrayInTable(Fertiliser_SourceData.Fertiliser_Products_Data1(), FertiliserProducts[[#Headers],[Company]],1)</f>
        <v/>
      </c>
      <c r="AH92" s="177" t="str" cm="1">
        <f t="array" ref="AH92">Common_InputFunctions.Utility_DisplayArrayInTable(Fertiliser_SourceData.Fertiliser_Products_Data1(), FertiliserProducts[[#Headers],[Company]],1)</f>
        <v/>
      </c>
      <c r="AK92" s="1"/>
      <c r="AL92" s="1"/>
      <c r="AM92" s="1"/>
    </row>
    <row r="93" spans="4:39" ht="20" customHeight="1" x14ac:dyDescent="0.25">
      <c r="D93" s="177" t="str" cm="1">
        <f t="array" ref="D93">Common_InputFunctions.Utility_DisplayArrayInTable(Fertiliser_SourceData.Fertiliser_Products_Data1(), FertiliserProducts[[#Headers],[Company]],1)</f>
        <v>Campbells fertilisers Australia</v>
      </c>
      <c r="E93" s="177" t="str" cm="1">
        <f t="array" ref="E93">Common_InputFunctions.Utility_DisplayArrayInTable(Fertiliser_SourceData.Fertiliser_Products_Data1(), FertiliserProducts[[#Headers],[Company]],1)</f>
        <v>Aqua NitroCal</v>
      </c>
      <c r="F93" s="177" t="str" cm="1">
        <f t="array" ref="F93">Common_InputFunctions.Utility_DisplayArrayInTable(Fertiliser_SourceData.Fertiliser_Products_Data1(), FertiliserProducts[[#Headers],[Company]],1)</f>
        <v>L</v>
      </c>
      <c r="G93" s="177" cm="1">
        <f t="array" ref="G93">Common_InputFunctions.Utility_DisplayArrayInTable(Fertiliser_SourceData.Fertiliser_Products_Data1(), FertiliserProducts[[#Headers],[Company]],1)</f>
        <v>1.5</v>
      </c>
      <c r="H93" s="177" t="str" cm="1">
        <f t="array" ref="H93">Common_InputFunctions.Utility_DisplayArrayInTable(Fertiliser_SourceData.Fertiliser_Products_Data1(), FertiliserProducts[[#Headers],[Company]],1)</f>
        <v/>
      </c>
      <c r="I93" s="177" t="str" cm="1">
        <f t="array" ref="I93">Common_InputFunctions.Utility_DisplayArrayInTable(Fertiliser_SourceData.Fertiliser_Products_Data1(), FertiliserProducts[[#Headers],[Company]],1)</f>
        <v/>
      </c>
      <c r="J93" s="177" t="str" cm="1">
        <f t="array" ref="J93">Common_InputFunctions.Utility_DisplayArrayInTable(Fertiliser_SourceData.Fertiliser_Products_Data1(), FertiliserProducts[[#Headers],[Company]],1)</f>
        <v/>
      </c>
      <c r="K93" s="177" cm="1">
        <f t="array" ref="K93">Common_InputFunctions.Utility_DisplayArrayInTable(Fertiliser_SourceData.Fertiliser_Products_Data1(), FertiliserProducts[[#Headers],[Company]],1)</f>
        <v>13.2</v>
      </c>
      <c r="L93" s="177" t="str" cm="1">
        <f t="array" ref="L93">Common_InputFunctions.Utility_DisplayArrayInTable(Fertiliser_SourceData.Fertiliser_Products_Data1(), FertiliserProducts[[#Headers],[Company]],1)</f>
        <v/>
      </c>
      <c r="M93" s="177" t="str" cm="1">
        <f t="array" ref="M93">Common_InputFunctions.Utility_DisplayArrayInTable(Fertiliser_SourceData.Fertiliser_Products_Data1(), FertiliserProducts[[#Headers],[Company]],1)</f>
        <v/>
      </c>
      <c r="N93" s="177" t="str" cm="1">
        <f t="array" ref="N93">Common_InputFunctions.Utility_DisplayArrayInTable(Fertiliser_SourceData.Fertiliser_Products_Data1(), FertiliserProducts[[#Headers],[Company]],1)</f>
        <v/>
      </c>
      <c r="O93" s="177" t="str" cm="1">
        <f t="array" ref="O93">Common_InputFunctions.Utility_DisplayArrayInTable(Fertiliser_SourceData.Fertiliser_Products_Data1(), FertiliserProducts[[#Headers],[Company]],1)</f>
        <v>Calcium</v>
      </c>
      <c r="P93" s="177" cm="1">
        <f t="array" ref="P93">Common_InputFunctions.Utility_DisplayArrayInTable(Fertiliser_SourceData.Fertiliser_Products_Data1(), FertiliserProducts[[#Headers],[Company]],1)</f>
        <v>0.16200000000000001</v>
      </c>
      <c r="Q93" s="177" t="str" cm="1">
        <f t="array" ref="Q93">Common_InputFunctions.Utility_DisplayArrayInTable(Fertiliser_SourceData.Fertiliser_Products_Data1(), FertiliserProducts[[#Headers],[Company]],1)</f>
        <v>Nitrogen - Nitrate</v>
      </c>
      <c r="R93" s="177" cm="1">
        <f t="array" ref="R93">Common_InputFunctions.Utility_DisplayArrayInTable(Fertiliser_SourceData.Fertiliser_Products_Data1(), FertiliserProducts[[#Headers],[Company]],1)</f>
        <v>0.13200000000000001</v>
      </c>
      <c r="S93" s="177" t="str" cm="1">
        <f t="array" ref="S93">Common_InputFunctions.Utility_DisplayArrayInTable(Fertiliser_SourceData.Fertiliser_Products_Data1(), FertiliserProducts[[#Headers],[Company]],1)</f>
        <v/>
      </c>
      <c r="T93" s="177" t="str" cm="1">
        <f t="array" ref="T93">Common_InputFunctions.Utility_DisplayArrayInTable(Fertiliser_SourceData.Fertiliser_Products_Data1(), FertiliserProducts[[#Headers],[Company]],1)</f>
        <v/>
      </c>
      <c r="U93" s="177" t="str" cm="1">
        <f t="array" ref="U93">Common_InputFunctions.Utility_DisplayArrayInTable(Fertiliser_SourceData.Fertiliser_Products_Data1(), FertiliserProducts[[#Headers],[Company]],1)</f>
        <v/>
      </c>
      <c r="V93" s="177" t="str" cm="1">
        <f t="array" ref="V93">Common_InputFunctions.Utility_DisplayArrayInTable(Fertiliser_SourceData.Fertiliser_Products_Data1(), FertiliserProducts[[#Headers],[Company]],1)</f>
        <v/>
      </c>
      <c r="W93" s="177" t="str" cm="1">
        <f t="array" ref="W93">Common_InputFunctions.Utility_DisplayArrayInTable(Fertiliser_SourceData.Fertiliser_Products_Data1(), FertiliserProducts[[#Headers],[Company]],1)</f>
        <v/>
      </c>
      <c r="X93" s="177" t="str" cm="1">
        <f t="array" ref="X93">Common_InputFunctions.Utility_DisplayArrayInTable(Fertiliser_SourceData.Fertiliser_Products_Data1(), FertiliserProducts[[#Headers],[Company]],1)</f>
        <v/>
      </c>
      <c r="Y93" s="177" t="str" cm="1">
        <f t="array" ref="Y93">Common_InputFunctions.Utility_DisplayArrayInTable(Fertiliser_SourceData.Fertiliser_Products_Data1(), FertiliserProducts[[#Headers],[Company]],1)</f>
        <v/>
      </c>
      <c r="Z93" s="177" t="str" cm="1">
        <f t="array" ref="Z93">Common_InputFunctions.Utility_DisplayArrayInTable(Fertiliser_SourceData.Fertiliser_Products_Data1(), FertiliserProducts[[#Headers],[Company]],1)</f>
        <v/>
      </c>
      <c r="AA93" s="177" t="str" cm="1">
        <f t="array" ref="AA93">Common_InputFunctions.Utility_DisplayArrayInTable(Fertiliser_SourceData.Fertiliser_Products_Data1(), FertiliserProducts[[#Headers],[Company]],1)</f>
        <v/>
      </c>
      <c r="AB93" s="177" t="str" cm="1">
        <f t="array" ref="AB93">Common_InputFunctions.Utility_DisplayArrayInTable(Fertiliser_SourceData.Fertiliser_Products_Data1(), FertiliserProducts[[#Headers],[Company]],1)</f>
        <v/>
      </c>
      <c r="AC93" s="177" t="str" cm="1">
        <f t="array" ref="AC93">Common_InputFunctions.Utility_DisplayArrayInTable(Fertiliser_SourceData.Fertiliser_Products_Data1(), FertiliserProducts[[#Headers],[Company]],1)</f>
        <v/>
      </c>
      <c r="AD93" s="177" t="str" cm="1">
        <f t="array" ref="AD93">Common_InputFunctions.Utility_DisplayArrayInTable(Fertiliser_SourceData.Fertiliser_Products_Data1(), FertiliserProducts[[#Headers],[Company]],1)</f>
        <v/>
      </c>
      <c r="AE93" s="177" t="str" cm="1">
        <f t="array" ref="AE93">Common_InputFunctions.Utility_DisplayArrayInTable(Fertiliser_SourceData.Fertiliser_Products_Data1(), FertiliserProducts[[#Headers],[Company]],1)</f>
        <v/>
      </c>
      <c r="AF93" s="177" t="str" cm="1">
        <f t="array" ref="AF93">Common_InputFunctions.Utility_DisplayArrayInTable(Fertiliser_SourceData.Fertiliser_Products_Data1(), FertiliserProducts[[#Headers],[Company]],1)</f>
        <v/>
      </c>
      <c r="AG93" s="177" t="str" cm="1">
        <f t="array" ref="AG93">Common_InputFunctions.Utility_DisplayArrayInTable(Fertiliser_SourceData.Fertiliser_Products_Data1(), FertiliserProducts[[#Headers],[Company]],1)</f>
        <v/>
      </c>
      <c r="AH93" s="177" t="str" cm="1">
        <f t="array" ref="AH93">Common_InputFunctions.Utility_DisplayArrayInTable(Fertiliser_SourceData.Fertiliser_Products_Data1(), FertiliserProducts[[#Headers],[Company]],1)</f>
        <v/>
      </c>
      <c r="AK93" s="1"/>
      <c r="AL93" s="1"/>
      <c r="AM93" s="1"/>
    </row>
    <row r="94" spans="4:39" ht="20" customHeight="1" x14ac:dyDescent="0.25">
      <c r="D94" s="177" t="str" cm="1">
        <f t="array" ref="D94">Common_InputFunctions.Utility_DisplayArrayInTable(Fertiliser_SourceData.Fertiliser_Products_Data1(), FertiliserProducts[[#Headers],[Company]],1)</f>
        <v>Campbells fertilisers Australia</v>
      </c>
      <c r="E94" s="177" t="str" cm="1">
        <f t="array" ref="E94">Common_InputFunctions.Utility_DisplayArrayInTable(Fertiliser_SourceData.Fertiliser_Products_Data1(), FertiliserProducts[[#Headers],[Company]],1)</f>
        <v>Aqua NitroCal (VI)</v>
      </c>
      <c r="F94" s="177" t="str" cm="1">
        <f t="array" ref="F94">Common_InputFunctions.Utility_DisplayArrayInTable(Fertiliser_SourceData.Fertiliser_Products_Data1(), FertiliserProducts[[#Headers],[Company]],1)</f>
        <v>L</v>
      </c>
      <c r="G94" s="177" cm="1">
        <f t="array" ref="G94">Common_InputFunctions.Utility_DisplayArrayInTable(Fertiliser_SourceData.Fertiliser_Products_Data1(), FertiliserProducts[[#Headers],[Company]],1)</f>
        <v>1.5</v>
      </c>
      <c r="H94" s="177" t="str" cm="1">
        <f t="array" ref="H94">Common_InputFunctions.Utility_DisplayArrayInTable(Fertiliser_SourceData.Fertiliser_Products_Data1(), FertiliserProducts[[#Headers],[Company]],1)</f>
        <v/>
      </c>
      <c r="I94" s="177" t="str" cm="1">
        <f t="array" ref="I94">Common_InputFunctions.Utility_DisplayArrayInTable(Fertiliser_SourceData.Fertiliser_Products_Data1(), FertiliserProducts[[#Headers],[Company]],1)</f>
        <v/>
      </c>
      <c r="J94" s="177" t="str" cm="1">
        <f t="array" ref="J94">Common_InputFunctions.Utility_DisplayArrayInTable(Fertiliser_SourceData.Fertiliser_Products_Data1(), FertiliserProducts[[#Headers],[Company]],1)</f>
        <v/>
      </c>
      <c r="K94" s="177" cm="1">
        <f t="array" ref="K94">Common_InputFunctions.Utility_DisplayArrayInTable(Fertiliser_SourceData.Fertiliser_Products_Data1(), FertiliserProducts[[#Headers],[Company]],1)</f>
        <v>13.2</v>
      </c>
      <c r="L94" s="177" t="str" cm="1">
        <f t="array" ref="L94">Common_InputFunctions.Utility_DisplayArrayInTable(Fertiliser_SourceData.Fertiliser_Products_Data1(), FertiliserProducts[[#Headers],[Company]],1)</f>
        <v/>
      </c>
      <c r="M94" s="177" t="str" cm="1">
        <f t="array" ref="M94">Common_InputFunctions.Utility_DisplayArrayInTable(Fertiliser_SourceData.Fertiliser_Products_Data1(), FertiliserProducts[[#Headers],[Company]],1)</f>
        <v/>
      </c>
      <c r="N94" s="177" t="str" cm="1">
        <f t="array" ref="N94">Common_InputFunctions.Utility_DisplayArrayInTable(Fertiliser_SourceData.Fertiliser_Products_Data1(), FertiliserProducts[[#Headers],[Company]],1)</f>
        <v/>
      </c>
      <c r="O94" s="177" t="str" cm="1">
        <f t="array" ref="O94">Common_InputFunctions.Utility_DisplayArrayInTable(Fertiliser_SourceData.Fertiliser_Products_Data1(), FertiliserProducts[[#Headers],[Company]],1)</f>
        <v>Calcium</v>
      </c>
      <c r="P94" s="177" cm="1">
        <f t="array" ref="P94">Common_InputFunctions.Utility_DisplayArrayInTable(Fertiliser_SourceData.Fertiliser_Products_Data1(), FertiliserProducts[[#Headers],[Company]],1)</f>
        <v>0.187</v>
      </c>
      <c r="Q94" s="177" t="str" cm="1">
        <f t="array" ref="Q94">Common_InputFunctions.Utility_DisplayArrayInTable(Fertiliser_SourceData.Fertiliser_Products_Data1(), FertiliserProducts[[#Headers],[Company]],1)</f>
        <v>Nitrogen - Nitrate</v>
      </c>
      <c r="R94" s="177" cm="1">
        <f t="array" ref="R94">Common_InputFunctions.Utility_DisplayArrayInTable(Fertiliser_SourceData.Fertiliser_Products_Data1(), FertiliserProducts[[#Headers],[Company]],1)</f>
        <v>0.13200000000000001</v>
      </c>
      <c r="S94" s="177" t="str" cm="1">
        <f t="array" ref="S94">Common_InputFunctions.Utility_DisplayArrayInTable(Fertiliser_SourceData.Fertiliser_Products_Data1(), FertiliserProducts[[#Headers],[Company]],1)</f>
        <v/>
      </c>
      <c r="T94" s="177" t="str" cm="1">
        <f t="array" ref="T94">Common_InputFunctions.Utility_DisplayArrayInTable(Fertiliser_SourceData.Fertiliser_Products_Data1(), FertiliserProducts[[#Headers],[Company]],1)</f>
        <v/>
      </c>
      <c r="U94" s="177" t="str" cm="1">
        <f t="array" ref="U94">Common_InputFunctions.Utility_DisplayArrayInTable(Fertiliser_SourceData.Fertiliser_Products_Data1(), FertiliserProducts[[#Headers],[Company]],1)</f>
        <v/>
      </c>
      <c r="V94" s="177" t="str" cm="1">
        <f t="array" ref="V94">Common_InputFunctions.Utility_DisplayArrayInTable(Fertiliser_SourceData.Fertiliser_Products_Data1(), FertiliserProducts[[#Headers],[Company]],1)</f>
        <v/>
      </c>
      <c r="W94" s="177" t="str" cm="1">
        <f t="array" ref="W94">Common_InputFunctions.Utility_DisplayArrayInTable(Fertiliser_SourceData.Fertiliser_Products_Data1(), FertiliserProducts[[#Headers],[Company]],1)</f>
        <v/>
      </c>
      <c r="X94" s="177" t="str" cm="1">
        <f t="array" ref="X94">Common_InputFunctions.Utility_DisplayArrayInTable(Fertiliser_SourceData.Fertiliser_Products_Data1(), FertiliserProducts[[#Headers],[Company]],1)</f>
        <v/>
      </c>
      <c r="Y94" s="177" t="str" cm="1">
        <f t="array" ref="Y94">Common_InputFunctions.Utility_DisplayArrayInTable(Fertiliser_SourceData.Fertiliser_Products_Data1(), FertiliserProducts[[#Headers],[Company]],1)</f>
        <v/>
      </c>
      <c r="Z94" s="177" t="str" cm="1">
        <f t="array" ref="Z94">Common_InputFunctions.Utility_DisplayArrayInTable(Fertiliser_SourceData.Fertiliser_Products_Data1(), FertiliserProducts[[#Headers],[Company]],1)</f>
        <v/>
      </c>
      <c r="AA94" s="177" t="str" cm="1">
        <f t="array" ref="AA94">Common_InputFunctions.Utility_DisplayArrayInTable(Fertiliser_SourceData.Fertiliser_Products_Data1(), FertiliserProducts[[#Headers],[Company]],1)</f>
        <v/>
      </c>
      <c r="AB94" s="177" t="str" cm="1">
        <f t="array" ref="AB94">Common_InputFunctions.Utility_DisplayArrayInTable(Fertiliser_SourceData.Fertiliser_Products_Data1(), FertiliserProducts[[#Headers],[Company]],1)</f>
        <v/>
      </c>
      <c r="AC94" s="177" t="str" cm="1">
        <f t="array" ref="AC94">Common_InputFunctions.Utility_DisplayArrayInTable(Fertiliser_SourceData.Fertiliser_Products_Data1(), FertiliserProducts[[#Headers],[Company]],1)</f>
        <v/>
      </c>
      <c r="AD94" s="177" t="str" cm="1">
        <f t="array" ref="AD94">Common_InputFunctions.Utility_DisplayArrayInTable(Fertiliser_SourceData.Fertiliser_Products_Data1(), FertiliserProducts[[#Headers],[Company]],1)</f>
        <v/>
      </c>
      <c r="AE94" s="177" t="str" cm="1">
        <f t="array" ref="AE94">Common_InputFunctions.Utility_DisplayArrayInTable(Fertiliser_SourceData.Fertiliser_Products_Data1(), FertiliserProducts[[#Headers],[Company]],1)</f>
        <v/>
      </c>
      <c r="AF94" s="177" t="str" cm="1">
        <f t="array" ref="AF94">Common_InputFunctions.Utility_DisplayArrayInTable(Fertiliser_SourceData.Fertiliser_Products_Data1(), FertiliserProducts[[#Headers],[Company]],1)</f>
        <v/>
      </c>
      <c r="AG94" s="177" t="str" cm="1">
        <f t="array" ref="AG94">Common_InputFunctions.Utility_DisplayArrayInTable(Fertiliser_SourceData.Fertiliser_Products_Data1(), FertiliserProducts[[#Headers],[Company]],1)</f>
        <v/>
      </c>
      <c r="AH94" s="177" t="str" cm="1">
        <f t="array" ref="AH94">Common_InputFunctions.Utility_DisplayArrayInTable(Fertiliser_SourceData.Fertiliser_Products_Data1(), FertiliserProducts[[#Headers],[Company]],1)</f>
        <v/>
      </c>
      <c r="AK94" s="1"/>
      <c r="AL94" s="1"/>
      <c r="AM94" s="1"/>
    </row>
    <row r="95" spans="4:39" ht="20" customHeight="1" x14ac:dyDescent="0.25">
      <c r="D95" s="177" t="str" cm="1">
        <f t="array" ref="D95">Common_InputFunctions.Utility_DisplayArrayInTable(Fertiliser_SourceData.Fertiliser_Products_Data1(), FertiliserProducts[[#Headers],[Company]],1)</f>
        <v>Campbells fertilisers Australia</v>
      </c>
      <c r="E95" s="177" t="str" cm="1">
        <f t="array" ref="E95">Common_InputFunctions.Utility_DisplayArrayInTable(Fertiliser_SourceData.Fertiliser_Products_Data1(), FertiliserProducts[[#Headers],[Company]],1)</f>
        <v>Aqua NitroCal Ultimate</v>
      </c>
      <c r="F95" s="177" t="str" cm="1">
        <f t="array" ref="F95">Common_InputFunctions.Utility_DisplayArrayInTable(Fertiliser_SourceData.Fertiliser_Products_Data1(), FertiliserProducts[[#Headers],[Company]],1)</f>
        <v>L</v>
      </c>
      <c r="G95" s="177" cm="1">
        <f t="array" ref="G95">Common_InputFunctions.Utility_DisplayArrayInTable(Fertiliser_SourceData.Fertiliser_Products_Data1(), FertiliserProducts[[#Headers],[Company]],1)</f>
        <v>1.5</v>
      </c>
      <c r="H95" s="177" t="str" cm="1">
        <f t="array" ref="H95">Common_InputFunctions.Utility_DisplayArrayInTable(Fertiliser_SourceData.Fertiliser_Products_Data1(), FertiliserProducts[[#Headers],[Company]],1)</f>
        <v/>
      </c>
      <c r="I95" s="177" t="str" cm="1">
        <f t="array" ref="I95">Common_InputFunctions.Utility_DisplayArrayInTable(Fertiliser_SourceData.Fertiliser_Products_Data1(), FertiliserProducts[[#Headers],[Company]],1)</f>
        <v/>
      </c>
      <c r="J95" s="177" t="str" cm="1">
        <f t="array" ref="J95">Common_InputFunctions.Utility_DisplayArrayInTable(Fertiliser_SourceData.Fertiliser_Products_Data1(), FertiliserProducts[[#Headers],[Company]],1)</f>
        <v/>
      </c>
      <c r="K95" s="177" cm="1">
        <f t="array" ref="K95">Common_InputFunctions.Utility_DisplayArrayInTable(Fertiliser_SourceData.Fertiliser_Products_Data1(), FertiliserProducts[[#Headers],[Company]],1)</f>
        <v>13.2</v>
      </c>
      <c r="L95" s="177" t="str" cm="1">
        <f t="array" ref="L95">Common_InputFunctions.Utility_DisplayArrayInTable(Fertiliser_SourceData.Fertiliser_Products_Data1(), FertiliserProducts[[#Headers],[Company]],1)</f>
        <v/>
      </c>
      <c r="M95" s="177" t="str" cm="1">
        <f t="array" ref="M95">Common_InputFunctions.Utility_DisplayArrayInTable(Fertiliser_SourceData.Fertiliser_Products_Data1(), FertiliserProducts[[#Headers],[Company]],1)</f>
        <v/>
      </c>
      <c r="N95" s="177" t="str" cm="1">
        <f t="array" ref="N95">Common_InputFunctions.Utility_DisplayArrayInTable(Fertiliser_SourceData.Fertiliser_Products_Data1(), FertiliserProducts[[#Headers],[Company]],1)</f>
        <v/>
      </c>
      <c r="O95" s="177" t="str" cm="1">
        <f t="array" ref="O95">Common_InputFunctions.Utility_DisplayArrayInTable(Fertiliser_SourceData.Fertiliser_Products_Data1(), FertiliserProducts[[#Headers],[Company]],1)</f>
        <v>Calcium</v>
      </c>
      <c r="P95" s="177" cm="1">
        <f t="array" ref="P95">Common_InputFunctions.Utility_DisplayArrayInTable(Fertiliser_SourceData.Fertiliser_Products_Data1(), FertiliserProducts[[#Headers],[Company]],1)</f>
        <v>0.183</v>
      </c>
      <c r="Q95" s="177" t="str" cm="1">
        <f t="array" ref="Q95">Common_InputFunctions.Utility_DisplayArrayInTable(Fertiliser_SourceData.Fertiliser_Products_Data1(), FertiliserProducts[[#Headers],[Company]],1)</f>
        <v>Nitrogen - Nitrate</v>
      </c>
      <c r="R95" s="177" cm="1">
        <f t="array" ref="R95">Common_InputFunctions.Utility_DisplayArrayInTable(Fertiliser_SourceData.Fertiliser_Products_Data1(), FertiliserProducts[[#Headers],[Company]],1)</f>
        <v>0.13200000000000001</v>
      </c>
      <c r="S95" s="177" t="str" cm="1">
        <f t="array" ref="S95">Common_InputFunctions.Utility_DisplayArrayInTable(Fertiliser_SourceData.Fertiliser_Products_Data1(), FertiliserProducts[[#Headers],[Company]],1)</f>
        <v/>
      </c>
      <c r="T95" s="177" t="str" cm="1">
        <f t="array" ref="T95">Common_InputFunctions.Utility_DisplayArrayInTable(Fertiliser_SourceData.Fertiliser_Products_Data1(), FertiliserProducts[[#Headers],[Company]],1)</f>
        <v/>
      </c>
      <c r="U95" s="177" t="str" cm="1">
        <f t="array" ref="U95">Common_InputFunctions.Utility_DisplayArrayInTable(Fertiliser_SourceData.Fertiliser_Products_Data1(), FertiliserProducts[[#Headers],[Company]],1)</f>
        <v/>
      </c>
      <c r="V95" s="177" t="str" cm="1">
        <f t="array" ref="V95">Common_InputFunctions.Utility_DisplayArrayInTable(Fertiliser_SourceData.Fertiliser_Products_Data1(), FertiliserProducts[[#Headers],[Company]],1)</f>
        <v/>
      </c>
      <c r="W95" s="177" t="str" cm="1">
        <f t="array" ref="W95">Common_InputFunctions.Utility_DisplayArrayInTable(Fertiliser_SourceData.Fertiliser_Products_Data1(), FertiliserProducts[[#Headers],[Company]],1)</f>
        <v/>
      </c>
      <c r="X95" s="177" t="str" cm="1">
        <f t="array" ref="X95">Common_InputFunctions.Utility_DisplayArrayInTable(Fertiliser_SourceData.Fertiliser_Products_Data1(), FertiliserProducts[[#Headers],[Company]],1)</f>
        <v/>
      </c>
      <c r="Y95" s="177" t="str" cm="1">
        <f t="array" ref="Y95">Common_InputFunctions.Utility_DisplayArrayInTable(Fertiliser_SourceData.Fertiliser_Products_Data1(), FertiliserProducts[[#Headers],[Company]],1)</f>
        <v/>
      </c>
      <c r="Z95" s="177" t="str" cm="1">
        <f t="array" ref="Z95">Common_InputFunctions.Utility_DisplayArrayInTable(Fertiliser_SourceData.Fertiliser_Products_Data1(), FertiliserProducts[[#Headers],[Company]],1)</f>
        <v/>
      </c>
      <c r="AA95" s="177" t="str" cm="1">
        <f t="array" ref="AA95">Common_InputFunctions.Utility_DisplayArrayInTable(Fertiliser_SourceData.Fertiliser_Products_Data1(), FertiliserProducts[[#Headers],[Company]],1)</f>
        <v/>
      </c>
      <c r="AB95" s="177" t="str" cm="1">
        <f t="array" ref="AB95">Common_InputFunctions.Utility_DisplayArrayInTable(Fertiliser_SourceData.Fertiliser_Products_Data1(), FertiliserProducts[[#Headers],[Company]],1)</f>
        <v/>
      </c>
      <c r="AC95" s="177" t="str" cm="1">
        <f t="array" ref="AC95">Common_InputFunctions.Utility_DisplayArrayInTable(Fertiliser_SourceData.Fertiliser_Products_Data1(), FertiliserProducts[[#Headers],[Company]],1)</f>
        <v/>
      </c>
      <c r="AD95" s="177" t="str" cm="1">
        <f t="array" ref="AD95">Common_InputFunctions.Utility_DisplayArrayInTable(Fertiliser_SourceData.Fertiliser_Products_Data1(), FertiliserProducts[[#Headers],[Company]],1)</f>
        <v/>
      </c>
      <c r="AE95" s="177" t="str" cm="1">
        <f t="array" ref="AE95">Common_InputFunctions.Utility_DisplayArrayInTable(Fertiliser_SourceData.Fertiliser_Products_Data1(), FertiliserProducts[[#Headers],[Company]],1)</f>
        <v/>
      </c>
      <c r="AF95" s="177" t="str" cm="1">
        <f t="array" ref="AF95">Common_InputFunctions.Utility_DisplayArrayInTable(Fertiliser_SourceData.Fertiliser_Products_Data1(), FertiliserProducts[[#Headers],[Company]],1)</f>
        <v/>
      </c>
      <c r="AG95" s="177" t="str" cm="1">
        <f t="array" ref="AG95">Common_InputFunctions.Utility_DisplayArrayInTable(Fertiliser_SourceData.Fertiliser_Products_Data1(), FertiliserProducts[[#Headers],[Company]],1)</f>
        <v/>
      </c>
      <c r="AH95" s="177" t="str" cm="1">
        <f t="array" ref="AH95">Common_InputFunctions.Utility_DisplayArrayInTable(Fertiliser_SourceData.Fertiliser_Products_Data1(), FertiliserProducts[[#Headers],[Company]],1)</f>
        <v/>
      </c>
      <c r="AK95" s="1"/>
      <c r="AL95" s="1"/>
      <c r="AM95" s="1"/>
    </row>
    <row r="96" spans="4:39" ht="20" customHeight="1" x14ac:dyDescent="0.25">
      <c r="D96" s="177" t="str" cm="1">
        <f t="array" ref="D96">Common_InputFunctions.Utility_DisplayArrayInTable(Fertiliser_SourceData.Fertiliser_Products_Data1(), FertiliserProducts[[#Headers],[Company]],1)</f>
        <v>Campbells fertilisers Australia</v>
      </c>
      <c r="E96" s="177" t="str" cm="1">
        <f t="array" ref="E96">Common_InputFunctions.Utility_DisplayArrayInTable(Fertiliser_SourceData.Fertiliser_Products_Data1(), FertiliserProducts[[#Headers],[Company]],1)</f>
        <v>Aqua Start</v>
      </c>
      <c r="F96" s="177" t="str" cm="1">
        <f t="array" ref="F96">Common_InputFunctions.Utility_DisplayArrayInTable(Fertiliser_SourceData.Fertiliser_Products_Data1(), FertiliserProducts[[#Headers],[Company]],1)</f>
        <v>L</v>
      </c>
      <c r="G96" s="177" cm="1">
        <f t="array" ref="G96">Common_InputFunctions.Utility_DisplayArrayInTable(Fertiliser_SourceData.Fertiliser_Products_Data1(), FertiliserProducts[[#Headers],[Company]],1)</f>
        <v>1.25</v>
      </c>
      <c r="H96" s="177" t="str" cm="1">
        <f t="array" ref="H96">Common_InputFunctions.Utility_DisplayArrayInTable(Fertiliser_SourceData.Fertiliser_Products_Data1(), FertiliserProducts[[#Headers],[Company]],1)</f>
        <v/>
      </c>
      <c r="I96" s="177" t="str" cm="1">
        <f t="array" ref="I96">Common_InputFunctions.Utility_DisplayArrayInTable(Fertiliser_SourceData.Fertiliser_Products_Data1(), FertiliserProducts[[#Headers],[Company]],1)</f>
        <v/>
      </c>
      <c r="J96" s="177" t="str" cm="1">
        <f t="array" ref="J96">Common_InputFunctions.Utility_DisplayArrayInTable(Fertiliser_SourceData.Fertiliser_Products_Data1(), FertiliserProducts[[#Headers],[Company]],1)</f>
        <v/>
      </c>
      <c r="K96" s="177" cm="1">
        <f t="array" ref="K96">Common_InputFunctions.Utility_DisplayArrayInTable(Fertiliser_SourceData.Fertiliser_Products_Data1(), FertiliserProducts[[#Headers],[Company]],1)</f>
        <v>10.3</v>
      </c>
      <c r="L96" s="177" cm="1">
        <f t="array" ref="L96">Common_InputFunctions.Utility_DisplayArrayInTable(Fertiliser_SourceData.Fertiliser_Products_Data1(), FertiliserProducts[[#Headers],[Company]],1)</f>
        <v>10</v>
      </c>
      <c r="M96" s="177" cm="1">
        <f t="array" ref="M96">Common_InputFunctions.Utility_DisplayArrayInTable(Fertiliser_SourceData.Fertiliser_Products_Data1(), FertiliserProducts[[#Headers],[Company]],1)</f>
        <v>3.4</v>
      </c>
      <c r="N96" s="177" t="str" cm="1">
        <f t="array" ref="N96">Common_InputFunctions.Utility_DisplayArrayInTable(Fertiliser_SourceData.Fertiliser_Products_Data1(), FertiliserProducts[[#Headers],[Company]],1)</f>
        <v/>
      </c>
      <c r="O96" s="177" t="str" cm="1">
        <f t="array" ref="O96">Common_InputFunctions.Utility_DisplayArrayInTable(Fertiliser_SourceData.Fertiliser_Products_Data1(), FertiliserProducts[[#Headers],[Company]],1)</f>
        <v>Nitrogen - Generic</v>
      </c>
      <c r="P96" s="177" cm="1">
        <f t="array" ref="P96">Common_InputFunctions.Utility_DisplayArrayInTable(Fertiliser_SourceData.Fertiliser_Products_Data1(), FertiliserProducts[[#Headers],[Company]],1)</f>
        <v>0.10299999999999999</v>
      </c>
      <c r="Q96" s="177" t="str" cm="1">
        <f t="array" ref="Q96">Common_InputFunctions.Utility_DisplayArrayInTable(Fertiliser_SourceData.Fertiliser_Products_Data1(), FertiliserProducts[[#Headers],[Company]],1)</f>
        <v>Phosphorus - Generic</v>
      </c>
      <c r="R96" s="177" cm="1">
        <f t="array" ref="R96">Common_InputFunctions.Utility_DisplayArrayInTable(Fertiliser_SourceData.Fertiliser_Products_Data1(), FertiliserProducts[[#Headers],[Company]],1)</f>
        <v>0.1</v>
      </c>
      <c r="S96" s="177" t="str" cm="1">
        <f t="array" ref="S96">Common_InputFunctions.Utility_DisplayArrayInTable(Fertiliser_SourceData.Fertiliser_Products_Data1(), FertiliserProducts[[#Headers],[Company]],1)</f>
        <v>Potassium - Generic</v>
      </c>
      <c r="T96" s="177" cm="1">
        <f t="array" ref="T96">Common_InputFunctions.Utility_DisplayArrayInTable(Fertiliser_SourceData.Fertiliser_Products_Data1(), FertiliserProducts[[#Headers],[Company]],1)</f>
        <v>3.4000000000000002E-2</v>
      </c>
      <c r="U96" s="177" t="str" cm="1">
        <f t="array" ref="U96">Common_InputFunctions.Utility_DisplayArrayInTable(Fertiliser_SourceData.Fertiliser_Products_Data1(), FertiliserProducts[[#Headers],[Company]],1)</f>
        <v/>
      </c>
      <c r="V96" s="177" t="str" cm="1">
        <f t="array" ref="V96">Common_InputFunctions.Utility_DisplayArrayInTable(Fertiliser_SourceData.Fertiliser_Products_Data1(), FertiliserProducts[[#Headers],[Company]],1)</f>
        <v/>
      </c>
      <c r="W96" s="177" t="str" cm="1">
        <f t="array" ref="W96">Common_InputFunctions.Utility_DisplayArrayInTable(Fertiliser_SourceData.Fertiliser_Products_Data1(), FertiliserProducts[[#Headers],[Company]],1)</f>
        <v/>
      </c>
      <c r="X96" s="177" t="str" cm="1">
        <f t="array" ref="X96">Common_InputFunctions.Utility_DisplayArrayInTable(Fertiliser_SourceData.Fertiliser_Products_Data1(), FertiliserProducts[[#Headers],[Company]],1)</f>
        <v/>
      </c>
      <c r="Y96" s="177" t="str" cm="1">
        <f t="array" ref="Y96">Common_InputFunctions.Utility_DisplayArrayInTable(Fertiliser_SourceData.Fertiliser_Products_Data1(), FertiliserProducts[[#Headers],[Company]],1)</f>
        <v/>
      </c>
      <c r="Z96" s="177" t="str" cm="1">
        <f t="array" ref="Z96">Common_InputFunctions.Utility_DisplayArrayInTable(Fertiliser_SourceData.Fertiliser_Products_Data1(), FertiliserProducts[[#Headers],[Company]],1)</f>
        <v/>
      </c>
      <c r="AA96" s="177" t="str" cm="1">
        <f t="array" ref="AA96">Common_InputFunctions.Utility_DisplayArrayInTable(Fertiliser_SourceData.Fertiliser_Products_Data1(), FertiliserProducts[[#Headers],[Company]],1)</f>
        <v/>
      </c>
      <c r="AB96" s="177" t="str" cm="1">
        <f t="array" ref="AB96">Common_InputFunctions.Utility_DisplayArrayInTable(Fertiliser_SourceData.Fertiliser_Products_Data1(), FertiliserProducts[[#Headers],[Company]],1)</f>
        <v/>
      </c>
      <c r="AC96" s="177" t="str" cm="1">
        <f t="array" ref="AC96">Common_InputFunctions.Utility_DisplayArrayInTable(Fertiliser_SourceData.Fertiliser_Products_Data1(), FertiliserProducts[[#Headers],[Company]],1)</f>
        <v/>
      </c>
      <c r="AD96" s="177" t="str" cm="1">
        <f t="array" ref="AD96">Common_InputFunctions.Utility_DisplayArrayInTable(Fertiliser_SourceData.Fertiliser_Products_Data1(), FertiliserProducts[[#Headers],[Company]],1)</f>
        <v/>
      </c>
      <c r="AE96" s="177" t="str" cm="1">
        <f t="array" ref="AE96">Common_InputFunctions.Utility_DisplayArrayInTable(Fertiliser_SourceData.Fertiliser_Products_Data1(), FertiliserProducts[[#Headers],[Company]],1)</f>
        <v/>
      </c>
      <c r="AF96" s="177" t="str" cm="1">
        <f t="array" ref="AF96">Common_InputFunctions.Utility_DisplayArrayInTable(Fertiliser_SourceData.Fertiliser_Products_Data1(), FertiliserProducts[[#Headers],[Company]],1)</f>
        <v/>
      </c>
      <c r="AG96" s="177" t="str" cm="1">
        <f t="array" ref="AG96">Common_InputFunctions.Utility_DisplayArrayInTable(Fertiliser_SourceData.Fertiliser_Products_Data1(), FertiliserProducts[[#Headers],[Company]],1)</f>
        <v/>
      </c>
      <c r="AH96" s="177" t="str" cm="1">
        <f t="array" ref="AH96">Common_InputFunctions.Utility_DisplayArrayInTable(Fertiliser_SourceData.Fertiliser_Products_Data1(), FertiliserProducts[[#Headers],[Company]],1)</f>
        <v/>
      </c>
      <c r="AK96" s="1"/>
      <c r="AL96" s="1"/>
      <c r="AM96" s="1"/>
    </row>
    <row r="97" spans="4:39" ht="20" customHeight="1" x14ac:dyDescent="0.25">
      <c r="D97" s="177" t="str" cm="1">
        <f t="array" ref="D97">Common_InputFunctions.Utility_DisplayArrayInTable(Fertiliser_SourceData.Fertiliser_Products_Data1(), FertiliserProducts[[#Headers],[Company]],1)</f>
        <v>Campbells fertilisers Australia</v>
      </c>
      <c r="E97" s="177" t="str" cm="1">
        <f t="array" ref="E97">Common_InputFunctions.Utility_DisplayArrayInTable(Fertiliser_SourceData.Fertiliser_Products_Data1(), FertiliserProducts[[#Headers],[Company]],1)</f>
        <v>Aqua Thio-Complete</v>
      </c>
      <c r="F97" s="177" t="str" cm="1">
        <f t="array" ref="F97">Common_InputFunctions.Utility_DisplayArrayInTable(Fertiliser_SourceData.Fertiliser_Products_Data1(), FertiliserProducts[[#Headers],[Company]],1)</f>
        <v>L</v>
      </c>
      <c r="G97" s="177" cm="1">
        <f t="array" ref="G97">Common_InputFunctions.Utility_DisplayArrayInTable(Fertiliser_SourceData.Fertiliser_Products_Data1(), FertiliserProducts[[#Headers],[Company]],1)</f>
        <v>1.43</v>
      </c>
      <c r="H97" s="177" t="str" cm="1">
        <f t="array" ref="H97">Common_InputFunctions.Utility_DisplayArrayInTable(Fertiliser_SourceData.Fertiliser_Products_Data1(), FertiliserProducts[[#Headers],[Company]],1)</f>
        <v/>
      </c>
      <c r="I97" s="177" t="str" cm="1">
        <f t="array" ref="I97">Common_InputFunctions.Utility_DisplayArrayInTable(Fertiliser_SourceData.Fertiliser_Products_Data1(), FertiliserProducts[[#Headers],[Company]],1)</f>
        <v/>
      </c>
      <c r="J97" s="177" t="str" cm="1">
        <f t="array" ref="J97">Common_InputFunctions.Utility_DisplayArrayInTable(Fertiliser_SourceData.Fertiliser_Products_Data1(), FertiliserProducts[[#Headers],[Company]],1)</f>
        <v/>
      </c>
      <c r="K97" s="177" cm="1">
        <f t="array" ref="K97">Common_InputFunctions.Utility_DisplayArrayInTable(Fertiliser_SourceData.Fertiliser_Products_Data1(), FertiliserProducts[[#Headers],[Company]],1)</f>
        <v>2.5</v>
      </c>
      <c r="L97" s="177" cm="1">
        <f t="array" ref="L97">Common_InputFunctions.Utility_DisplayArrayInTable(Fertiliser_SourceData.Fertiliser_Products_Data1(), FertiliserProducts[[#Headers],[Company]],1)</f>
        <v>3.8</v>
      </c>
      <c r="M97" s="177" cm="1">
        <f t="array" ref="M97">Common_InputFunctions.Utility_DisplayArrayInTable(Fertiliser_SourceData.Fertiliser_Products_Data1(), FertiliserProducts[[#Headers],[Company]],1)</f>
        <v>22.5</v>
      </c>
      <c r="N97" s="177" t="str" cm="1">
        <f t="array" ref="N97">Common_InputFunctions.Utility_DisplayArrayInTable(Fertiliser_SourceData.Fertiliser_Products_Data1(), FertiliserProducts[[#Headers],[Company]],1)</f>
        <v/>
      </c>
      <c r="O97" s="177" t="str" cm="1">
        <f t="array" ref="O97">Common_InputFunctions.Utility_DisplayArrayInTable(Fertiliser_SourceData.Fertiliser_Products_Data1(), FertiliserProducts[[#Headers],[Company]],1)</f>
        <v>Potassium - Generic</v>
      </c>
      <c r="P97" s="177" cm="1">
        <f t="array" ref="P97">Common_InputFunctions.Utility_DisplayArrayInTable(Fertiliser_SourceData.Fertiliser_Products_Data1(), FertiliserProducts[[#Headers],[Company]],1)</f>
        <v>0.22500000000000001</v>
      </c>
      <c r="Q97" s="177" t="str" cm="1">
        <f t="array" ref="Q97">Common_InputFunctions.Utility_DisplayArrayInTable(Fertiliser_SourceData.Fertiliser_Products_Data1(), FertiliserProducts[[#Headers],[Company]],1)</f>
        <v>Phosphorus - Generic</v>
      </c>
      <c r="R97" s="177" cm="1">
        <f t="array" ref="R97">Common_InputFunctions.Utility_DisplayArrayInTable(Fertiliser_SourceData.Fertiliser_Products_Data1(), FertiliserProducts[[#Headers],[Company]],1)</f>
        <v>3.7999999999999999E-2</v>
      </c>
      <c r="S97" s="177" t="str" cm="1">
        <f t="array" ref="S97">Common_InputFunctions.Utility_DisplayArrayInTable(Fertiliser_SourceData.Fertiliser_Products_Data1(), FertiliserProducts[[#Headers],[Company]],1)</f>
        <v>Nitrogen - Generic</v>
      </c>
      <c r="T97" s="177" cm="1">
        <f t="array" ref="T97">Common_InputFunctions.Utility_DisplayArrayInTable(Fertiliser_SourceData.Fertiliser_Products_Data1(), FertiliserProducts[[#Headers],[Company]],1)</f>
        <v>2.5000000000000001E-2</v>
      </c>
      <c r="U97" s="177" t="str" cm="1">
        <f t="array" ref="U97">Common_InputFunctions.Utility_DisplayArrayInTable(Fertiliser_SourceData.Fertiliser_Products_Data1(), FertiliserProducts[[#Headers],[Company]],1)</f>
        <v/>
      </c>
      <c r="V97" s="177" t="str" cm="1">
        <f t="array" ref="V97">Common_InputFunctions.Utility_DisplayArrayInTable(Fertiliser_SourceData.Fertiliser_Products_Data1(), FertiliserProducts[[#Headers],[Company]],1)</f>
        <v/>
      </c>
      <c r="W97" s="177" t="str" cm="1">
        <f t="array" ref="W97">Common_InputFunctions.Utility_DisplayArrayInTable(Fertiliser_SourceData.Fertiliser_Products_Data1(), FertiliserProducts[[#Headers],[Company]],1)</f>
        <v/>
      </c>
      <c r="X97" s="177" t="str" cm="1">
        <f t="array" ref="X97">Common_InputFunctions.Utility_DisplayArrayInTable(Fertiliser_SourceData.Fertiliser_Products_Data1(), FertiliserProducts[[#Headers],[Company]],1)</f>
        <v/>
      </c>
      <c r="Y97" s="177" t="str" cm="1">
        <f t="array" ref="Y97">Common_InputFunctions.Utility_DisplayArrayInTable(Fertiliser_SourceData.Fertiliser_Products_Data1(), FertiliserProducts[[#Headers],[Company]],1)</f>
        <v/>
      </c>
      <c r="Z97" s="177" t="str" cm="1">
        <f t="array" ref="Z97">Common_InputFunctions.Utility_DisplayArrayInTable(Fertiliser_SourceData.Fertiliser_Products_Data1(), FertiliserProducts[[#Headers],[Company]],1)</f>
        <v/>
      </c>
      <c r="AA97" s="177" t="str" cm="1">
        <f t="array" ref="AA97">Common_InputFunctions.Utility_DisplayArrayInTable(Fertiliser_SourceData.Fertiliser_Products_Data1(), FertiliserProducts[[#Headers],[Company]],1)</f>
        <v/>
      </c>
      <c r="AB97" s="177" t="str" cm="1">
        <f t="array" ref="AB97">Common_InputFunctions.Utility_DisplayArrayInTable(Fertiliser_SourceData.Fertiliser_Products_Data1(), FertiliserProducts[[#Headers],[Company]],1)</f>
        <v/>
      </c>
      <c r="AC97" s="177" t="str" cm="1">
        <f t="array" ref="AC97">Common_InputFunctions.Utility_DisplayArrayInTable(Fertiliser_SourceData.Fertiliser_Products_Data1(), FertiliserProducts[[#Headers],[Company]],1)</f>
        <v/>
      </c>
      <c r="AD97" s="177" t="str" cm="1">
        <f t="array" ref="AD97">Common_InputFunctions.Utility_DisplayArrayInTable(Fertiliser_SourceData.Fertiliser_Products_Data1(), FertiliserProducts[[#Headers],[Company]],1)</f>
        <v/>
      </c>
      <c r="AE97" s="177" t="str" cm="1">
        <f t="array" ref="AE97">Common_InputFunctions.Utility_DisplayArrayInTable(Fertiliser_SourceData.Fertiliser_Products_Data1(), FertiliserProducts[[#Headers],[Company]],1)</f>
        <v/>
      </c>
      <c r="AF97" s="177" t="str" cm="1">
        <f t="array" ref="AF97">Common_InputFunctions.Utility_DisplayArrayInTable(Fertiliser_SourceData.Fertiliser_Products_Data1(), FertiliserProducts[[#Headers],[Company]],1)</f>
        <v/>
      </c>
      <c r="AG97" s="177" t="str" cm="1">
        <f t="array" ref="AG97">Common_InputFunctions.Utility_DisplayArrayInTable(Fertiliser_SourceData.Fertiliser_Products_Data1(), FertiliserProducts[[#Headers],[Company]],1)</f>
        <v/>
      </c>
      <c r="AH97" s="177" t="str" cm="1">
        <f t="array" ref="AH97">Common_InputFunctions.Utility_DisplayArrayInTable(Fertiliser_SourceData.Fertiliser_Products_Data1(), FertiliserProducts[[#Headers],[Company]],1)</f>
        <v/>
      </c>
      <c r="AK97" s="1"/>
      <c r="AL97" s="1"/>
      <c r="AM97" s="1"/>
    </row>
    <row r="98" spans="4:39" ht="20" customHeight="1" x14ac:dyDescent="0.25">
      <c r="D98" s="177" t="str" cm="1">
        <f t="array" ref="D98">Common_InputFunctions.Utility_DisplayArrayInTable(Fertiliser_SourceData.Fertiliser_Products_Data1(), FertiliserProducts[[#Headers],[Company]],1)</f>
        <v>Campbells fertilisers Australia</v>
      </c>
      <c r="E98" s="177" t="str" cm="1">
        <f t="array" ref="E98">Common_InputFunctions.Utility_DisplayArrayInTable(Fertiliser_SourceData.Fertiliser_Products_Data1(), FertiliserProducts[[#Headers],[Company]],1)</f>
        <v>Aqua Thio-Emerge</v>
      </c>
      <c r="F98" s="177" t="str" cm="1">
        <f t="array" ref="F98">Common_InputFunctions.Utility_DisplayArrayInTable(Fertiliser_SourceData.Fertiliser_Products_Data1(), FertiliserProducts[[#Headers],[Company]],1)</f>
        <v>L</v>
      </c>
      <c r="G98" s="177" cm="1">
        <f t="array" ref="G98">Common_InputFunctions.Utility_DisplayArrayInTable(Fertiliser_SourceData.Fertiliser_Products_Data1(), FertiliserProducts[[#Headers],[Company]],1)</f>
        <v>1.29</v>
      </c>
      <c r="H98" s="177" t="str" cm="1">
        <f t="array" ref="H98">Common_InputFunctions.Utility_DisplayArrayInTable(Fertiliser_SourceData.Fertiliser_Products_Data1(), FertiliserProducts[[#Headers],[Company]],1)</f>
        <v/>
      </c>
      <c r="I98" s="177" t="str" cm="1">
        <f t="array" ref="I98">Common_InputFunctions.Utility_DisplayArrayInTable(Fertiliser_SourceData.Fertiliser_Products_Data1(), FertiliserProducts[[#Headers],[Company]],1)</f>
        <v/>
      </c>
      <c r="J98" s="177" t="str" cm="1">
        <f t="array" ref="J98">Common_InputFunctions.Utility_DisplayArrayInTable(Fertiliser_SourceData.Fertiliser_Products_Data1(), FertiliserProducts[[#Headers],[Company]],1)</f>
        <v/>
      </c>
      <c r="K98" s="177" cm="1">
        <f t="array" ref="K98">Common_InputFunctions.Utility_DisplayArrayInTable(Fertiliser_SourceData.Fertiliser_Products_Data1(), FertiliserProducts[[#Headers],[Company]],1)</f>
        <v>10.5</v>
      </c>
      <c r="L98" s="177" cm="1">
        <f t="array" ref="L98">Common_InputFunctions.Utility_DisplayArrayInTable(Fertiliser_SourceData.Fertiliser_Products_Data1(), FertiliserProducts[[#Headers],[Company]],1)</f>
        <v>9.4</v>
      </c>
      <c r="M98" s="177" cm="1">
        <f t="array" ref="M98">Common_InputFunctions.Utility_DisplayArrayInTable(Fertiliser_SourceData.Fertiliser_Products_Data1(), FertiliserProducts[[#Headers],[Company]],1)</f>
        <v>4</v>
      </c>
      <c r="N98" s="177" cm="1">
        <f t="array" ref="N98">Common_InputFunctions.Utility_DisplayArrayInTable(Fertiliser_SourceData.Fertiliser_Products_Data1(), FertiliserProducts[[#Headers],[Company]],1)</f>
        <v>3</v>
      </c>
      <c r="O98" s="177" t="str" cm="1">
        <f t="array" ref="O98">Common_InputFunctions.Utility_DisplayArrayInTable(Fertiliser_SourceData.Fertiliser_Products_Data1(), FertiliserProducts[[#Headers],[Company]],1)</f>
        <v>Nitrogen - Generic</v>
      </c>
      <c r="P98" s="177" cm="1">
        <f t="array" ref="P98">Common_InputFunctions.Utility_DisplayArrayInTable(Fertiliser_SourceData.Fertiliser_Products_Data1(), FertiliserProducts[[#Headers],[Company]],1)</f>
        <v>0.105</v>
      </c>
      <c r="Q98" s="177" t="str" cm="1">
        <f t="array" ref="Q98">Common_InputFunctions.Utility_DisplayArrayInTable(Fertiliser_SourceData.Fertiliser_Products_Data1(), FertiliserProducts[[#Headers],[Company]],1)</f>
        <v>Phosphorus - Generic</v>
      </c>
      <c r="R98" s="177" cm="1">
        <f t="array" ref="R98">Common_InputFunctions.Utility_DisplayArrayInTable(Fertiliser_SourceData.Fertiliser_Products_Data1(), FertiliserProducts[[#Headers],[Company]],1)</f>
        <v>9.4E-2</v>
      </c>
      <c r="S98" s="177" t="str" cm="1">
        <f t="array" ref="S98">Common_InputFunctions.Utility_DisplayArrayInTable(Fertiliser_SourceData.Fertiliser_Products_Data1(), FertiliserProducts[[#Headers],[Company]],1)</f>
        <v>Potassium - Generic</v>
      </c>
      <c r="T98" s="177" cm="1">
        <f t="array" ref="T98">Common_InputFunctions.Utility_DisplayArrayInTable(Fertiliser_SourceData.Fertiliser_Products_Data1(), FertiliserProducts[[#Headers],[Company]],1)</f>
        <v>0.04</v>
      </c>
      <c r="U98" s="177" t="str" cm="1">
        <f t="array" ref="U98">Common_InputFunctions.Utility_DisplayArrayInTable(Fertiliser_SourceData.Fertiliser_Products_Data1(), FertiliserProducts[[#Headers],[Company]],1)</f>
        <v>Sulfur - Generic</v>
      </c>
      <c r="V98" s="177" cm="1">
        <f t="array" ref="V98">Common_InputFunctions.Utility_DisplayArrayInTable(Fertiliser_SourceData.Fertiliser_Products_Data1(), FertiliserProducts[[#Headers],[Company]],1)</f>
        <v>0.03</v>
      </c>
      <c r="W98" s="177" t="str" cm="1">
        <f t="array" ref="W98">Common_InputFunctions.Utility_DisplayArrayInTable(Fertiliser_SourceData.Fertiliser_Products_Data1(), FertiliserProducts[[#Headers],[Company]],1)</f>
        <v/>
      </c>
      <c r="X98" s="177" t="str" cm="1">
        <f t="array" ref="X98">Common_InputFunctions.Utility_DisplayArrayInTable(Fertiliser_SourceData.Fertiliser_Products_Data1(), FertiliserProducts[[#Headers],[Company]],1)</f>
        <v/>
      </c>
      <c r="Y98" s="177" t="str" cm="1">
        <f t="array" ref="Y98">Common_InputFunctions.Utility_DisplayArrayInTable(Fertiliser_SourceData.Fertiliser_Products_Data1(), FertiliserProducts[[#Headers],[Company]],1)</f>
        <v/>
      </c>
      <c r="Z98" s="177" t="str" cm="1">
        <f t="array" ref="Z98">Common_InputFunctions.Utility_DisplayArrayInTable(Fertiliser_SourceData.Fertiliser_Products_Data1(), FertiliserProducts[[#Headers],[Company]],1)</f>
        <v/>
      </c>
      <c r="AA98" s="177" t="str" cm="1">
        <f t="array" ref="AA98">Common_InputFunctions.Utility_DisplayArrayInTable(Fertiliser_SourceData.Fertiliser_Products_Data1(), FertiliserProducts[[#Headers],[Company]],1)</f>
        <v/>
      </c>
      <c r="AB98" s="177" t="str" cm="1">
        <f t="array" ref="AB98">Common_InputFunctions.Utility_DisplayArrayInTable(Fertiliser_SourceData.Fertiliser_Products_Data1(), FertiliserProducts[[#Headers],[Company]],1)</f>
        <v/>
      </c>
      <c r="AC98" s="177" t="str" cm="1">
        <f t="array" ref="AC98">Common_InputFunctions.Utility_DisplayArrayInTable(Fertiliser_SourceData.Fertiliser_Products_Data1(), FertiliserProducts[[#Headers],[Company]],1)</f>
        <v/>
      </c>
      <c r="AD98" s="177" t="str" cm="1">
        <f t="array" ref="AD98">Common_InputFunctions.Utility_DisplayArrayInTable(Fertiliser_SourceData.Fertiliser_Products_Data1(), FertiliserProducts[[#Headers],[Company]],1)</f>
        <v/>
      </c>
      <c r="AE98" s="177" t="str" cm="1">
        <f t="array" ref="AE98">Common_InputFunctions.Utility_DisplayArrayInTable(Fertiliser_SourceData.Fertiliser_Products_Data1(), FertiliserProducts[[#Headers],[Company]],1)</f>
        <v/>
      </c>
      <c r="AF98" s="177" t="str" cm="1">
        <f t="array" ref="AF98">Common_InputFunctions.Utility_DisplayArrayInTable(Fertiliser_SourceData.Fertiliser_Products_Data1(), FertiliserProducts[[#Headers],[Company]],1)</f>
        <v/>
      </c>
      <c r="AG98" s="177" t="str" cm="1">
        <f t="array" ref="AG98">Common_InputFunctions.Utility_DisplayArrayInTable(Fertiliser_SourceData.Fertiliser_Products_Data1(), FertiliserProducts[[#Headers],[Company]],1)</f>
        <v/>
      </c>
      <c r="AH98" s="177" t="str" cm="1">
        <f t="array" ref="AH98">Common_InputFunctions.Utility_DisplayArrayInTable(Fertiliser_SourceData.Fertiliser_Products_Data1(), FertiliserProducts[[#Headers],[Company]],1)</f>
        <v/>
      </c>
      <c r="AK98" s="1"/>
      <c r="AL98" s="1"/>
      <c r="AM98" s="1"/>
    </row>
    <row r="99" spans="4:39" ht="20" customHeight="1" x14ac:dyDescent="0.25">
      <c r="D99" s="177" t="str" cm="1">
        <f t="array" ref="D99">Common_InputFunctions.Utility_DisplayArrayInTable(Fertiliser_SourceData.Fertiliser_Products_Data1(), FertiliserProducts[[#Headers],[Company]],1)</f>
        <v>Campbells fertilisers Australia</v>
      </c>
      <c r="E99" s="177" t="str" cm="1">
        <f t="array" ref="E99">Common_InputFunctions.Utility_DisplayArrayInTable(Fertiliser_SourceData.Fertiliser_Products_Data1(), FertiliserProducts[[#Headers],[Company]],1)</f>
        <v>Aqua Thio-Flourish</v>
      </c>
      <c r="F99" s="177" t="str" cm="1">
        <f t="array" ref="F99">Common_InputFunctions.Utility_DisplayArrayInTable(Fertiliser_SourceData.Fertiliser_Products_Data1(), FertiliserProducts[[#Headers],[Company]],1)</f>
        <v>L</v>
      </c>
      <c r="G99" s="177" cm="1">
        <f t="array" ref="G99">Common_InputFunctions.Utility_DisplayArrayInTable(Fertiliser_SourceData.Fertiliser_Products_Data1(), FertiliserProducts[[#Headers],[Company]],1)</f>
        <v>1.32</v>
      </c>
      <c r="H99" s="177" t="str" cm="1">
        <f t="array" ref="H99">Common_InputFunctions.Utility_DisplayArrayInTable(Fertiliser_SourceData.Fertiliser_Products_Data1(), FertiliserProducts[[#Headers],[Company]],1)</f>
        <v/>
      </c>
      <c r="I99" s="177" t="str" cm="1">
        <f t="array" ref="I99">Common_InputFunctions.Utility_DisplayArrayInTable(Fertiliser_SourceData.Fertiliser_Products_Data1(), FertiliserProducts[[#Headers],[Company]],1)</f>
        <v/>
      </c>
      <c r="J99" s="177" t="str" cm="1">
        <f t="array" ref="J99">Common_InputFunctions.Utility_DisplayArrayInTable(Fertiliser_SourceData.Fertiliser_Products_Data1(), FertiliserProducts[[#Headers],[Company]],1)</f>
        <v/>
      </c>
      <c r="K99" s="177" cm="1">
        <f t="array" ref="K99">Common_InputFunctions.Utility_DisplayArrayInTable(Fertiliser_SourceData.Fertiliser_Products_Data1(), FertiliserProducts[[#Headers],[Company]],1)</f>
        <v>9.5</v>
      </c>
      <c r="L99" s="177" cm="1">
        <f t="array" ref="L99">Common_InputFunctions.Utility_DisplayArrayInTable(Fertiliser_SourceData.Fertiliser_Products_Data1(), FertiliserProducts[[#Headers],[Company]],1)</f>
        <v>4.7</v>
      </c>
      <c r="M99" s="177" cm="1">
        <f t="array" ref="M99">Common_InputFunctions.Utility_DisplayArrayInTable(Fertiliser_SourceData.Fertiliser_Products_Data1(), FertiliserProducts[[#Headers],[Company]],1)</f>
        <v>10.8</v>
      </c>
      <c r="N99" s="177" cm="1">
        <f t="array" ref="N99">Common_InputFunctions.Utility_DisplayArrayInTable(Fertiliser_SourceData.Fertiliser_Products_Data1(), FertiliserProducts[[#Headers],[Company]],1)</f>
        <v>8.1</v>
      </c>
      <c r="O99" s="177" t="str" cm="1">
        <f t="array" ref="O99">Common_InputFunctions.Utility_DisplayArrayInTable(Fertiliser_SourceData.Fertiliser_Products_Data1(), FertiliserProducts[[#Headers],[Company]],1)</f>
        <v>Potassium - Generic</v>
      </c>
      <c r="P99" s="177" cm="1">
        <f t="array" ref="P99">Common_InputFunctions.Utility_DisplayArrayInTable(Fertiliser_SourceData.Fertiliser_Products_Data1(), FertiliserProducts[[#Headers],[Company]],1)</f>
        <v>0.108</v>
      </c>
      <c r="Q99" s="177" t="str" cm="1">
        <f t="array" ref="Q99">Common_InputFunctions.Utility_DisplayArrayInTable(Fertiliser_SourceData.Fertiliser_Products_Data1(), FertiliserProducts[[#Headers],[Company]],1)</f>
        <v>Nitrogen - Generic</v>
      </c>
      <c r="R99" s="177" cm="1">
        <f t="array" ref="R99">Common_InputFunctions.Utility_DisplayArrayInTable(Fertiliser_SourceData.Fertiliser_Products_Data1(), FertiliserProducts[[#Headers],[Company]],1)</f>
        <v>9.5000000000000001E-2</v>
      </c>
      <c r="S99" s="177" t="str" cm="1">
        <f t="array" ref="S99">Common_InputFunctions.Utility_DisplayArrayInTable(Fertiliser_SourceData.Fertiliser_Products_Data1(), FertiliserProducts[[#Headers],[Company]],1)</f>
        <v>Sulfur - Generic</v>
      </c>
      <c r="T99" s="177" cm="1">
        <f t="array" ref="T99">Common_InputFunctions.Utility_DisplayArrayInTable(Fertiliser_SourceData.Fertiliser_Products_Data1(), FertiliserProducts[[#Headers],[Company]],1)</f>
        <v>8.1000000000000003E-2</v>
      </c>
      <c r="U99" s="177" t="str" cm="1">
        <f t="array" ref="U99">Common_InputFunctions.Utility_DisplayArrayInTable(Fertiliser_SourceData.Fertiliser_Products_Data1(), FertiliserProducts[[#Headers],[Company]],1)</f>
        <v>Phosphorus - Generic</v>
      </c>
      <c r="V99" s="177" cm="1">
        <f t="array" ref="V99">Common_InputFunctions.Utility_DisplayArrayInTable(Fertiliser_SourceData.Fertiliser_Products_Data1(), FertiliserProducts[[#Headers],[Company]],1)</f>
        <v>4.7E-2</v>
      </c>
      <c r="W99" s="177" t="str" cm="1">
        <f t="array" ref="W99">Common_InputFunctions.Utility_DisplayArrayInTable(Fertiliser_SourceData.Fertiliser_Products_Data1(), FertiliserProducts[[#Headers],[Company]],1)</f>
        <v/>
      </c>
      <c r="X99" s="177" t="str" cm="1">
        <f t="array" ref="X99">Common_InputFunctions.Utility_DisplayArrayInTable(Fertiliser_SourceData.Fertiliser_Products_Data1(), FertiliserProducts[[#Headers],[Company]],1)</f>
        <v/>
      </c>
      <c r="Y99" s="177" t="str" cm="1">
        <f t="array" ref="Y99">Common_InputFunctions.Utility_DisplayArrayInTable(Fertiliser_SourceData.Fertiliser_Products_Data1(), FertiliserProducts[[#Headers],[Company]],1)</f>
        <v/>
      </c>
      <c r="Z99" s="177" t="str" cm="1">
        <f t="array" ref="Z99">Common_InputFunctions.Utility_DisplayArrayInTable(Fertiliser_SourceData.Fertiliser_Products_Data1(), FertiliserProducts[[#Headers],[Company]],1)</f>
        <v/>
      </c>
      <c r="AA99" s="177" t="str" cm="1">
        <f t="array" ref="AA99">Common_InputFunctions.Utility_DisplayArrayInTable(Fertiliser_SourceData.Fertiliser_Products_Data1(), FertiliserProducts[[#Headers],[Company]],1)</f>
        <v/>
      </c>
      <c r="AB99" s="177" t="str" cm="1">
        <f t="array" ref="AB99">Common_InputFunctions.Utility_DisplayArrayInTable(Fertiliser_SourceData.Fertiliser_Products_Data1(), FertiliserProducts[[#Headers],[Company]],1)</f>
        <v/>
      </c>
      <c r="AC99" s="177" t="str" cm="1">
        <f t="array" ref="AC99">Common_InputFunctions.Utility_DisplayArrayInTable(Fertiliser_SourceData.Fertiliser_Products_Data1(), FertiliserProducts[[#Headers],[Company]],1)</f>
        <v/>
      </c>
      <c r="AD99" s="177" t="str" cm="1">
        <f t="array" ref="AD99">Common_InputFunctions.Utility_DisplayArrayInTable(Fertiliser_SourceData.Fertiliser_Products_Data1(), FertiliserProducts[[#Headers],[Company]],1)</f>
        <v/>
      </c>
      <c r="AE99" s="177" t="str" cm="1">
        <f t="array" ref="AE99">Common_InputFunctions.Utility_DisplayArrayInTable(Fertiliser_SourceData.Fertiliser_Products_Data1(), FertiliserProducts[[#Headers],[Company]],1)</f>
        <v/>
      </c>
      <c r="AF99" s="177" t="str" cm="1">
        <f t="array" ref="AF99">Common_InputFunctions.Utility_DisplayArrayInTable(Fertiliser_SourceData.Fertiliser_Products_Data1(), FertiliserProducts[[#Headers],[Company]],1)</f>
        <v/>
      </c>
      <c r="AG99" s="177" t="str" cm="1">
        <f t="array" ref="AG99">Common_InputFunctions.Utility_DisplayArrayInTable(Fertiliser_SourceData.Fertiliser_Products_Data1(), FertiliserProducts[[#Headers],[Company]],1)</f>
        <v/>
      </c>
      <c r="AH99" s="177" t="str" cm="1">
        <f t="array" ref="AH99">Common_InputFunctions.Utility_DisplayArrayInTable(Fertiliser_SourceData.Fertiliser_Products_Data1(), FertiliserProducts[[#Headers],[Company]],1)</f>
        <v/>
      </c>
      <c r="AK99" s="1"/>
      <c r="AL99" s="1"/>
      <c r="AM99" s="1"/>
    </row>
    <row r="100" spans="4:39" ht="20" customHeight="1" x14ac:dyDescent="0.25">
      <c r="D100" s="177" t="str" cm="1">
        <f t="array" ref="D100">Common_InputFunctions.Utility_DisplayArrayInTable(Fertiliser_SourceData.Fertiliser_Products_Data1(), FertiliserProducts[[#Headers],[Company]],1)</f>
        <v>Campbells fertilisers Australia</v>
      </c>
      <c r="E100" s="177" t="str" cm="1">
        <f t="array" ref="E100">Common_InputFunctions.Utility_DisplayArrayInTable(Fertiliser_SourceData.Fertiliser_Products_Data1(), FertiliserProducts[[#Headers],[Company]],1)</f>
        <v>Boost-It</v>
      </c>
      <c r="F100" s="177" t="str" cm="1">
        <f t="array" ref="F100">Common_InputFunctions.Utility_DisplayArrayInTable(Fertiliser_SourceData.Fertiliser_Products_Data1(), FertiliserProducts[[#Headers],[Company]],1)</f>
        <v>kg</v>
      </c>
      <c r="G100" s="177" cm="1">
        <f t="array" ref="G100">Common_InputFunctions.Utility_DisplayArrayInTable(Fertiliser_SourceData.Fertiliser_Products_Data1(), FertiliserProducts[[#Headers],[Company]],1)</f>
        <v>1</v>
      </c>
      <c r="H100" s="177" t="str" cm="1">
        <f t="array" ref="H100">Common_InputFunctions.Utility_DisplayArrayInTable(Fertiliser_SourceData.Fertiliser_Products_Data1(), FertiliserProducts[[#Headers],[Company]],1)</f>
        <v/>
      </c>
      <c r="I100" s="177" t="str" cm="1">
        <f t="array" ref="I100">Common_InputFunctions.Utility_DisplayArrayInTable(Fertiliser_SourceData.Fertiliser_Products_Data1(), FertiliserProducts[[#Headers],[Company]],1)</f>
        <v/>
      </c>
      <c r="J100" s="177" t="str" cm="1">
        <f t="array" ref="J100">Common_InputFunctions.Utility_DisplayArrayInTable(Fertiliser_SourceData.Fertiliser_Products_Data1(), FertiliserProducts[[#Headers],[Company]],1)</f>
        <v/>
      </c>
      <c r="K100" s="177" cm="1">
        <f t="array" ref="K100">Common_InputFunctions.Utility_DisplayArrayInTable(Fertiliser_SourceData.Fertiliser_Products_Data1(), FertiliserProducts[[#Headers],[Company]],1)</f>
        <v>24</v>
      </c>
      <c r="L100" s="177" cm="1">
        <f t="array" ref="L100">Common_InputFunctions.Utility_DisplayArrayInTable(Fertiliser_SourceData.Fertiliser_Products_Data1(), FertiliserProducts[[#Headers],[Company]],1)</f>
        <v>5.2</v>
      </c>
      <c r="M100" s="177" cm="1">
        <f t="array" ref="M100">Common_InputFunctions.Utility_DisplayArrayInTable(Fertiliser_SourceData.Fertiliser_Products_Data1(), FertiliserProducts[[#Headers],[Company]],1)</f>
        <v>8</v>
      </c>
      <c r="N100" s="177" cm="1">
        <f t="array" ref="N100">Common_InputFunctions.Utility_DisplayArrayInTable(Fertiliser_SourceData.Fertiliser_Products_Data1(), FertiliserProducts[[#Headers],[Company]],1)</f>
        <v>5.3</v>
      </c>
      <c r="O100" s="177" t="str" cm="1">
        <f t="array" ref="O100">Common_InputFunctions.Utility_DisplayArrayInTable(Fertiliser_SourceData.Fertiliser_Products_Data1(), FertiliserProducts[[#Headers],[Company]],1)</f>
        <v>Urea</v>
      </c>
      <c r="P100" s="177" cm="1">
        <f t="array" ref="P100">Common_InputFunctions.Utility_DisplayArrayInTable(Fertiliser_SourceData.Fertiliser_Products_Data1(), FertiliserProducts[[#Headers],[Company]],1)</f>
        <v>0.52173899999999995</v>
      </c>
      <c r="Q100" s="177" t="str" cm="1">
        <f t="array" ref="Q100">Common_InputFunctions.Utility_DisplayArrayInTable(Fertiliser_SourceData.Fertiliser_Products_Data1(), FertiliserProducts[[#Headers],[Company]],1)</f>
        <v>Potassium - Generic</v>
      </c>
      <c r="R100" s="177" cm="1">
        <f t="array" ref="R100">Common_InputFunctions.Utility_DisplayArrayInTable(Fertiliser_SourceData.Fertiliser_Products_Data1(), FertiliserProducts[[#Headers],[Company]],1)</f>
        <v>0.08</v>
      </c>
      <c r="S100" s="177" t="str" cm="1">
        <f t="array" ref="S100">Common_InputFunctions.Utility_DisplayArrayInTable(Fertiliser_SourceData.Fertiliser_Products_Data1(), FertiliserProducts[[#Headers],[Company]],1)</f>
        <v>Sulfur - Generic</v>
      </c>
      <c r="T100" s="177" cm="1">
        <f t="array" ref="T100">Common_InputFunctions.Utility_DisplayArrayInTable(Fertiliser_SourceData.Fertiliser_Products_Data1(), FertiliserProducts[[#Headers],[Company]],1)</f>
        <v>5.2999999999999999E-2</v>
      </c>
      <c r="U100" s="177" t="str" cm="1">
        <f t="array" ref="U100">Common_InputFunctions.Utility_DisplayArrayInTable(Fertiliser_SourceData.Fertiliser_Products_Data1(), FertiliserProducts[[#Headers],[Company]],1)</f>
        <v>Phosphorus - Generic</v>
      </c>
      <c r="V100" s="177" cm="1">
        <f t="array" ref="V100">Common_InputFunctions.Utility_DisplayArrayInTable(Fertiliser_SourceData.Fertiliser_Products_Data1(), FertiliserProducts[[#Headers],[Company]],1)</f>
        <v>5.1999999999999998E-2</v>
      </c>
      <c r="W100" s="177" t="str" cm="1">
        <f t="array" ref="W100">Common_InputFunctions.Utility_DisplayArrayInTable(Fertiliser_SourceData.Fertiliser_Products_Data1(), FertiliserProducts[[#Headers],[Company]],1)</f>
        <v>Magnesium</v>
      </c>
      <c r="X100" s="177" cm="1">
        <f t="array" ref="X100">Common_InputFunctions.Utility_DisplayArrayInTable(Fertiliser_SourceData.Fertiliser_Products_Data1(), FertiliserProducts[[#Headers],[Company]],1)</f>
        <v>1.2999999999999999E-2</v>
      </c>
      <c r="Y100" s="177" t="str" cm="1">
        <f t="array" ref="Y100">Common_InputFunctions.Utility_DisplayArrayInTable(Fertiliser_SourceData.Fertiliser_Products_Data1(), FertiliserProducts[[#Headers],[Company]],1)</f>
        <v>Zinc</v>
      </c>
      <c r="Z100" s="177" cm="1">
        <f t="array" ref="Z100">Common_InputFunctions.Utility_DisplayArrayInTable(Fertiliser_SourceData.Fertiliser_Products_Data1(), FertiliserProducts[[#Headers],[Company]],1)</f>
        <v>2E-3</v>
      </c>
      <c r="AA100" s="177" t="str" cm="1">
        <f t="array" ref="AA100">Common_InputFunctions.Utility_DisplayArrayInTable(Fertiliser_SourceData.Fertiliser_Products_Data1(), FertiliserProducts[[#Headers],[Company]],1)</f>
        <v>Manganese</v>
      </c>
      <c r="AB100" s="177" cm="1">
        <f t="array" ref="AB100">Common_InputFunctions.Utility_DisplayArrayInTable(Fertiliser_SourceData.Fertiliser_Products_Data1(), FertiliserProducts[[#Headers],[Company]],1)</f>
        <v>3.5000000000000001E-3</v>
      </c>
      <c r="AC100" s="177" t="str" cm="1">
        <f t="array" ref="AC100">Common_InputFunctions.Utility_DisplayArrayInTable(Fertiliser_SourceData.Fertiliser_Products_Data1(), FertiliserProducts[[#Headers],[Company]],1)</f>
        <v>Iron</v>
      </c>
      <c r="AD100" s="177" cm="1">
        <f t="array" ref="AD100">Common_InputFunctions.Utility_DisplayArrayInTable(Fertiliser_SourceData.Fertiliser_Products_Data1(), FertiliserProducts[[#Headers],[Company]],1)</f>
        <v>1.2999999999999999E-3</v>
      </c>
      <c r="AE100" s="177" t="str" cm="1">
        <f t="array" ref="AE100">Common_InputFunctions.Utility_DisplayArrayInTable(Fertiliser_SourceData.Fertiliser_Products_Data1(), FertiliserProducts[[#Headers],[Company]],1)</f>
        <v>Copper</v>
      </c>
      <c r="AF100" s="177" cm="1">
        <f t="array" ref="AF100">Common_InputFunctions.Utility_DisplayArrayInTable(Fertiliser_SourceData.Fertiliser_Products_Data1(), FertiliserProducts[[#Headers],[Company]],1)</f>
        <v>6.9999999999999999E-4</v>
      </c>
      <c r="AG100" s="177" t="str" cm="1">
        <f t="array" ref="AG100">Common_InputFunctions.Utility_DisplayArrayInTable(Fertiliser_SourceData.Fertiliser_Products_Data1(), FertiliserProducts[[#Headers],[Company]],1)</f>
        <v>Boron</v>
      </c>
      <c r="AH100" s="177" cm="1">
        <f t="array" ref="AH100">Common_InputFunctions.Utility_DisplayArrayInTable(Fertiliser_SourceData.Fertiliser_Products_Data1(), FertiliserProducts[[#Headers],[Company]],1)</f>
        <v>6.9999999999999999E-4</v>
      </c>
      <c r="AK100" s="1"/>
      <c r="AL100" s="1"/>
      <c r="AM100" s="1"/>
    </row>
    <row r="101" spans="4:39" ht="20" customHeight="1" x14ac:dyDescent="0.25">
      <c r="D101" s="177" t="str" cm="1">
        <f t="array" ref="D101">Common_InputFunctions.Utility_DisplayArrayInTable(Fertiliser_SourceData.Fertiliser_Products_Data1(), FertiliserProducts[[#Headers],[Company]],1)</f>
        <v>Campbells fertilisers Australia</v>
      </c>
      <c r="E101" s="177" t="str" cm="1">
        <f t="array" ref="E101">Common_InputFunctions.Utility_DisplayArrayInTable(Fertiliser_SourceData.Fertiliser_Products_Data1(), FertiliserProducts[[#Headers],[Company]],1)</f>
        <v>Bronze</v>
      </c>
      <c r="F101" s="177" t="str" cm="1">
        <f t="array" ref="F101">Common_InputFunctions.Utility_DisplayArrayInTable(Fertiliser_SourceData.Fertiliser_Products_Data1(), FertiliserProducts[[#Headers],[Company]],1)</f>
        <v>kg</v>
      </c>
      <c r="G101" s="177" cm="1">
        <f t="array" ref="G101">Common_InputFunctions.Utility_DisplayArrayInTable(Fertiliser_SourceData.Fertiliser_Products_Data1(), FertiliserProducts[[#Headers],[Company]],1)</f>
        <v>1</v>
      </c>
      <c r="H101" s="177" t="str" cm="1">
        <f t="array" ref="H101">Common_InputFunctions.Utility_DisplayArrayInTable(Fertiliser_SourceData.Fertiliser_Products_Data1(), FertiliserProducts[[#Headers],[Company]],1)</f>
        <v/>
      </c>
      <c r="I101" s="177" t="str" cm="1">
        <f t="array" ref="I101">Common_InputFunctions.Utility_DisplayArrayInTable(Fertiliser_SourceData.Fertiliser_Products_Data1(), FertiliserProducts[[#Headers],[Company]],1)</f>
        <v/>
      </c>
      <c r="J101" s="177" t="str" cm="1">
        <f t="array" ref="J101">Common_InputFunctions.Utility_DisplayArrayInTable(Fertiliser_SourceData.Fertiliser_Products_Data1(), FertiliserProducts[[#Headers],[Company]],1)</f>
        <v/>
      </c>
      <c r="K101" s="177" cm="1">
        <f t="array" ref="K101">Common_InputFunctions.Utility_DisplayArrayInTable(Fertiliser_SourceData.Fertiliser_Products_Data1(), FertiliserProducts[[#Headers],[Company]],1)</f>
        <v>17</v>
      </c>
      <c r="L101" s="177" cm="1">
        <f t="array" ref="L101">Common_InputFunctions.Utility_DisplayArrayInTable(Fertiliser_SourceData.Fertiliser_Products_Data1(), FertiliserProducts[[#Headers],[Company]],1)</f>
        <v>0.04</v>
      </c>
      <c r="M101" s="177" cm="1">
        <f t="array" ref="M101">Common_InputFunctions.Utility_DisplayArrayInTable(Fertiliser_SourceData.Fertiliser_Products_Data1(), FertiliserProducts[[#Headers],[Company]],1)</f>
        <v>11.6</v>
      </c>
      <c r="N101" s="177" cm="1">
        <f t="array" ref="N101">Common_InputFunctions.Utility_DisplayArrayInTable(Fertiliser_SourceData.Fertiliser_Products_Data1(), FertiliserProducts[[#Headers],[Company]],1)</f>
        <v>0.5</v>
      </c>
      <c r="O101" s="177" t="str" cm="1">
        <f t="array" ref="O101">Common_InputFunctions.Utility_DisplayArrayInTable(Fertiliser_SourceData.Fertiliser_Products_Data1(), FertiliserProducts[[#Headers],[Company]],1)</f>
        <v>Muriate of potash (MOP)</v>
      </c>
      <c r="P101" s="177" cm="1">
        <f t="array" ref="P101">Common_InputFunctions.Utility_DisplayArrayInTable(Fertiliser_SourceData.Fertiliser_Products_Data1(), FertiliserProducts[[#Headers],[Company]],1)</f>
        <v>0.23200000000000001</v>
      </c>
      <c r="Q101" s="177" t="str" cm="1">
        <f t="array" ref="Q101">Common_InputFunctions.Utility_DisplayArrayInTable(Fertiliser_SourceData.Fertiliser_Products_Data1(), FertiliserProducts[[#Headers],[Company]],1)</f>
        <v>Nitrogen - Generic</v>
      </c>
      <c r="R101" s="177" cm="1">
        <f t="array" ref="R101">Common_InputFunctions.Utility_DisplayArrayInTable(Fertiliser_SourceData.Fertiliser_Products_Data1(), FertiliserProducts[[#Headers],[Company]],1)</f>
        <v>0.17</v>
      </c>
      <c r="S101" s="177" t="str" cm="1">
        <f t="array" ref="S101">Common_InputFunctions.Utility_DisplayArrayInTable(Fertiliser_SourceData.Fertiliser_Products_Data1(), FertiliserProducts[[#Headers],[Company]],1)</f>
        <v>Sulfur - Generic</v>
      </c>
      <c r="T101" s="177" cm="1">
        <f t="array" ref="T101">Common_InputFunctions.Utility_DisplayArrayInTable(Fertiliser_SourceData.Fertiliser_Products_Data1(), FertiliserProducts[[#Headers],[Company]],1)</f>
        <v>5.0000000000000001E-3</v>
      </c>
      <c r="U101" s="177" t="str" cm="1">
        <f t="array" ref="U101">Common_InputFunctions.Utility_DisplayArrayInTable(Fertiliser_SourceData.Fertiliser_Products_Data1(), FertiliserProducts[[#Headers],[Company]],1)</f>
        <v>Magnesium</v>
      </c>
      <c r="V101" s="177" cm="1">
        <f t="array" ref="V101">Common_InputFunctions.Utility_DisplayArrayInTable(Fertiliser_SourceData.Fertiliser_Products_Data1(), FertiliserProducts[[#Headers],[Company]],1)</f>
        <v>2.3999999999999998E-3</v>
      </c>
      <c r="W101" s="177" t="str" cm="1">
        <f t="array" ref="W101">Common_InputFunctions.Utility_DisplayArrayInTable(Fertiliser_SourceData.Fertiliser_Products_Data1(), FertiliserProducts[[#Headers],[Company]],1)</f>
        <v>Phosphorus - Generic</v>
      </c>
      <c r="X101" s="177" cm="1">
        <f t="array" ref="X101">Common_InputFunctions.Utility_DisplayArrayInTable(Fertiliser_SourceData.Fertiliser_Products_Data1(), FertiliserProducts[[#Headers],[Company]],1)</f>
        <v>4.0000000000000002E-4</v>
      </c>
      <c r="Y101" s="177" t="str" cm="1">
        <f t="array" ref="Y101">Common_InputFunctions.Utility_DisplayArrayInTable(Fertiliser_SourceData.Fertiliser_Products_Data1(), FertiliserProducts[[#Headers],[Company]],1)</f>
        <v/>
      </c>
      <c r="Z101" s="177" t="str" cm="1">
        <f t="array" ref="Z101">Common_InputFunctions.Utility_DisplayArrayInTable(Fertiliser_SourceData.Fertiliser_Products_Data1(), FertiliserProducts[[#Headers],[Company]],1)</f>
        <v/>
      </c>
      <c r="AA101" s="177" t="str" cm="1">
        <f t="array" ref="AA101">Common_InputFunctions.Utility_DisplayArrayInTable(Fertiliser_SourceData.Fertiliser_Products_Data1(), FertiliserProducts[[#Headers],[Company]],1)</f>
        <v/>
      </c>
      <c r="AB101" s="177" t="str" cm="1">
        <f t="array" ref="AB101">Common_InputFunctions.Utility_DisplayArrayInTable(Fertiliser_SourceData.Fertiliser_Products_Data1(), FertiliserProducts[[#Headers],[Company]],1)</f>
        <v/>
      </c>
      <c r="AC101" s="177" t="str" cm="1">
        <f t="array" ref="AC101">Common_InputFunctions.Utility_DisplayArrayInTable(Fertiliser_SourceData.Fertiliser_Products_Data1(), FertiliserProducts[[#Headers],[Company]],1)</f>
        <v/>
      </c>
      <c r="AD101" s="177" t="str" cm="1">
        <f t="array" ref="AD101">Common_InputFunctions.Utility_DisplayArrayInTable(Fertiliser_SourceData.Fertiliser_Products_Data1(), FertiliserProducts[[#Headers],[Company]],1)</f>
        <v/>
      </c>
      <c r="AE101" s="177" t="str" cm="1">
        <f t="array" ref="AE101">Common_InputFunctions.Utility_DisplayArrayInTable(Fertiliser_SourceData.Fertiliser_Products_Data1(), FertiliserProducts[[#Headers],[Company]],1)</f>
        <v/>
      </c>
      <c r="AF101" s="177" t="str" cm="1">
        <f t="array" ref="AF101">Common_InputFunctions.Utility_DisplayArrayInTable(Fertiliser_SourceData.Fertiliser_Products_Data1(), FertiliserProducts[[#Headers],[Company]],1)</f>
        <v/>
      </c>
      <c r="AG101" s="177" t="str" cm="1">
        <f t="array" ref="AG101">Common_InputFunctions.Utility_DisplayArrayInTable(Fertiliser_SourceData.Fertiliser_Products_Data1(), FertiliserProducts[[#Headers],[Company]],1)</f>
        <v/>
      </c>
      <c r="AH101" s="177" t="str" cm="1">
        <f t="array" ref="AH101">Common_InputFunctions.Utility_DisplayArrayInTable(Fertiliser_SourceData.Fertiliser_Products_Data1(), FertiliserProducts[[#Headers],[Company]],1)</f>
        <v/>
      </c>
      <c r="AK101" s="1"/>
      <c r="AL101" s="1"/>
      <c r="AM101" s="1"/>
    </row>
    <row r="102" spans="4:39" ht="20" customHeight="1" x14ac:dyDescent="0.25">
      <c r="D102" s="177" t="str" cm="1">
        <f t="array" ref="D102">Common_InputFunctions.Utility_DisplayArrayInTable(Fertiliser_SourceData.Fertiliser_Products_Data1(), FertiliserProducts[[#Headers],[Company]],1)</f>
        <v>Campbells fertilisers Australia</v>
      </c>
      <c r="E102" s="177" t="str" cm="1">
        <f t="array" ref="E102">Common_InputFunctions.Utility_DisplayArrayInTable(Fertiliser_SourceData.Fertiliser_Products_Data1(), FertiliserProducts[[#Headers],[Company]],1)</f>
        <v>Calbit C</v>
      </c>
      <c r="F102" s="177" t="str" cm="1">
        <f t="array" ref="F102">Common_InputFunctions.Utility_DisplayArrayInTable(Fertiliser_SourceData.Fertiliser_Products_Data1(), FertiliserProducts[[#Headers],[Company]],1)</f>
        <v>L</v>
      </c>
      <c r="G102" s="177" cm="1">
        <f t="array" ref="G102">Common_InputFunctions.Utility_DisplayArrayInTable(Fertiliser_SourceData.Fertiliser_Products_Data1(), FertiliserProducts[[#Headers],[Company]],1)</f>
        <v>1.45</v>
      </c>
      <c r="H102" s="177" t="str" cm="1">
        <f t="array" ref="H102">Common_InputFunctions.Utility_DisplayArrayInTable(Fertiliser_SourceData.Fertiliser_Products_Data1(), FertiliserProducts[[#Headers],[Company]],1)</f>
        <v/>
      </c>
      <c r="I102" s="177" t="str" cm="1">
        <f t="array" ref="I102">Common_InputFunctions.Utility_DisplayArrayInTable(Fertiliser_SourceData.Fertiliser_Products_Data1(), FertiliserProducts[[#Headers],[Company]],1)</f>
        <v/>
      </c>
      <c r="J102" s="177" t="str" cm="1">
        <f t="array" ref="J102">Common_InputFunctions.Utility_DisplayArrayInTable(Fertiliser_SourceData.Fertiliser_Products_Data1(), FertiliserProducts[[#Headers],[Company]],1)</f>
        <v/>
      </c>
      <c r="K102" s="177" t="str" cm="1">
        <f t="array" ref="K102">Common_InputFunctions.Utility_DisplayArrayInTable(Fertiliser_SourceData.Fertiliser_Products_Data1(), FertiliserProducts[[#Headers],[Company]],1)</f>
        <v/>
      </c>
      <c r="L102" s="177" t="str" cm="1">
        <f t="array" ref="L102">Common_InputFunctions.Utility_DisplayArrayInTable(Fertiliser_SourceData.Fertiliser_Products_Data1(), FertiliserProducts[[#Headers],[Company]],1)</f>
        <v/>
      </c>
      <c r="M102" s="177" t="str" cm="1">
        <f t="array" ref="M102">Common_InputFunctions.Utility_DisplayArrayInTable(Fertiliser_SourceData.Fertiliser_Products_Data1(), FertiliserProducts[[#Headers],[Company]],1)</f>
        <v/>
      </c>
      <c r="N102" s="177" t="str" cm="1">
        <f t="array" ref="N102">Common_InputFunctions.Utility_DisplayArrayInTable(Fertiliser_SourceData.Fertiliser_Products_Data1(), FertiliserProducts[[#Headers],[Company]],1)</f>
        <v/>
      </c>
      <c r="O102" s="177" t="str" cm="1">
        <f t="array" ref="O102">Common_InputFunctions.Utility_DisplayArrayInTable(Fertiliser_SourceData.Fertiliser_Products_Data1(), FertiliserProducts[[#Headers],[Company]],1)</f>
        <v>Calcium</v>
      </c>
      <c r="P102" s="177" cm="1">
        <f t="array" ref="P102">Common_InputFunctions.Utility_DisplayArrayInTable(Fertiliser_SourceData.Fertiliser_Products_Data1(), FertiliserProducts[[#Headers],[Company]],1)</f>
        <v>0.107</v>
      </c>
      <c r="Q102" s="177" t="str" cm="1">
        <f t="array" ref="Q102">Common_InputFunctions.Utility_DisplayArrayInTable(Fertiliser_SourceData.Fertiliser_Products_Data1(), FertiliserProducts[[#Headers],[Company]],1)</f>
        <v/>
      </c>
      <c r="R102" s="177" t="str" cm="1">
        <f t="array" ref="R102">Common_InputFunctions.Utility_DisplayArrayInTable(Fertiliser_SourceData.Fertiliser_Products_Data1(), FertiliserProducts[[#Headers],[Company]],1)</f>
        <v/>
      </c>
      <c r="S102" s="177" t="str" cm="1">
        <f t="array" ref="S102">Common_InputFunctions.Utility_DisplayArrayInTable(Fertiliser_SourceData.Fertiliser_Products_Data1(), FertiliserProducts[[#Headers],[Company]],1)</f>
        <v/>
      </c>
      <c r="T102" s="177" t="str" cm="1">
        <f t="array" ref="T102">Common_InputFunctions.Utility_DisplayArrayInTable(Fertiliser_SourceData.Fertiliser_Products_Data1(), FertiliserProducts[[#Headers],[Company]],1)</f>
        <v/>
      </c>
      <c r="U102" s="177" t="str" cm="1">
        <f t="array" ref="U102">Common_InputFunctions.Utility_DisplayArrayInTable(Fertiliser_SourceData.Fertiliser_Products_Data1(), FertiliserProducts[[#Headers],[Company]],1)</f>
        <v/>
      </c>
      <c r="V102" s="177" t="str" cm="1">
        <f t="array" ref="V102">Common_InputFunctions.Utility_DisplayArrayInTable(Fertiliser_SourceData.Fertiliser_Products_Data1(), FertiliserProducts[[#Headers],[Company]],1)</f>
        <v/>
      </c>
      <c r="W102" s="177" t="str" cm="1">
        <f t="array" ref="W102">Common_InputFunctions.Utility_DisplayArrayInTable(Fertiliser_SourceData.Fertiliser_Products_Data1(), FertiliserProducts[[#Headers],[Company]],1)</f>
        <v/>
      </c>
      <c r="X102" s="177" t="str" cm="1">
        <f t="array" ref="X102">Common_InputFunctions.Utility_DisplayArrayInTable(Fertiliser_SourceData.Fertiliser_Products_Data1(), FertiliserProducts[[#Headers],[Company]],1)</f>
        <v/>
      </c>
      <c r="Y102" s="177" t="str" cm="1">
        <f t="array" ref="Y102">Common_InputFunctions.Utility_DisplayArrayInTable(Fertiliser_SourceData.Fertiliser_Products_Data1(), FertiliserProducts[[#Headers],[Company]],1)</f>
        <v/>
      </c>
      <c r="Z102" s="177" t="str" cm="1">
        <f t="array" ref="Z102">Common_InputFunctions.Utility_DisplayArrayInTable(Fertiliser_SourceData.Fertiliser_Products_Data1(), FertiliserProducts[[#Headers],[Company]],1)</f>
        <v/>
      </c>
      <c r="AA102" s="177" t="str" cm="1">
        <f t="array" ref="AA102">Common_InputFunctions.Utility_DisplayArrayInTable(Fertiliser_SourceData.Fertiliser_Products_Data1(), FertiliserProducts[[#Headers],[Company]],1)</f>
        <v/>
      </c>
      <c r="AB102" s="177" t="str" cm="1">
        <f t="array" ref="AB102">Common_InputFunctions.Utility_DisplayArrayInTable(Fertiliser_SourceData.Fertiliser_Products_Data1(), FertiliserProducts[[#Headers],[Company]],1)</f>
        <v/>
      </c>
      <c r="AC102" s="177" t="str" cm="1">
        <f t="array" ref="AC102">Common_InputFunctions.Utility_DisplayArrayInTable(Fertiliser_SourceData.Fertiliser_Products_Data1(), FertiliserProducts[[#Headers],[Company]],1)</f>
        <v/>
      </c>
      <c r="AD102" s="177" t="str" cm="1">
        <f t="array" ref="AD102">Common_InputFunctions.Utility_DisplayArrayInTable(Fertiliser_SourceData.Fertiliser_Products_Data1(), FertiliserProducts[[#Headers],[Company]],1)</f>
        <v/>
      </c>
      <c r="AE102" s="177" t="str" cm="1">
        <f t="array" ref="AE102">Common_InputFunctions.Utility_DisplayArrayInTable(Fertiliser_SourceData.Fertiliser_Products_Data1(), FertiliserProducts[[#Headers],[Company]],1)</f>
        <v/>
      </c>
      <c r="AF102" s="177" t="str" cm="1">
        <f t="array" ref="AF102">Common_InputFunctions.Utility_DisplayArrayInTable(Fertiliser_SourceData.Fertiliser_Products_Data1(), FertiliserProducts[[#Headers],[Company]],1)</f>
        <v/>
      </c>
      <c r="AG102" s="177" t="str" cm="1">
        <f t="array" ref="AG102">Common_InputFunctions.Utility_DisplayArrayInTable(Fertiliser_SourceData.Fertiliser_Products_Data1(), FertiliserProducts[[#Headers],[Company]],1)</f>
        <v/>
      </c>
      <c r="AH102" s="177" t="str" cm="1">
        <f t="array" ref="AH102">Common_InputFunctions.Utility_DisplayArrayInTable(Fertiliser_SourceData.Fertiliser_Products_Data1(), FertiliserProducts[[#Headers],[Company]],1)</f>
        <v/>
      </c>
      <c r="AK102" s="1"/>
      <c r="AL102" s="1"/>
      <c r="AM102" s="1"/>
    </row>
    <row r="103" spans="4:39" ht="20" customHeight="1" x14ac:dyDescent="0.25">
      <c r="D103" s="177" t="str" cm="1">
        <f t="array" ref="D103">Common_InputFunctions.Utility_DisplayArrayInTable(Fertiliser_SourceData.Fertiliser_Products_Data1(), FertiliserProducts[[#Headers],[Company]],1)</f>
        <v>Campbells fertilisers Australia</v>
      </c>
      <c r="E103" s="177" t="str" cm="1">
        <f t="array" ref="E103">Common_InputFunctions.Utility_DisplayArrayInTable(Fertiliser_SourceData.Fertiliser_Products_Data1(), FertiliserProducts[[#Headers],[Company]],1)</f>
        <v>Compass</v>
      </c>
      <c r="F103" s="177" t="str" cm="1">
        <f t="array" ref="F103">Common_InputFunctions.Utility_DisplayArrayInTable(Fertiliser_SourceData.Fertiliser_Products_Data1(), FertiliserProducts[[#Headers],[Company]],1)</f>
        <v>kg</v>
      </c>
      <c r="G103" s="177" cm="1">
        <f t="array" ref="G103">Common_InputFunctions.Utility_DisplayArrayInTable(Fertiliser_SourceData.Fertiliser_Products_Data1(), FertiliserProducts[[#Headers],[Company]],1)</f>
        <v>1</v>
      </c>
      <c r="H103" s="177" t="str" cm="1">
        <f t="array" ref="H103">Common_InputFunctions.Utility_DisplayArrayInTable(Fertiliser_SourceData.Fertiliser_Products_Data1(), FertiliserProducts[[#Headers],[Company]],1)</f>
        <v/>
      </c>
      <c r="I103" s="177" t="str" cm="1">
        <f t="array" ref="I103">Common_InputFunctions.Utility_DisplayArrayInTable(Fertiliser_SourceData.Fertiliser_Products_Data1(), FertiliserProducts[[#Headers],[Company]],1)</f>
        <v/>
      </c>
      <c r="J103" s="177" t="str" cm="1">
        <f t="array" ref="J103">Common_InputFunctions.Utility_DisplayArrayInTable(Fertiliser_SourceData.Fertiliser_Products_Data1(), FertiliserProducts[[#Headers],[Company]],1)</f>
        <v/>
      </c>
      <c r="K103" s="177" cm="1">
        <f t="array" ref="K103">Common_InputFunctions.Utility_DisplayArrayInTable(Fertiliser_SourceData.Fertiliser_Products_Data1(), FertiliserProducts[[#Headers],[Company]],1)</f>
        <v>15</v>
      </c>
      <c r="L103" s="177" cm="1">
        <f t="array" ref="L103">Common_InputFunctions.Utility_DisplayArrayInTable(Fertiliser_SourceData.Fertiliser_Products_Data1(), FertiliserProducts[[#Headers],[Company]],1)</f>
        <v>6.5</v>
      </c>
      <c r="M103" s="177" cm="1">
        <f t="array" ref="M103">Common_InputFunctions.Utility_DisplayArrayInTable(Fertiliser_SourceData.Fertiliser_Products_Data1(), FertiliserProducts[[#Headers],[Company]],1)</f>
        <v>12.5</v>
      </c>
      <c r="N103" s="177" cm="1">
        <f t="array" ref="N103">Common_InputFunctions.Utility_DisplayArrayInTable(Fertiliser_SourceData.Fertiliser_Products_Data1(), FertiliserProducts[[#Headers],[Company]],1)</f>
        <v>6</v>
      </c>
      <c r="O103" s="177" t="str" cm="1">
        <f t="array" ref="O103">Common_InputFunctions.Utility_DisplayArrayInTable(Fertiliser_SourceData.Fertiliser_Products_Data1(), FertiliserProducts[[#Headers],[Company]],1)</f>
        <v>Nitrogen - Ammoniacal</v>
      </c>
      <c r="P103" s="177" cm="1">
        <f t="array" ref="P103">Common_InputFunctions.Utility_DisplayArrayInTable(Fertiliser_SourceData.Fertiliser_Products_Data1(), FertiliserProducts[[#Headers],[Company]],1)</f>
        <v>7.4999999999999997E-2</v>
      </c>
      <c r="Q103" s="177" t="str" cm="1">
        <f t="array" ref="Q103">Common_InputFunctions.Utility_DisplayArrayInTable(Fertiliser_SourceData.Fertiliser_Products_Data1(), FertiliserProducts[[#Headers],[Company]],1)</f>
        <v>Nitrogen - Nitrate</v>
      </c>
      <c r="R103" s="177" cm="1">
        <f t="array" ref="R103">Common_InputFunctions.Utility_DisplayArrayInTable(Fertiliser_SourceData.Fertiliser_Products_Data1(), FertiliserProducts[[#Headers],[Company]],1)</f>
        <v>7.4999999999999997E-2</v>
      </c>
      <c r="S103" s="177" t="str" cm="1">
        <f t="array" ref="S103">Common_InputFunctions.Utility_DisplayArrayInTable(Fertiliser_SourceData.Fertiliser_Products_Data1(), FertiliserProducts[[#Headers],[Company]],1)</f>
        <v>Potassium - Generic</v>
      </c>
      <c r="T103" s="177" cm="1">
        <f t="array" ref="T103">Common_InputFunctions.Utility_DisplayArrayInTable(Fertiliser_SourceData.Fertiliser_Products_Data1(), FertiliserProducts[[#Headers],[Company]],1)</f>
        <v>0.125</v>
      </c>
      <c r="U103" s="177" t="str" cm="1">
        <f t="array" ref="U103">Common_InputFunctions.Utility_DisplayArrayInTable(Fertiliser_SourceData.Fertiliser_Products_Data1(), FertiliserProducts[[#Headers],[Company]],1)</f>
        <v>Phosphorus - Generic</v>
      </c>
      <c r="V103" s="177" cm="1">
        <f t="array" ref="V103">Common_InputFunctions.Utility_DisplayArrayInTable(Fertiliser_SourceData.Fertiliser_Products_Data1(), FertiliserProducts[[#Headers],[Company]],1)</f>
        <v>6.5000000000000002E-2</v>
      </c>
      <c r="W103" s="177" t="str" cm="1">
        <f t="array" ref="W103">Common_InputFunctions.Utility_DisplayArrayInTable(Fertiliser_SourceData.Fertiliser_Products_Data1(), FertiliserProducts[[#Headers],[Company]],1)</f>
        <v>Sulfur - Generic</v>
      </c>
      <c r="X103" s="177" cm="1">
        <f t="array" ref="X103">Common_InputFunctions.Utility_DisplayArrayInTable(Fertiliser_SourceData.Fertiliser_Products_Data1(), FertiliserProducts[[#Headers],[Company]],1)</f>
        <v>0.06</v>
      </c>
      <c r="Y103" s="177" t="str" cm="1">
        <f t="array" ref="Y103">Common_InputFunctions.Utility_DisplayArrayInTable(Fertiliser_SourceData.Fertiliser_Products_Data1(), FertiliserProducts[[#Headers],[Company]],1)</f>
        <v/>
      </c>
      <c r="Z103" s="177" t="str" cm="1">
        <f t="array" ref="Z103">Common_InputFunctions.Utility_DisplayArrayInTable(Fertiliser_SourceData.Fertiliser_Products_Data1(), FertiliserProducts[[#Headers],[Company]],1)</f>
        <v/>
      </c>
      <c r="AA103" s="177" t="str" cm="1">
        <f t="array" ref="AA103">Common_InputFunctions.Utility_DisplayArrayInTable(Fertiliser_SourceData.Fertiliser_Products_Data1(), FertiliserProducts[[#Headers],[Company]],1)</f>
        <v/>
      </c>
      <c r="AB103" s="177" t="str" cm="1">
        <f t="array" ref="AB103">Common_InputFunctions.Utility_DisplayArrayInTable(Fertiliser_SourceData.Fertiliser_Products_Data1(), FertiliserProducts[[#Headers],[Company]],1)</f>
        <v/>
      </c>
      <c r="AC103" s="177" t="str" cm="1">
        <f t="array" ref="AC103">Common_InputFunctions.Utility_DisplayArrayInTable(Fertiliser_SourceData.Fertiliser_Products_Data1(), FertiliserProducts[[#Headers],[Company]],1)</f>
        <v/>
      </c>
      <c r="AD103" s="177" t="str" cm="1">
        <f t="array" ref="AD103">Common_InputFunctions.Utility_DisplayArrayInTable(Fertiliser_SourceData.Fertiliser_Products_Data1(), FertiliserProducts[[#Headers],[Company]],1)</f>
        <v/>
      </c>
      <c r="AE103" s="177" t="str" cm="1">
        <f t="array" ref="AE103">Common_InputFunctions.Utility_DisplayArrayInTable(Fertiliser_SourceData.Fertiliser_Products_Data1(), FertiliserProducts[[#Headers],[Company]],1)</f>
        <v/>
      </c>
      <c r="AF103" s="177" t="str" cm="1">
        <f t="array" ref="AF103">Common_InputFunctions.Utility_DisplayArrayInTable(Fertiliser_SourceData.Fertiliser_Products_Data1(), FertiliserProducts[[#Headers],[Company]],1)</f>
        <v/>
      </c>
      <c r="AG103" s="177" t="str" cm="1">
        <f t="array" ref="AG103">Common_InputFunctions.Utility_DisplayArrayInTable(Fertiliser_SourceData.Fertiliser_Products_Data1(), FertiliserProducts[[#Headers],[Company]],1)</f>
        <v/>
      </c>
      <c r="AH103" s="177" t="str" cm="1">
        <f t="array" ref="AH103">Common_InputFunctions.Utility_DisplayArrayInTable(Fertiliser_SourceData.Fertiliser_Products_Data1(), FertiliserProducts[[#Headers],[Company]],1)</f>
        <v/>
      </c>
      <c r="AK103" s="1"/>
      <c r="AL103" s="1"/>
      <c r="AM103" s="1"/>
    </row>
    <row r="104" spans="4:39" ht="20" customHeight="1" x14ac:dyDescent="0.25">
      <c r="D104" s="177" t="str" cm="1">
        <f t="array" ref="D104">Common_InputFunctions.Utility_DisplayArrayInTable(Fertiliser_SourceData.Fertiliser_Products_Data1(), FertiliserProducts[[#Headers],[Company]],1)</f>
        <v>Campbells fertilisers Australia</v>
      </c>
      <c r="E104" s="177" t="str" cm="1">
        <f t="array" ref="E104">Common_InputFunctions.Utility_DisplayArrayInTable(Fertiliser_SourceData.Fertiliser_Products_Data1(), FertiliserProducts[[#Headers],[Company]],1)</f>
        <v>CoRoN 12-0-10</v>
      </c>
      <c r="F104" s="177" t="str" cm="1">
        <f t="array" ref="F104">Common_InputFunctions.Utility_DisplayArrayInTable(Fertiliser_SourceData.Fertiliser_Products_Data1(), FertiliserProducts[[#Headers],[Company]],1)</f>
        <v>L</v>
      </c>
      <c r="G104" s="177" cm="1">
        <f t="array" ref="G104">Common_InputFunctions.Utility_DisplayArrayInTable(Fertiliser_SourceData.Fertiliser_Products_Data1(), FertiliserProducts[[#Headers],[Company]],1)</f>
        <v>1.2150000000000001</v>
      </c>
      <c r="H104" s="177" t="str" cm="1">
        <f t="array" ref="H104">Common_InputFunctions.Utility_DisplayArrayInTable(Fertiliser_SourceData.Fertiliser_Products_Data1(), FertiliserProducts[[#Headers],[Company]],1)</f>
        <v/>
      </c>
      <c r="I104" s="177" t="str" cm="1">
        <f t="array" ref="I104">Common_InputFunctions.Utility_DisplayArrayInTable(Fertiliser_SourceData.Fertiliser_Products_Data1(), FertiliserProducts[[#Headers],[Company]],1)</f>
        <v/>
      </c>
      <c r="J104" s="177" t="str" cm="1">
        <f t="array" ref="J104">Common_InputFunctions.Utility_DisplayArrayInTable(Fertiliser_SourceData.Fertiliser_Products_Data1(), FertiliserProducts[[#Headers],[Company]],1)</f>
        <v/>
      </c>
      <c r="K104" s="177" cm="1">
        <f t="array" ref="K104">Common_InputFunctions.Utility_DisplayArrayInTable(Fertiliser_SourceData.Fertiliser_Products_Data1(), FertiliserProducts[[#Headers],[Company]],1)</f>
        <v>12</v>
      </c>
      <c r="L104" s="177" t="str" cm="1">
        <f t="array" ref="L104">Common_InputFunctions.Utility_DisplayArrayInTable(Fertiliser_SourceData.Fertiliser_Products_Data1(), FertiliserProducts[[#Headers],[Company]],1)</f>
        <v/>
      </c>
      <c r="M104" s="177" cm="1">
        <f t="array" ref="M104">Common_InputFunctions.Utility_DisplayArrayInTable(Fertiliser_SourceData.Fertiliser_Products_Data1(), FertiliserProducts[[#Headers],[Company]],1)</f>
        <v>10</v>
      </c>
      <c r="N104" s="177" t="str" cm="1">
        <f t="array" ref="N104">Common_InputFunctions.Utility_DisplayArrayInTable(Fertiliser_SourceData.Fertiliser_Products_Data1(), FertiliserProducts[[#Headers],[Company]],1)</f>
        <v/>
      </c>
      <c r="O104" s="177" t="str" cm="1">
        <f t="array" ref="O104">Common_InputFunctions.Utility_DisplayArrayInTable(Fertiliser_SourceData.Fertiliser_Products_Data1(), FertiliserProducts[[#Headers],[Company]],1)</f>
        <v>Urea</v>
      </c>
      <c r="P104" s="177" cm="1">
        <f t="array" ref="P104">Common_InputFunctions.Utility_DisplayArrayInTable(Fertiliser_SourceData.Fertiliser_Products_Data1(), FertiliserProducts[[#Headers],[Company]],1)</f>
        <v>0.19565199999999999</v>
      </c>
      <c r="Q104" s="177" t="str" cm="1">
        <f t="array" ref="Q104">Common_InputFunctions.Utility_DisplayArrayInTable(Fertiliser_SourceData.Fertiliser_Products_Data1(), FertiliserProducts[[#Headers],[Company]],1)</f>
        <v>Potassium - Generic</v>
      </c>
      <c r="R104" s="177" cm="1">
        <f t="array" ref="R104">Common_InputFunctions.Utility_DisplayArrayInTable(Fertiliser_SourceData.Fertiliser_Products_Data1(), FertiliserProducts[[#Headers],[Company]],1)</f>
        <v>0.1</v>
      </c>
      <c r="S104" s="177" t="str" cm="1">
        <f t="array" ref="S104">Common_InputFunctions.Utility_DisplayArrayInTable(Fertiliser_SourceData.Fertiliser_Products_Data1(), FertiliserProducts[[#Headers],[Company]],1)</f>
        <v>Nitrogen - Generic</v>
      </c>
      <c r="T104" s="177" cm="1">
        <f t="array" ref="T104">Common_InputFunctions.Utility_DisplayArrayInTable(Fertiliser_SourceData.Fertiliser_Products_Data1(), FertiliserProducts[[#Headers],[Company]],1)</f>
        <v>0.03</v>
      </c>
      <c r="U104" s="177" t="str" cm="1">
        <f t="array" ref="U104">Common_InputFunctions.Utility_DisplayArrayInTable(Fertiliser_SourceData.Fertiliser_Products_Data1(), FertiliserProducts[[#Headers],[Company]],1)</f>
        <v>Boron</v>
      </c>
      <c r="V104" s="177" cm="1">
        <f t="array" ref="V104">Common_InputFunctions.Utility_DisplayArrayInTable(Fertiliser_SourceData.Fertiliser_Products_Data1(), FertiliserProducts[[#Headers],[Company]],1)</f>
        <v>5.0000000000000001E-3</v>
      </c>
      <c r="W104" s="177" t="str" cm="1">
        <f t="array" ref="W104">Common_InputFunctions.Utility_DisplayArrayInTable(Fertiliser_SourceData.Fertiliser_Products_Data1(), FertiliserProducts[[#Headers],[Company]],1)</f>
        <v/>
      </c>
      <c r="X104" s="177" t="str" cm="1">
        <f t="array" ref="X104">Common_InputFunctions.Utility_DisplayArrayInTable(Fertiliser_SourceData.Fertiliser_Products_Data1(), FertiliserProducts[[#Headers],[Company]],1)</f>
        <v/>
      </c>
      <c r="Y104" s="177" t="str" cm="1">
        <f t="array" ref="Y104">Common_InputFunctions.Utility_DisplayArrayInTable(Fertiliser_SourceData.Fertiliser_Products_Data1(), FertiliserProducts[[#Headers],[Company]],1)</f>
        <v/>
      </c>
      <c r="Z104" s="177" t="str" cm="1">
        <f t="array" ref="Z104">Common_InputFunctions.Utility_DisplayArrayInTable(Fertiliser_SourceData.Fertiliser_Products_Data1(), FertiliserProducts[[#Headers],[Company]],1)</f>
        <v/>
      </c>
      <c r="AA104" s="177" t="str" cm="1">
        <f t="array" ref="AA104">Common_InputFunctions.Utility_DisplayArrayInTable(Fertiliser_SourceData.Fertiliser_Products_Data1(), FertiliserProducts[[#Headers],[Company]],1)</f>
        <v/>
      </c>
      <c r="AB104" s="177" t="str" cm="1">
        <f t="array" ref="AB104">Common_InputFunctions.Utility_DisplayArrayInTable(Fertiliser_SourceData.Fertiliser_Products_Data1(), FertiliserProducts[[#Headers],[Company]],1)</f>
        <v/>
      </c>
      <c r="AC104" s="177" t="str" cm="1">
        <f t="array" ref="AC104">Common_InputFunctions.Utility_DisplayArrayInTable(Fertiliser_SourceData.Fertiliser_Products_Data1(), FertiliserProducts[[#Headers],[Company]],1)</f>
        <v/>
      </c>
      <c r="AD104" s="177" t="str" cm="1">
        <f t="array" ref="AD104">Common_InputFunctions.Utility_DisplayArrayInTable(Fertiliser_SourceData.Fertiliser_Products_Data1(), FertiliserProducts[[#Headers],[Company]],1)</f>
        <v/>
      </c>
      <c r="AE104" s="177" t="str" cm="1">
        <f t="array" ref="AE104">Common_InputFunctions.Utility_DisplayArrayInTable(Fertiliser_SourceData.Fertiliser_Products_Data1(), FertiliserProducts[[#Headers],[Company]],1)</f>
        <v/>
      </c>
      <c r="AF104" s="177" t="str" cm="1">
        <f t="array" ref="AF104">Common_InputFunctions.Utility_DisplayArrayInTable(Fertiliser_SourceData.Fertiliser_Products_Data1(), FertiliserProducts[[#Headers],[Company]],1)</f>
        <v/>
      </c>
      <c r="AG104" s="177" t="str" cm="1">
        <f t="array" ref="AG104">Common_InputFunctions.Utility_DisplayArrayInTable(Fertiliser_SourceData.Fertiliser_Products_Data1(), FertiliserProducts[[#Headers],[Company]],1)</f>
        <v/>
      </c>
      <c r="AH104" s="177" t="str" cm="1">
        <f t="array" ref="AH104">Common_InputFunctions.Utility_DisplayArrayInTable(Fertiliser_SourceData.Fertiliser_Products_Data1(), FertiliserProducts[[#Headers],[Company]],1)</f>
        <v/>
      </c>
      <c r="AK104" s="1"/>
      <c r="AL104" s="1"/>
      <c r="AM104" s="1"/>
    </row>
    <row r="105" spans="4:39" ht="20" customHeight="1" x14ac:dyDescent="0.25">
      <c r="D105" s="177" t="str" cm="1">
        <f t="array" ref="D105">Common_InputFunctions.Utility_DisplayArrayInTable(Fertiliser_SourceData.Fertiliser_Products_Data1(), FertiliserProducts[[#Headers],[Company]],1)</f>
        <v>Campbells fertilisers Australia</v>
      </c>
      <c r="E105" s="177" t="str" cm="1">
        <f t="array" ref="E105">Common_InputFunctions.Utility_DisplayArrayInTable(Fertiliser_SourceData.Fertiliser_Products_Data1(), FertiliserProducts[[#Headers],[Company]],1)</f>
        <v>Maximum Quick-N</v>
      </c>
      <c r="F105" s="177" t="str" cm="1">
        <f t="array" ref="F105">Common_InputFunctions.Utility_DisplayArrayInTable(Fertiliser_SourceData.Fertiliser_Products_Data1(), FertiliserProducts[[#Headers],[Company]],1)</f>
        <v>kg</v>
      </c>
      <c r="G105" s="177" cm="1">
        <f t="array" ref="G105">Common_InputFunctions.Utility_DisplayArrayInTable(Fertiliser_SourceData.Fertiliser_Products_Data1(), FertiliserProducts[[#Headers],[Company]],1)</f>
        <v>1</v>
      </c>
      <c r="H105" s="177" t="str" cm="1">
        <f t="array" ref="H105">Common_InputFunctions.Utility_DisplayArrayInTable(Fertiliser_SourceData.Fertiliser_Products_Data1(), FertiliserProducts[[#Headers],[Company]],1)</f>
        <v/>
      </c>
      <c r="I105" s="177" t="str" cm="1">
        <f t="array" ref="I105">Common_InputFunctions.Utility_DisplayArrayInTable(Fertiliser_SourceData.Fertiliser_Products_Data1(), FertiliserProducts[[#Headers],[Company]],1)</f>
        <v/>
      </c>
      <c r="J105" s="177" t="str" cm="1">
        <f t="array" ref="J105">Common_InputFunctions.Utility_DisplayArrayInTable(Fertiliser_SourceData.Fertiliser_Products_Data1(), FertiliserProducts[[#Headers],[Company]],1)</f>
        <v/>
      </c>
      <c r="K105" s="177" cm="1">
        <f t="array" ref="K105">Common_InputFunctions.Utility_DisplayArrayInTable(Fertiliser_SourceData.Fertiliser_Products_Data1(), FertiliserProducts[[#Headers],[Company]],1)</f>
        <v>21.66</v>
      </c>
      <c r="L105" s="177" t="str" cm="1">
        <f t="array" ref="L105">Common_InputFunctions.Utility_DisplayArrayInTable(Fertiliser_SourceData.Fertiliser_Products_Data1(), FertiliserProducts[[#Headers],[Company]],1)</f>
        <v/>
      </c>
      <c r="M105" s="177" t="str" cm="1">
        <f t="array" ref="M105">Common_InputFunctions.Utility_DisplayArrayInTable(Fertiliser_SourceData.Fertiliser_Products_Data1(), FertiliserProducts[[#Headers],[Company]],1)</f>
        <v/>
      </c>
      <c r="N105" s="177" cm="1">
        <f t="array" ref="N105">Common_InputFunctions.Utility_DisplayArrayInTable(Fertiliser_SourceData.Fertiliser_Products_Data1(), FertiliserProducts[[#Headers],[Company]],1)</f>
        <v>13.2</v>
      </c>
      <c r="O105" s="177" t="str" cm="1">
        <f t="array" ref="O105">Common_InputFunctions.Utility_DisplayArrayInTable(Fertiliser_SourceData.Fertiliser_Products_Data1(), FertiliserProducts[[#Headers],[Company]],1)</f>
        <v>Sulphate of ammonia (SOA)</v>
      </c>
      <c r="P105" s="177" cm="1">
        <f t="array" ref="P105">Common_InputFunctions.Utility_DisplayArrayInTable(Fertiliser_SourceData.Fertiliser_Products_Data1(), FertiliserProducts[[#Headers],[Company]],1)</f>
        <v>0.55000000000000004</v>
      </c>
      <c r="Q105" s="177" t="str" cm="1">
        <f t="array" ref="Q105">Common_InputFunctions.Utility_DisplayArrayInTable(Fertiliser_SourceData.Fertiliser_Products_Data1(), FertiliserProducts[[#Headers],[Company]],1)</f>
        <v>Ammonium nitrate (AN)</v>
      </c>
      <c r="R105" s="177" cm="1">
        <f t="array" ref="R105">Common_InputFunctions.Utility_DisplayArrayInTable(Fertiliser_SourceData.Fertiliser_Products_Data1(), FertiliserProducts[[#Headers],[Company]],1)</f>
        <v>0.3</v>
      </c>
      <c r="S105" s="177" t="str" cm="1">
        <f t="array" ref="S105">Common_InputFunctions.Utility_DisplayArrayInTable(Fertiliser_SourceData.Fertiliser_Products_Data1(), FertiliserProducts[[#Headers],[Company]],1)</f>
        <v/>
      </c>
      <c r="T105" s="177" t="str" cm="1">
        <f t="array" ref="T105">Common_InputFunctions.Utility_DisplayArrayInTable(Fertiliser_SourceData.Fertiliser_Products_Data1(), FertiliserProducts[[#Headers],[Company]],1)</f>
        <v/>
      </c>
      <c r="U105" s="177" t="str" cm="1">
        <f t="array" ref="U105">Common_InputFunctions.Utility_DisplayArrayInTable(Fertiliser_SourceData.Fertiliser_Products_Data1(), FertiliserProducts[[#Headers],[Company]],1)</f>
        <v/>
      </c>
      <c r="V105" s="177" t="str" cm="1">
        <f t="array" ref="V105">Common_InputFunctions.Utility_DisplayArrayInTable(Fertiliser_SourceData.Fertiliser_Products_Data1(), FertiliserProducts[[#Headers],[Company]],1)</f>
        <v/>
      </c>
      <c r="W105" s="177" t="str" cm="1">
        <f t="array" ref="W105">Common_InputFunctions.Utility_DisplayArrayInTable(Fertiliser_SourceData.Fertiliser_Products_Data1(), FertiliserProducts[[#Headers],[Company]],1)</f>
        <v/>
      </c>
      <c r="X105" s="177" t="str" cm="1">
        <f t="array" ref="X105">Common_InputFunctions.Utility_DisplayArrayInTable(Fertiliser_SourceData.Fertiliser_Products_Data1(), FertiliserProducts[[#Headers],[Company]],1)</f>
        <v/>
      </c>
      <c r="Y105" s="177" t="str" cm="1">
        <f t="array" ref="Y105">Common_InputFunctions.Utility_DisplayArrayInTable(Fertiliser_SourceData.Fertiliser_Products_Data1(), FertiliserProducts[[#Headers],[Company]],1)</f>
        <v/>
      </c>
      <c r="Z105" s="177" t="str" cm="1">
        <f t="array" ref="Z105">Common_InputFunctions.Utility_DisplayArrayInTable(Fertiliser_SourceData.Fertiliser_Products_Data1(), FertiliserProducts[[#Headers],[Company]],1)</f>
        <v/>
      </c>
      <c r="AA105" s="177" t="str" cm="1">
        <f t="array" ref="AA105">Common_InputFunctions.Utility_DisplayArrayInTable(Fertiliser_SourceData.Fertiliser_Products_Data1(), FertiliserProducts[[#Headers],[Company]],1)</f>
        <v/>
      </c>
      <c r="AB105" s="177" t="str" cm="1">
        <f t="array" ref="AB105">Common_InputFunctions.Utility_DisplayArrayInTable(Fertiliser_SourceData.Fertiliser_Products_Data1(), FertiliserProducts[[#Headers],[Company]],1)</f>
        <v/>
      </c>
      <c r="AC105" s="177" t="str" cm="1">
        <f t="array" ref="AC105">Common_InputFunctions.Utility_DisplayArrayInTable(Fertiliser_SourceData.Fertiliser_Products_Data1(), FertiliserProducts[[#Headers],[Company]],1)</f>
        <v/>
      </c>
      <c r="AD105" s="177" t="str" cm="1">
        <f t="array" ref="AD105">Common_InputFunctions.Utility_DisplayArrayInTable(Fertiliser_SourceData.Fertiliser_Products_Data1(), FertiliserProducts[[#Headers],[Company]],1)</f>
        <v/>
      </c>
      <c r="AE105" s="177" t="str" cm="1">
        <f t="array" ref="AE105">Common_InputFunctions.Utility_DisplayArrayInTable(Fertiliser_SourceData.Fertiliser_Products_Data1(), FertiliserProducts[[#Headers],[Company]],1)</f>
        <v/>
      </c>
      <c r="AF105" s="177" t="str" cm="1">
        <f t="array" ref="AF105">Common_InputFunctions.Utility_DisplayArrayInTable(Fertiliser_SourceData.Fertiliser_Products_Data1(), FertiliserProducts[[#Headers],[Company]],1)</f>
        <v/>
      </c>
      <c r="AG105" s="177" t="str" cm="1">
        <f t="array" ref="AG105">Common_InputFunctions.Utility_DisplayArrayInTable(Fertiliser_SourceData.Fertiliser_Products_Data1(), FertiliserProducts[[#Headers],[Company]],1)</f>
        <v/>
      </c>
      <c r="AH105" s="177" t="str" cm="1">
        <f t="array" ref="AH105">Common_InputFunctions.Utility_DisplayArrayInTable(Fertiliser_SourceData.Fertiliser_Products_Data1(), FertiliserProducts[[#Headers],[Company]],1)</f>
        <v/>
      </c>
      <c r="AK105" s="1"/>
      <c r="AL105" s="1"/>
      <c r="AM105" s="1"/>
    </row>
    <row r="106" spans="4:39" ht="20" customHeight="1" x14ac:dyDescent="0.25">
      <c r="D106" s="177" t="str" cm="1">
        <f t="array" ref="D106">Common_InputFunctions.Utility_DisplayArrayInTable(Fertiliser_SourceData.Fertiliser_Products_Data1(), FertiliserProducts[[#Headers],[Company]],1)</f>
        <v>SL Tec</v>
      </c>
      <c r="E106" s="177" t="str" cm="1">
        <f t="array" ref="E106">Common_InputFunctions.Utility_DisplayArrayInTable(Fertiliser_SourceData.Fertiliser_Products_Data1(), FertiliserProducts[[#Headers],[Company]],1)</f>
        <v>Crop Booster PLUS</v>
      </c>
      <c r="F106" s="177" t="str" cm="1">
        <f t="array" ref="F106">Common_InputFunctions.Utility_DisplayArrayInTable(Fertiliser_SourceData.Fertiliser_Products_Data1(), FertiliserProducts[[#Headers],[Company]],1)</f>
        <v>L</v>
      </c>
      <c r="G106" s="177" cm="1">
        <f t="array" ref="G106">Common_InputFunctions.Utility_DisplayArrayInTable(Fertiliser_SourceData.Fertiliser_Products_Data1(), FertiliserProducts[[#Headers],[Company]],1)</f>
        <v>1.319</v>
      </c>
      <c r="H106" s="177" t="str" cm="1">
        <f t="array" ref="H106">Common_InputFunctions.Utility_DisplayArrayInTable(Fertiliser_SourceData.Fertiliser_Products_Data1(), FertiliserProducts[[#Headers],[Company]],1)</f>
        <v/>
      </c>
      <c r="I106" s="177" t="str" cm="1">
        <f t="array" ref="I106">Common_InputFunctions.Utility_DisplayArrayInTable(Fertiliser_SourceData.Fertiliser_Products_Data1(), FertiliserProducts[[#Headers],[Company]],1)</f>
        <v/>
      </c>
      <c r="J106" s="177" t="str" cm="1">
        <f t="array" ref="J106">Common_InputFunctions.Utility_DisplayArrayInTable(Fertiliser_SourceData.Fertiliser_Products_Data1(), FertiliserProducts[[#Headers],[Company]],1)</f>
        <v/>
      </c>
      <c r="K106" s="177" cm="1">
        <f t="array" ref="K106">Common_InputFunctions.Utility_DisplayArrayInTable(Fertiliser_SourceData.Fertiliser_Products_Data1(), FertiliserProducts[[#Headers],[Company]],1)</f>
        <v>5</v>
      </c>
      <c r="L106" s="177" cm="1">
        <f t="array" ref="L106">Common_InputFunctions.Utility_DisplayArrayInTable(Fertiliser_SourceData.Fertiliser_Products_Data1(), FertiliserProducts[[#Headers],[Company]],1)</f>
        <v>15</v>
      </c>
      <c r="M106" s="177" cm="1">
        <f t="array" ref="M106">Common_InputFunctions.Utility_DisplayArrayInTable(Fertiliser_SourceData.Fertiliser_Products_Data1(), FertiliserProducts[[#Headers],[Company]],1)</f>
        <v>2.1</v>
      </c>
      <c r="N106" s="177" t="str" cm="1">
        <f t="array" ref="N106">Common_InputFunctions.Utility_DisplayArrayInTable(Fertiliser_SourceData.Fertiliser_Products_Data1(), FertiliserProducts[[#Headers],[Company]],1)</f>
        <v/>
      </c>
      <c r="O106" s="177" t="str" cm="1">
        <f t="array" ref="O106">Common_InputFunctions.Utility_DisplayArrayInTable(Fertiliser_SourceData.Fertiliser_Products_Data1(), FertiliserProducts[[#Headers],[Company]],1)</f>
        <v>Phosphorus - Generic</v>
      </c>
      <c r="P106" s="177" cm="1">
        <f t="array" ref="P106">Common_InputFunctions.Utility_DisplayArrayInTable(Fertiliser_SourceData.Fertiliser_Products_Data1(), FertiliserProducts[[#Headers],[Company]],1)</f>
        <v>0.15</v>
      </c>
      <c r="Q106" s="177" t="str" cm="1">
        <f t="array" ref="Q106">Common_InputFunctions.Utility_DisplayArrayInTable(Fertiliser_SourceData.Fertiliser_Products_Data1(), FertiliserProducts[[#Headers],[Company]],1)</f>
        <v>Calcium</v>
      </c>
      <c r="R106" s="177" cm="1">
        <f t="array" ref="R106">Common_InputFunctions.Utility_DisplayArrayInTable(Fertiliser_SourceData.Fertiliser_Products_Data1(), FertiliserProducts[[#Headers],[Company]],1)</f>
        <v>0.04</v>
      </c>
      <c r="S106" s="177" t="str" cm="1">
        <f t="array" ref="S106">Common_InputFunctions.Utility_DisplayArrayInTable(Fertiliser_SourceData.Fertiliser_Products_Data1(), FertiliserProducts[[#Headers],[Company]],1)</f>
        <v>Nitrogen - Ammoniacal</v>
      </c>
      <c r="T106" s="177" cm="1">
        <f t="array" ref="T106">Common_InputFunctions.Utility_DisplayArrayInTable(Fertiliser_SourceData.Fertiliser_Products_Data1(), FertiliserProducts[[#Headers],[Company]],1)</f>
        <v>2.9000000000000001E-2</v>
      </c>
      <c r="U106" s="177" t="str" cm="1">
        <f t="array" ref="U106">Common_InputFunctions.Utility_DisplayArrayInTable(Fertiliser_SourceData.Fertiliser_Products_Data1(), FertiliserProducts[[#Headers],[Company]],1)</f>
        <v>Nitrogen - Nitrate</v>
      </c>
      <c r="V106" s="177" cm="1">
        <f t="array" ref="V106">Common_InputFunctions.Utility_DisplayArrayInTable(Fertiliser_SourceData.Fertiliser_Products_Data1(), FertiliserProducts[[#Headers],[Company]],1)</f>
        <v>2.1000000000000001E-2</v>
      </c>
      <c r="W106" s="177" t="str" cm="1">
        <f t="array" ref="W106">Common_InputFunctions.Utility_DisplayArrayInTable(Fertiliser_SourceData.Fertiliser_Products_Data1(), FertiliserProducts[[#Headers],[Company]],1)</f>
        <v>Potassium - Generic</v>
      </c>
      <c r="X106" s="177" cm="1">
        <f t="array" ref="X106">Common_InputFunctions.Utility_DisplayArrayInTable(Fertiliser_SourceData.Fertiliser_Products_Data1(), FertiliserProducts[[#Headers],[Company]],1)</f>
        <v>2.1000000000000001E-2</v>
      </c>
      <c r="Y106" s="177" t="str" cm="1">
        <f t="array" ref="Y106">Common_InputFunctions.Utility_DisplayArrayInTable(Fertiliser_SourceData.Fertiliser_Products_Data1(), FertiliserProducts[[#Headers],[Company]],1)</f>
        <v>Copper</v>
      </c>
      <c r="Z106" s="177" cm="1">
        <f t="array" ref="Z106">Common_InputFunctions.Utility_DisplayArrayInTable(Fertiliser_SourceData.Fertiliser_Products_Data1(), FertiliserProducts[[#Headers],[Company]],1)</f>
        <v>5.0000000000000001E-3</v>
      </c>
      <c r="AA106" s="177" t="str" cm="1">
        <f t="array" ref="AA106">Common_InputFunctions.Utility_DisplayArrayInTable(Fertiliser_SourceData.Fertiliser_Products_Data1(), FertiliserProducts[[#Headers],[Company]],1)</f>
        <v>Zinc</v>
      </c>
      <c r="AB106" s="177" cm="1">
        <f t="array" ref="AB106">Common_InputFunctions.Utility_DisplayArrayInTable(Fertiliser_SourceData.Fertiliser_Products_Data1(), FertiliserProducts[[#Headers],[Company]],1)</f>
        <v>4.0000000000000001E-3</v>
      </c>
      <c r="AC106" s="177" t="str" cm="1">
        <f t="array" ref="AC106">Common_InputFunctions.Utility_DisplayArrayInTable(Fertiliser_SourceData.Fertiliser_Products_Data1(), FertiliserProducts[[#Headers],[Company]],1)</f>
        <v>Manganese</v>
      </c>
      <c r="AD106" s="177" cm="1">
        <f t="array" ref="AD106">Common_InputFunctions.Utility_DisplayArrayInTable(Fertiliser_SourceData.Fertiliser_Products_Data1(), FertiliserProducts[[#Headers],[Company]],1)</f>
        <v>4.0000000000000001E-3</v>
      </c>
      <c r="AE106" s="177" t="str" cm="1">
        <f t="array" ref="AE106">Common_InputFunctions.Utility_DisplayArrayInTable(Fertiliser_SourceData.Fertiliser_Products_Data1(), FertiliserProducts[[#Headers],[Company]],1)</f>
        <v>Magnesium</v>
      </c>
      <c r="AF106" s="177" cm="1">
        <f t="array" ref="AF106">Common_InputFunctions.Utility_DisplayArrayInTable(Fertiliser_SourceData.Fertiliser_Products_Data1(), FertiliserProducts[[#Headers],[Company]],1)</f>
        <v>2E-3</v>
      </c>
      <c r="AG106" s="177" t="str" cm="1">
        <f t="array" ref="AG106">Common_InputFunctions.Utility_DisplayArrayInTable(Fertiliser_SourceData.Fertiliser_Products_Data1(), FertiliserProducts[[#Headers],[Company]],1)</f>
        <v/>
      </c>
      <c r="AH106" s="177" t="str" cm="1">
        <f t="array" ref="AH106">Common_InputFunctions.Utility_DisplayArrayInTable(Fertiliser_SourceData.Fertiliser_Products_Data1(), FertiliserProducts[[#Headers],[Company]],1)</f>
        <v/>
      </c>
      <c r="AK106" s="1"/>
      <c r="AL106" s="1"/>
      <c r="AM106" s="1"/>
    </row>
    <row r="107" spans="4:39" ht="20" customHeight="1" x14ac:dyDescent="0.25">
      <c r="D107" s="177" t="str" cm="1">
        <f t="array" ref="D107">Common_InputFunctions.Utility_DisplayArrayInTable(Fertiliser_SourceData.Fertiliser_Products_Data1(), FertiliserProducts[[#Headers],[Company]],1)</f>
        <v>Risso-Chemical</v>
      </c>
      <c r="E107" s="177" t="str" cm="1">
        <f t="array" ref="E107">Common_InputFunctions.Utility_DisplayArrayInTable(Fertiliser_SourceData.Fertiliser_Products_Data1(), FertiliserProducts[[#Headers],[Company]],1)</f>
        <v>Ammonium Bicarbonate</v>
      </c>
      <c r="F107" s="177" t="str" cm="1">
        <f t="array" ref="F107">Common_InputFunctions.Utility_DisplayArrayInTable(Fertiliser_SourceData.Fertiliser_Products_Data1(), FertiliserProducts[[#Headers],[Company]],1)</f>
        <v>kg</v>
      </c>
      <c r="G107" s="177" cm="1">
        <f t="array" ref="G107">Common_InputFunctions.Utility_DisplayArrayInTable(Fertiliser_SourceData.Fertiliser_Products_Data1(), FertiliserProducts[[#Headers],[Company]],1)</f>
        <v>1</v>
      </c>
      <c r="H107" s="177" t="str" cm="1">
        <f t="array" ref="H107">Common_InputFunctions.Utility_DisplayArrayInTable(Fertiliser_SourceData.Fertiliser_Products_Data1(), FertiliserProducts[[#Headers],[Company]],1)</f>
        <v/>
      </c>
      <c r="I107" s="177" t="str" cm="1">
        <f t="array" ref="I107">Common_InputFunctions.Utility_DisplayArrayInTable(Fertiliser_SourceData.Fertiliser_Products_Data1(), FertiliserProducts[[#Headers],[Company]],1)</f>
        <v/>
      </c>
      <c r="J107" s="177" t="str" cm="1">
        <f t="array" ref="J107">Common_InputFunctions.Utility_DisplayArrayInTable(Fertiliser_SourceData.Fertiliser_Products_Data1(), FertiliserProducts[[#Headers],[Company]],1)</f>
        <v>China</v>
      </c>
      <c r="K107" s="177" cm="1">
        <f t="array" ref="K107">Common_InputFunctions.Utility_DisplayArrayInTable(Fertiliser_SourceData.Fertiliser_Products_Data1(), FertiliserProducts[[#Headers],[Company]],1)</f>
        <v>17.7</v>
      </c>
      <c r="L107" s="177" t="str" cm="1">
        <f t="array" ref="L107">Common_InputFunctions.Utility_DisplayArrayInTable(Fertiliser_SourceData.Fertiliser_Products_Data1(), FertiliserProducts[[#Headers],[Company]],1)</f>
        <v/>
      </c>
      <c r="M107" s="177" t="str" cm="1">
        <f t="array" ref="M107">Common_InputFunctions.Utility_DisplayArrayInTable(Fertiliser_SourceData.Fertiliser_Products_Data1(), FertiliserProducts[[#Headers],[Company]],1)</f>
        <v/>
      </c>
      <c r="N107" s="177" t="str" cm="1">
        <f t="array" ref="N107">Common_InputFunctions.Utility_DisplayArrayInTable(Fertiliser_SourceData.Fertiliser_Products_Data1(), FertiliserProducts[[#Headers],[Company]],1)</f>
        <v/>
      </c>
      <c r="O107" s="177" t="str" cm="1">
        <f t="array" ref="O107">Common_InputFunctions.Utility_DisplayArrayInTable(Fertiliser_SourceData.Fertiliser_Products_Data1(), FertiliserProducts[[#Headers],[Company]],1)</f>
        <v>Nitrogen - Ammoniacal</v>
      </c>
      <c r="P107" s="177" cm="1">
        <f t="array" ref="P107">Common_InputFunctions.Utility_DisplayArrayInTable(Fertiliser_SourceData.Fertiliser_Products_Data1(), FertiliserProducts[[#Headers],[Company]],1)</f>
        <v>0.17699999999999999</v>
      </c>
      <c r="Q107" s="177" t="str" cm="1">
        <f t="array" ref="Q107">Common_InputFunctions.Utility_DisplayArrayInTable(Fertiliser_SourceData.Fertiliser_Products_Data1(), FertiliserProducts[[#Headers],[Company]],1)</f>
        <v/>
      </c>
      <c r="R107" s="177" t="str" cm="1">
        <f t="array" ref="R107">Common_InputFunctions.Utility_DisplayArrayInTable(Fertiliser_SourceData.Fertiliser_Products_Data1(), FertiliserProducts[[#Headers],[Company]],1)</f>
        <v/>
      </c>
      <c r="S107" s="177" t="str" cm="1">
        <f t="array" ref="S107">Common_InputFunctions.Utility_DisplayArrayInTable(Fertiliser_SourceData.Fertiliser_Products_Data1(), FertiliserProducts[[#Headers],[Company]],1)</f>
        <v/>
      </c>
      <c r="T107" s="177" t="str" cm="1">
        <f t="array" ref="T107">Common_InputFunctions.Utility_DisplayArrayInTable(Fertiliser_SourceData.Fertiliser_Products_Data1(), FertiliserProducts[[#Headers],[Company]],1)</f>
        <v/>
      </c>
      <c r="U107" s="177" t="str" cm="1">
        <f t="array" ref="U107">Common_InputFunctions.Utility_DisplayArrayInTable(Fertiliser_SourceData.Fertiliser_Products_Data1(), FertiliserProducts[[#Headers],[Company]],1)</f>
        <v/>
      </c>
      <c r="V107" s="177" t="str" cm="1">
        <f t="array" ref="V107">Common_InputFunctions.Utility_DisplayArrayInTable(Fertiliser_SourceData.Fertiliser_Products_Data1(), FertiliserProducts[[#Headers],[Company]],1)</f>
        <v/>
      </c>
      <c r="W107" s="177" t="str" cm="1">
        <f t="array" ref="W107">Common_InputFunctions.Utility_DisplayArrayInTable(Fertiliser_SourceData.Fertiliser_Products_Data1(), FertiliserProducts[[#Headers],[Company]],1)</f>
        <v/>
      </c>
      <c r="X107" s="177" t="str" cm="1">
        <f t="array" ref="X107">Common_InputFunctions.Utility_DisplayArrayInTable(Fertiliser_SourceData.Fertiliser_Products_Data1(), FertiliserProducts[[#Headers],[Company]],1)</f>
        <v/>
      </c>
      <c r="Y107" s="177" t="str" cm="1">
        <f t="array" ref="Y107">Common_InputFunctions.Utility_DisplayArrayInTable(Fertiliser_SourceData.Fertiliser_Products_Data1(), FertiliserProducts[[#Headers],[Company]],1)</f>
        <v/>
      </c>
      <c r="Z107" s="177" t="str" cm="1">
        <f t="array" ref="Z107">Common_InputFunctions.Utility_DisplayArrayInTable(Fertiliser_SourceData.Fertiliser_Products_Data1(), FertiliserProducts[[#Headers],[Company]],1)</f>
        <v/>
      </c>
      <c r="AA107" s="177" t="str" cm="1">
        <f t="array" ref="AA107">Common_InputFunctions.Utility_DisplayArrayInTable(Fertiliser_SourceData.Fertiliser_Products_Data1(), FertiliserProducts[[#Headers],[Company]],1)</f>
        <v/>
      </c>
      <c r="AB107" s="177" t="str" cm="1">
        <f t="array" ref="AB107">Common_InputFunctions.Utility_DisplayArrayInTable(Fertiliser_SourceData.Fertiliser_Products_Data1(), FertiliserProducts[[#Headers],[Company]],1)</f>
        <v/>
      </c>
      <c r="AC107" s="177" t="str" cm="1">
        <f t="array" ref="AC107">Common_InputFunctions.Utility_DisplayArrayInTable(Fertiliser_SourceData.Fertiliser_Products_Data1(), FertiliserProducts[[#Headers],[Company]],1)</f>
        <v/>
      </c>
      <c r="AD107" s="177" t="str" cm="1">
        <f t="array" ref="AD107">Common_InputFunctions.Utility_DisplayArrayInTable(Fertiliser_SourceData.Fertiliser_Products_Data1(), FertiliserProducts[[#Headers],[Company]],1)</f>
        <v/>
      </c>
      <c r="AE107" s="177" t="str" cm="1">
        <f t="array" ref="AE107">Common_InputFunctions.Utility_DisplayArrayInTable(Fertiliser_SourceData.Fertiliser_Products_Data1(), FertiliserProducts[[#Headers],[Company]],1)</f>
        <v/>
      </c>
      <c r="AF107" s="177" t="str" cm="1">
        <f t="array" ref="AF107">Common_InputFunctions.Utility_DisplayArrayInTable(Fertiliser_SourceData.Fertiliser_Products_Data1(), FertiliserProducts[[#Headers],[Company]],1)</f>
        <v/>
      </c>
      <c r="AG107" s="177" t="str" cm="1">
        <f t="array" ref="AG107">Common_InputFunctions.Utility_DisplayArrayInTable(Fertiliser_SourceData.Fertiliser_Products_Data1(), FertiliserProducts[[#Headers],[Company]],1)</f>
        <v/>
      </c>
      <c r="AH107" s="177" t="str" cm="1">
        <f t="array" ref="AH107">Common_InputFunctions.Utility_DisplayArrayInTable(Fertiliser_SourceData.Fertiliser_Products_Data1(), FertiliserProducts[[#Headers],[Company]],1)</f>
        <v/>
      </c>
      <c r="AK107" s="1"/>
      <c r="AL107" s="1"/>
      <c r="AM107" s="1"/>
    </row>
    <row r="108" spans="4:39" ht="20" customHeight="1" x14ac:dyDescent="0.25">
      <c r="D108" s="177" t="str" cm="1">
        <f t="array" ref="D108">Common_InputFunctions.Utility_DisplayArrayInTable(Fertiliser_SourceData.Fertiliser_Products_Data1(), FertiliserProducts[[#Headers],[Company]],1)</f>
        <v>Risso-Chemical</v>
      </c>
      <c r="E108" s="177" t="str" cm="1">
        <f t="array" ref="E108">Common_InputFunctions.Utility_DisplayArrayInTable(Fertiliser_SourceData.Fertiliser_Products_Data1(), FertiliserProducts[[#Headers],[Company]],1)</f>
        <v>Ammonium Sulfate</v>
      </c>
      <c r="F108" s="177" t="str" cm="1">
        <f t="array" ref="F108">Common_InputFunctions.Utility_DisplayArrayInTable(Fertiliser_SourceData.Fertiliser_Products_Data1(), FertiliserProducts[[#Headers],[Company]],1)</f>
        <v>kg</v>
      </c>
      <c r="G108" s="177" cm="1">
        <f t="array" ref="G108">Common_InputFunctions.Utility_DisplayArrayInTable(Fertiliser_SourceData.Fertiliser_Products_Data1(), FertiliserProducts[[#Headers],[Company]],1)</f>
        <v>1</v>
      </c>
      <c r="H108" s="177" t="str" cm="1">
        <f t="array" ref="H108">Common_InputFunctions.Utility_DisplayArrayInTable(Fertiliser_SourceData.Fertiliser_Products_Data1(), FertiliserProducts[[#Headers],[Company]],1)</f>
        <v/>
      </c>
      <c r="I108" s="177" t="str" cm="1">
        <f t="array" ref="I108">Common_InputFunctions.Utility_DisplayArrayInTable(Fertiliser_SourceData.Fertiliser_Products_Data1(), FertiliserProducts[[#Headers],[Company]],1)</f>
        <v/>
      </c>
      <c r="J108" s="177" t="str" cm="1">
        <f t="array" ref="J108">Common_InputFunctions.Utility_DisplayArrayInTable(Fertiliser_SourceData.Fertiliser_Products_Data1(), FertiliserProducts[[#Headers],[Company]],1)</f>
        <v>China</v>
      </c>
      <c r="K108" s="177" cm="1">
        <f t="array" ref="K108">Common_InputFunctions.Utility_DisplayArrayInTable(Fertiliser_SourceData.Fertiliser_Products_Data1(), FertiliserProducts[[#Headers],[Company]],1)</f>
        <v>21</v>
      </c>
      <c r="L108" s="177" t="str" cm="1">
        <f t="array" ref="L108">Common_InputFunctions.Utility_DisplayArrayInTable(Fertiliser_SourceData.Fertiliser_Products_Data1(), FertiliserProducts[[#Headers],[Company]],1)</f>
        <v/>
      </c>
      <c r="M108" s="177" t="str" cm="1">
        <f t="array" ref="M108">Common_InputFunctions.Utility_DisplayArrayInTable(Fertiliser_SourceData.Fertiliser_Products_Data1(), FertiliserProducts[[#Headers],[Company]],1)</f>
        <v/>
      </c>
      <c r="N108" s="177" cm="1">
        <f t="array" ref="N108">Common_InputFunctions.Utility_DisplayArrayInTable(Fertiliser_SourceData.Fertiliser_Products_Data1(), FertiliserProducts[[#Headers],[Company]],1)</f>
        <v>24</v>
      </c>
      <c r="O108" s="177" t="str" cm="1">
        <f t="array" ref="O108">Common_InputFunctions.Utility_DisplayArrayInTable(Fertiliser_SourceData.Fertiliser_Products_Data1(), FertiliserProducts[[#Headers],[Company]],1)</f>
        <v>Sulfur - Generic</v>
      </c>
      <c r="P108" s="177" cm="1">
        <f t="array" ref="P108">Common_InputFunctions.Utility_DisplayArrayInTable(Fertiliser_SourceData.Fertiliser_Products_Data1(), FertiliserProducts[[#Headers],[Company]],1)</f>
        <v>0.24</v>
      </c>
      <c r="Q108" s="177" t="str" cm="1">
        <f t="array" ref="Q108">Common_InputFunctions.Utility_DisplayArrayInTable(Fertiliser_SourceData.Fertiliser_Products_Data1(), FertiliserProducts[[#Headers],[Company]],1)</f>
        <v>Nitrogen - Ammoniacal</v>
      </c>
      <c r="R108" s="177" cm="1">
        <f t="array" ref="R108">Common_InputFunctions.Utility_DisplayArrayInTable(Fertiliser_SourceData.Fertiliser_Products_Data1(), FertiliserProducts[[#Headers],[Company]],1)</f>
        <v>0.21</v>
      </c>
      <c r="S108" s="177" t="str" cm="1">
        <f t="array" ref="S108">Common_InputFunctions.Utility_DisplayArrayInTable(Fertiliser_SourceData.Fertiliser_Products_Data1(), FertiliserProducts[[#Headers],[Company]],1)</f>
        <v/>
      </c>
      <c r="T108" s="177" t="str" cm="1">
        <f t="array" ref="T108">Common_InputFunctions.Utility_DisplayArrayInTable(Fertiliser_SourceData.Fertiliser_Products_Data1(), FertiliserProducts[[#Headers],[Company]],1)</f>
        <v/>
      </c>
      <c r="U108" s="177" t="str" cm="1">
        <f t="array" ref="U108">Common_InputFunctions.Utility_DisplayArrayInTable(Fertiliser_SourceData.Fertiliser_Products_Data1(), FertiliserProducts[[#Headers],[Company]],1)</f>
        <v/>
      </c>
      <c r="V108" s="177" t="str" cm="1">
        <f t="array" ref="V108">Common_InputFunctions.Utility_DisplayArrayInTable(Fertiliser_SourceData.Fertiliser_Products_Data1(), FertiliserProducts[[#Headers],[Company]],1)</f>
        <v/>
      </c>
      <c r="W108" s="177" t="str" cm="1">
        <f t="array" ref="W108">Common_InputFunctions.Utility_DisplayArrayInTable(Fertiliser_SourceData.Fertiliser_Products_Data1(), FertiliserProducts[[#Headers],[Company]],1)</f>
        <v/>
      </c>
      <c r="X108" s="177" t="str" cm="1">
        <f t="array" ref="X108">Common_InputFunctions.Utility_DisplayArrayInTable(Fertiliser_SourceData.Fertiliser_Products_Data1(), FertiliserProducts[[#Headers],[Company]],1)</f>
        <v/>
      </c>
      <c r="Y108" s="177" t="str" cm="1">
        <f t="array" ref="Y108">Common_InputFunctions.Utility_DisplayArrayInTable(Fertiliser_SourceData.Fertiliser_Products_Data1(), FertiliserProducts[[#Headers],[Company]],1)</f>
        <v/>
      </c>
      <c r="Z108" s="177" t="str" cm="1">
        <f t="array" ref="Z108">Common_InputFunctions.Utility_DisplayArrayInTable(Fertiliser_SourceData.Fertiliser_Products_Data1(), FertiliserProducts[[#Headers],[Company]],1)</f>
        <v/>
      </c>
      <c r="AA108" s="177" t="str" cm="1">
        <f t="array" ref="AA108">Common_InputFunctions.Utility_DisplayArrayInTable(Fertiliser_SourceData.Fertiliser_Products_Data1(), FertiliserProducts[[#Headers],[Company]],1)</f>
        <v/>
      </c>
      <c r="AB108" s="177" t="str" cm="1">
        <f t="array" ref="AB108">Common_InputFunctions.Utility_DisplayArrayInTable(Fertiliser_SourceData.Fertiliser_Products_Data1(), FertiliserProducts[[#Headers],[Company]],1)</f>
        <v/>
      </c>
      <c r="AC108" s="177" t="str" cm="1">
        <f t="array" ref="AC108">Common_InputFunctions.Utility_DisplayArrayInTable(Fertiliser_SourceData.Fertiliser_Products_Data1(), FertiliserProducts[[#Headers],[Company]],1)</f>
        <v/>
      </c>
      <c r="AD108" s="177" t="str" cm="1">
        <f t="array" ref="AD108">Common_InputFunctions.Utility_DisplayArrayInTable(Fertiliser_SourceData.Fertiliser_Products_Data1(), FertiliserProducts[[#Headers],[Company]],1)</f>
        <v/>
      </c>
      <c r="AE108" s="177" t="str" cm="1">
        <f t="array" ref="AE108">Common_InputFunctions.Utility_DisplayArrayInTable(Fertiliser_SourceData.Fertiliser_Products_Data1(), FertiliserProducts[[#Headers],[Company]],1)</f>
        <v/>
      </c>
      <c r="AF108" s="177" t="str" cm="1">
        <f t="array" ref="AF108">Common_InputFunctions.Utility_DisplayArrayInTable(Fertiliser_SourceData.Fertiliser_Products_Data1(), FertiliserProducts[[#Headers],[Company]],1)</f>
        <v/>
      </c>
      <c r="AG108" s="177" t="str" cm="1">
        <f t="array" ref="AG108">Common_InputFunctions.Utility_DisplayArrayInTable(Fertiliser_SourceData.Fertiliser_Products_Data1(), FertiliserProducts[[#Headers],[Company]],1)</f>
        <v/>
      </c>
      <c r="AH108" s="177" t="str" cm="1">
        <f t="array" ref="AH108">Common_InputFunctions.Utility_DisplayArrayInTable(Fertiliser_SourceData.Fertiliser_Products_Data1(), FertiliserProducts[[#Headers],[Company]],1)</f>
        <v/>
      </c>
      <c r="AK108" s="1"/>
      <c r="AL108" s="1"/>
      <c r="AM108" s="1"/>
    </row>
    <row r="109" spans="4:39" ht="20" customHeight="1" x14ac:dyDescent="0.25">
      <c r="D109" s="177" t="str" cm="1">
        <f t="array" ref="D109">Common_InputFunctions.Utility_DisplayArrayInTable(Fertiliser_SourceData.Fertiliser_Products_Data1(), FertiliserProducts[[#Headers],[Company]],1)</f>
        <v>Ravensdown</v>
      </c>
      <c r="E109" s="177" t="str" cm="1">
        <f t="array" ref="E109">Common_InputFunctions.Utility_DisplayArrayInTable(Fertiliser_SourceData.Fertiliser_Products_Data1(), FertiliserProducts[[#Headers],[Company]],1)</f>
        <v>Ammonium Sulphate - Granular</v>
      </c>
      <c r="F109" s="177" t="str" cm="1">
        <f t="array" ref="F109">Common_InputFunctions.Utility_DisplayArrayInTable(Fertiliser_SourceData.Fertiliser_Products_Data1(), FertiliserProducts[[#Headers],[Company]],1)</f>
        <v>kg</v>
      </c>
      <c r="G109" s="177" cm="1">
        <f t="array" ref="G109">Common_InputFunctions.Utility_DisplayArrayInTable(Fertiliser_SourceData.Fertiliser_Products_Data1(), FertiliserProducts[[#Headers],[Company]],1)</f>
        <v>1</v>
      </c>
      <c r="H109" s="177" t="str" cm="1">
        <f t="array" ref="H109">Common_InputFunctions.Utility_DisplayArrayInTable(Fertiliser_SourceData.Fertiliser_Products_Data1(), FertiliserProducts[[#Headers],[Company]],1)</f>
        <v/>
      </c>
      <c r="I109" s="177" t="str" cm="1">
        <f t="array" ref="I109">Common_InputFunctions.Utility_DisplayArrayInTable(Fertiliser_SourceData.Fertiliser_Products_Data1(), FertiliserProducts[[#Headers],[Company]],1)</f>
        <v/>
      </c>
      <c r="J109" s="177" t="str" cm="1">
        <f t="array" ref="J109">Common_InputFunctions.Utility_DisplayArrayInTable(Fertiliser_SourceData.Fertiliser_Products_Data1(), FertiliserProducts[[#Headers],[Company]],1)</f>
        <v/>
      </c>
      <c r="K109" s="177" cm="1">
        <f t="array" ref="K109">Common_InputFunctions.Utility_DisplayArrayInTable(Fertiliser_SourceData.Fertiliser_Products_Data1(), FertiliserProducts[[#Headers],[Company]],1)</f>
        <v>21</v>
      </c>
      <c r="L109" s="177" t="str" cm="1">
        <f t="array" ref="L109">Common_InputFunctions.Utility_DisplayArrayInTable(Fertiliser_SourceData.Fertiliser_Products_Data1(), FertiliserProducts[[#Headers],[Company]],1)</f>
        <v/>
      </c>
      <c r="M109" s="177" t="str" cm="1">
        <f t="array" ref="M109">Common_InputFunctions.Utility_DisplayArrayInTable(Fertiliser_SourceData.Fertiliser_Products_Data1(), FertiliserProducts[[#Headers],[Company]],1)</f>
        <v/>
      </c>
      <c r="N109" s="177" cm="1">
        <f t="array" ref="N109">Common_InputFunctions.Utility_DisplayArrayInTable(Fertiliser_SourceData.Fertiliser_Products_Data1(), FertiliserProducts[[#Headers],[Company]],1)</f>
        <v>24</v>
      </c>
      <c r="O109" s="177" t="str" cm="1">
        <f t="array" ref="O109">Common_InputFunctions.Utility_DisplayArrayInTable(Fertiliser_SourceData.Fertiliser_Products_Data1(), FertiliserProducts[[#Headers],[Company]],1)</f>
        <v>Sulphate of ammonia (SOA)</v>
      </c>
      <c r="P109" s="177" cm="1">
        <f t="array" ref="P109">Common_InputFunctions.Utility_DisplayArrayInTable(Fertiliser_SourceData.Fertiliser_Products_Data1(), FertiliserProducts[[#Headers],[Company]],1)</f>
        <v>1</v>
      </c>
      <c r="Q109" s="177" t="str" cm="1">
        <f t="array" ref="Q109">Common_InputFunctions.Utility_DisplayArrayInTable(Fertiliser_SourceData.Fertiliser_Products_Data1(), FertiliserProducts[[#Headers],[Company]],1)</f>
        <v/>
      </c>
      <c r="R109" s="177" t="str" cm="1">
        <f t="array" ref="R109">Common_InputFunctions.Utility_DisplayArrayInTable(Fertiliser_SourceData.Fertiliser_Products_Data1(), FertiliserProducts[[#Headers],[Company]],1)</f>
        <v/>
      </c>
      <c r="S109" s="177" t="str" cm="1">
        <f t="array" ref="S109">Common_InputFunctions.Utility_DisplayArrayInTable(Fertiliser_SourceData.Fertiliser_Products_Data1(), FertiliserProducts[[#Headers],[Company]],1)</f>
        <v/>
      </c>
      <c r="T109" s="177" t="str" cm="1">
        <f t="array" ref="T109">Common_InputFunctions.Utility_DisplayArrayInTable(Fertiliser_SourceData.Fertiliser_Products_Data1(), FertiliserProducts[[#Headers],[Company]],1)</f>
        <v/>
      </c>
      <c r="U109" s="177" t="str" cm="1">
        <f t="array" ref="U109">Common_InputFunctions.Utility_DisplayArrayInTable(Fertiliser_SourceData.Fertiliser_Products_Data1(), FertiliserProducts[[#Headers],[Company]],1)</f>
        <v/>
      </c>
      <c r="V109" s="177" t="str" cm="1">
        <f t="array" ref="V109">Common_InputFunctions.Utility_DisplayArrayInTable(Fertiliser_SourceData.Fertiliser_Products_Data1(), FertiliserProducts[[#Headers],[Company]],1)</f>
        <v/>
      </c>
      <c r="W109" s="177" t="str" cm="1">
        <f t="array" ref="W109">Common_InputFunctions.Utility_DisplayArrayInTable(Fertiliser_SourceData.Fertiliser_Products_Data1(), FertiliserProducts[[#Headers],[Company]],1)</f>
        <v/>
      </c>
      <c r="X109" s="177" t="str" cm="1">
        <f t="array" ref="X109">Common_InputFunctions.Utility_DisplayArrayInTable(Fertiliser_SourceData.Fertiliser_Products_Data1(), FertiliserProducts[[#Headers],[Company]],1)</f>
        <v/>
      </c>
      <c r="Y109" s="177" t="str" cm="1">
        <f t="array" ref="Y109">Common_InputFunctions.Utility_DisplayArrayInTable(Fertiliser_SourceData.Fertiliser_Products_Data1(), FertiliserProducts[[#Headers],[Company]],1)</f>
        <v/>
      </c>
      <c r="Z109" s="177" t="str" cm="1">
        <f t="array" ref="Z109">Common_InputFunctions.Utility_DisplayArrayInTable(Fertiliser_SourceData.Fertiliser_Products_Data1(), FertiliserProducts[[#Headers],[Company]],1)</f>
        <v/>
      </c>
      <c r="AA109" s="177" t="str" cm="1">
        <f t="array" ref="AA109">Common_InputFunctions.Utility_DisplayArrayInTable(Fertiliser_SourceData.Fertiliser_Products_Data1(), FertiliserProducts[[#Headers],[Company]],1)</f>
        <v/>
      </c>
      <c r="AB109" s="177" t="str" cm="1">
        <f t="array" ref="AB109">Common_InputFunctions.Utility_DisplayArrayInTable(Fertiliser_SourceData.Fertiliser_Products_Data1(), FertiliserProducts[[#Headers],[Company]],1)</f>
        <v/>
      </c>
      <c r="AC109" s="177" t="str" cm="1">
        <f t="array" ref="AC109">Common_InputFunctions.Utility_DisplayArrayInTable(Fertiliser_SourceData.Fertiliser_Products_Data1(), FertiliserProducts[[#Headers],[Company]],1)</f>
        <v/>
      </c>
      <c r="AD109" s="177" t="str" cm="1">
        <f t="array" ref="AD109">Common_InputFunctions.Utility_DisplayArrayInTable(Fertiliser_SourceData.Fertiliser_Products_Data1(), FertiliserProducts[[#Headers],[Company]],1)</f>
        <v/>
      </c>
      <c r="AE109" s="177" t="str" cm="1">
        <f t="array" ref="AE109">Common_InputFunctions.Utility_DisplayArrayInTable(Fertiliser_SourceData.Fertiliser_Products_Data1(), FertiliserProducts[[#Headers],[Company]],1)</f>
        <v/>
      </c>
      <c r="AF109" s="177" t="str" cm="1">
        <f t="array" ref="AF109">Common_InputFunctions.Utility_DisplayArrayInTable(Fertiliser_SourceData.Fertiliser_Products_Data1(), FertiliserProducts[[#Headers],[Company]],1)</f>
        <v/>
      </c>
      <c r="AG109" s="177" t="str" cm="1">
        <f t="array" ref="AG109">Common_InputFunctions.Utility_DisplayArrayInTable(Fertiliser_SourceData.Fertiliser_Products_Data1(), FertiliserProducts[[#Headers],[Company]],1)</f>
        <v/>
      </c>
      <c r="AH109" s="177" t="str" cm="1">
        <f t="array" ref="AH109">Common_InputFunctions.Utility_DisplayArrayInTable(Fertiliser_SourceData.Fertiliser_Products_Data1(), FertiliserProducts[[#Headers],[Company]],1)</f>
        <v/>
      </c>
      <c r="AK109" s="1"/>
      <c r="AL109" s="1"/>
      <c r="AM109" s="1"/>
    </row>
    <row r="110" spans="4:39" ht="20" customHeight="1" x14ac:dyDescent="0.25">
      <c r="D110" s="177" t="str" cm="1">
        <f t="array" ref="D110">Common_InputFunctions.Utility_DisplayArrayInTable(Fertiliser_SourceData.Fertiliser_Products_Data1(), FertiliserProducts[[#Headers],[Company]],1)</f>
        <v>Impact Fertilisers</v>
      </c>
      <c r="E110" s="177" t="str" cm="1">
        <f t="array" ref="E110">Common_InputFunctions.Utility_DisplayArrayInTable(Fertiliser_SourceData.Fertiliser_Products_Data1(), FertiliserProducts[[#Headers],[Company]],1)</f>
        <v>Di-Ammonium Phosphate (DAP)</v>
      </c>
      <c r="F110" s="177" t="str" cm="1">
        <f t="array" ref="F110">Common_InputFunctions.Utility_DisplayArrayInTable(Fertiliser_SourceData.Fertiliser_Products_Data1(), FertiliserProducts[[#Headers],[Company]],1)</f>
        <v>kg</v>
      </c>
      <c r="G110" s="177" cm="1">
        <f t="array" ref="G110">Common_InputFunctions.Utility_DisplayArrayInTable(Fertiliser_SourceData.Fertiliser_Products_Data1(), FertiliserProducts[[#Headers],[Company]],1)</f>
        <v>1</v>
      </c>
      <c r="H110" s="177" t="str" cm="1">
        <f t="array" ref="H110">Common_InputFunctions.Utility_DisplayArrayInTable(Fertiliser_SourceData.Fertiliser_Products_Data1(), FertiliserProducts[[#Headers],[Company]],1)</f>
        <v/>
      </c>
      <c r="I110" s="177" t="str" cm="1">
        <f t="array" ref="I110">Common_InputFunctions.Utility_DisplayArrayInTable(Fertiliser_SourceData.Fertiliser_Products_Data1(), FertiliserProducts[[#Headers],[Company]],1)</f>
        <v/>
      </c>
      <c r="J110" s="177" t="str" cm="1">
        <f t="array" ref="J110">Common_InputFunctions.Utility_DisplayArrayInTable(Fertiliser_SourceData.Fertiliser_Products_Data1(), FertiliserProducts[[#Headers],[Company]],1)</f>
        <v/>
      </c>
      <c r="K110" s="177" cm="1">
        <f t="array" ref="K110">Common_InputFunctions.Utility_DisplayArrayInTable(Fertiliser_SourceData.Fertiliser_Products_Data1(), FertiliserProducts[[#Headers],[Company]],1)</f>
        <v>18</v>
      </c>
      <c r="L110" s="177" cm="1">
        <f t="array" ref="L110">Common_InputFunctions.Utility_DisplayArrayInTable(Fertiliser_SourceData.Fertiliser_Products_Data1(), FertiliserProducts[[#Headers],[Company]],1)</f>
        <v>20</v>
      </c>
      <c r="M110" s="177" t="str" cm="1">
        <f t="array" ref="M110">Common_InputFunctions.Utility_DisplayArrayInTable(Fertiliser_SourceData.Fertiliser_Products_Data1(), FertiliserProducts[[#Headers],[Company]],1)</f>
        <v/>
      </c>
      <c r="N110" s="177" t="str" cm="1">
        <f t="array" ref="N110">Common_InputFunctions.Utility_DisplayArrayInTable(Fertiliser_SourceData.Fertiliser_Products_Data1(), FertiliserProducts[[#Headers],[Company]],1)</f>
        <v/>
      </c>
      <c r="O110" s="177" t="str" cm="1">
        <f t="array" ref="O110">Common_InputFunctions.Utility_DisplayArrayInTable(Fertiliser_SourceData.Fertiliser_Products_Data1(), FertiliserProducts[[#Headers],[Company]],1)</f>
        <v>Diammonium phosphate (DAP)</v>
      </c>
      <c r="P110" s="177" cm="1">
        <f t="array" ref="P110">Common_InputFunctions.Utility_DisplayArrayInTable(Fertiliser_SourceData.Fertiliser_Products_Data1(), FertiliserProducts[[#Headers],[Company]],1)</f>
        <v>1</v>
      </c>
      <c r="Q110" s="177" t="str" cm="1">
        <f t="array" ref="Q110">Common_InputFunctions.Utility_DisplayArrayInTable(Fertiliser_SourceData.Fertiliser_Products_Data1(), FertiliserProducts[[#Headers],[Company]],1)</f>
        <v/>
      </c>
      <c r="R110" s="177" t="str" cm="1">
        <f t="array" ref="R110">Common_InputFunctions.Utility_DisplayArrayInTable(Fertiliser_SourceData.Fertiliser_Products_Data1(), FertiliserProducts[[#Headers],[Company]],1)</f>
        <v/>
      </c>
      <c r="S110" s="177" t="str" cm="1">
        <f t="array" ref="S110">Common_InputFunctions.Utility_DisplayArrayInTable(Fertiliser_SourceData.Fertiliser_Products_Data1(), FertiliserProducts[[#Headers],[Company]],1)</f>
        <v/>
      </c>
      <c r="T110" s="177" t="str" cm="1">
        <f t="array" ref="T110">Common_InputFunctions.Utility_DisplayArrayInTable(Fertiliser_SourceData.Fertiliser_Products_Data1(), FertiliserProducts[[#Headers],[Company]],1)</f>
        <v/>
      </c>
      <c r="U110" s="177" t="str" cm="1">
        <f t="array" ref="U110">Common_InputFunctions.Utility_DisplayArrayInTable(Fertiliser_SourceData.Fertiliser_Products_Data1(), FertiliserProducts[[#Headers],[Company]],1)</f>
        <v/>
      </c>
      <c r="V110" s="177" t="str" cm="1">
        <f t="array" ref="V110">Common_InputFunctions.Utility_DisplayArrayInTable(Fertiliser_SourceData.Fertiliser_Products_Data1(), FertiliserProducts[[#Headers],[Company]],1)</f>
        <v/>
      </c>
      <c r="W110" s="177" t="str" cm="1">
        <f t="array" ref="W110">Common_InputFunctions.Utility_DisplayArrayInTable(Fertiliser_SourceData.Fertiliser_Products_Data1(), FertiliserProducts[[#Headers],[Company]],1)</f>
        <v/>
      </c>
      <c r="X110" s="177" t="str" cm="1">
        <f t="array" ref="X110">Common_InputFunctions.Utility_DisplayArrayInTable(Fertiliser_SourceData.Fertiliser_Products_Data1(), FertiliserProducts[[#Headers],[Company]],1)</f>
        <v/>
      </c>
      <c r="Y110" s="177" t="str" cm="1">
        <f t="array" ref="Y110">Common_InputFunctions.Utility_DisplayArrayInTable(Fertiliser_SourceData.Fertiliser_Products_Data1(), FertiliserProducts[[#Headers],[Company]],1)</f>
        <v/>
      </c>
      <c r="Z110" s="177" t="str" cm="1">
        <f t="array" ref="Z110">Common_InputFunctions.Utility_DisplayArrayInTable(Fertiliser_SourceData.Fertiliser_Products_Data1(), FertiliserProducts[[#Headers],[Company]],1)</f>
        <v/>
      </c>
      <c r="AA110" s="177" t="str" cm="1">
        <f t="array" ref="AA110">Common_InputFunctions.Utility_DisplayArrayInTable(Fertiliser_SourceData.Fertiliser_Products_Data1(), FertiliserProducts[[#Headers],[Company]],1)</f>
        <v/>
      </c>
      <c r="AB110" s="177" t="str" cm="1">
        <f t="array" ref="AB110">Common_InputFunctions.Utility_DisplayArrayInTable(Fertiliser_SourceData.Fertiliser_Products_Data1(), FertiliserProducts[[#Headers],[Company]],1)</f>
        <v/>
      </c>
      <c r="AC110" s="177" t="str" cm="1">
        <f t="array" ref="AC110">Common_InputFunctions.Utility_DisplayArrayInTable(Fertiliser_SourceData.Fertiliser_Products_Data1(), FertiliserProducts[[#Headers],[Company]],1)</f>
        <v/>
      </c>
      <c r="AD110" s="177" t="str" cm="1">
        <f t="array" ref="AD110">Common_InputFunctions.Utility_DisplayArrayInTable(Fertiliser_SourceData.Fertiliser_Products_Data1(), FertiliserProducts[[#Headers],[Company]],1)</f>
        <v/>
      </c>
      <c r="AE110" s="177" t="str" cm="1">
        <f t="array" ref="AE110">Common_InputFunctions.Utility_DisplayArrayInTable(Fertiliser_SourceData.Fertiliser_Products_Data1(), FertiliserProducts[[#Headers],[Company]],1)</f>
        <v/>
      </c>
      <c r="AF110" s="177" t="str" cm="1">
        <f t="array" ref="AF110">Common_InputFunctions.Utility_DisplayArrayInTable(Fertiliser_SourceData.Fertiliser_Products_Data1(), FertiliserProducts[[#Headers],[Company]],1)</f>
        <v/>
      </c>
      <c r="AG110" s="177" t="str" cm="1">
        <f t="array" ref="AG110">Common_InputFunctions.Utility_DisplayArrayInTable(Fertiliser_SourceData.Fertiliser_Products_Data1(), FertiliserProducts[[#Headers],[Company]],1)</f>
        <v/>
      </c>
      <c r="AH110" s="177" t="str" cm="1">
        <f t="array" ref="AH110">Common_InputFunctions.Utility_DisplayArrayInTable(Fertiliser_SourceData.Fertiliser_Products_Data1(), FertiliserProducts[[#Headers],[Company]],1)</f>
        <v/>
      </c>
      <c r="AK110" s="1"/>
      <c r="AL110" s="1"/>
      <c r="AM110" s="1"/>
    </row>
    <row r="111" spans="4:39" ht="20" customHeight="1" x14ac:dyDescent="0.25">
      <c r="D111" s="177" t="str" cm="1">
        <f t="array" ref="D111">Common_InputFunctions.Utility_DisplayArrayInTable(Fertiliser_SourceData.Fertiliser_Products_Data1(), FertiliserProducts[[#Headers],[Company]],1)</f>
        <v>Incitec Pivot Fertilisers</v>
      </c>
      <c r="E111" s="177" t="str" cm="1">
        <f t="array" ref="E111">Common_InputFunctions.Utility_DisplayArrayInTable(Fertiliser_SourceData.Fertiliser_Products_Data1(), FertiliserProducts[[#Headers],[Company]],1)</f>
        <v>Basalt BooSSta</v>
      </c>
      <c r="F111" s="177" t="str" cm="1">
        <f t="array" ref="F111">Common_InputFunctions.Utility_DisplayArrayInTable(Fertiliser_SourceData.Fertiliser_Products_Data1(), FertiliserProducts[[#Headers],[Company]],1)</f>
        <v>kg</v>
      </c>
      <c r="G111" s="177" cm="1">
        <f t="array" ref="G111">Common_InputFunctions.Utility_DisplayArrayInTable(Fertiliser_SourceData.Fertiliser_Products_Data1(), FertiliserProducts[[#Headers],[Company]],1)</f>
        <v>1</v>
      </c>
      <c r="H111" s="177" t="str" cm="1">
        <f t="array" ref="H111">Common_InputFunctions.Utility_DisplayArrayInTable(Fertiliser_SourceData.Fertiliser_Products_Data1(), FertiliserProducts[[#Headers],[Company]],1)</f>
        <v/>
      </c>
      <c r="I111" s="177" t="str" cm="1">
        <f t="array" ref="I111">Common_InputFunctions.Utility_DisplayArrayInTable(Fertiliser_SourceData.Fertiliser_Products_Data1(), FertiliserProducts[[#Headers],[Company]],1)</f>
        <v/>
      </c>
      <c r="J111" s="177" t="str" cm="1">
        <f t="array" ref="J111">Common_InputFunctions.Utility_DisplayArrayInTable(Fertiliser_SourceData.Fertiliser_Products_Data1(), FertiliserProducts[[#Headers],[Company]],1)</f>
        <v/>
      </c>
      <c r="K111" s="177" cm="1">
        <f t="array" ref="K111">Common_InputFunctions.Utility_DisplayArrayInTable(Fertiliser_SourceData.Fertiliser_Products_Data1(), FertiliserProducts[[#Headers],[Company]],1)</f>
        <v>8</v>
      </c>
      <c r="L111" s="177" cm="1">
        <f t="array" ref="L111">Common_InputFunctions.Utility_DisplayArrayInTable(Fertiliser_SourceData.Fertiliser_Products_Data1(), FertiliserProducts[[#Headers],[Company]],1)</f>
        <v>14</v>
      </c>
      <c r="M111" s="177" t="str" cm="1">
        <f t="array" ref="M111">Common_InputFunctions.Utility_DisplayArrayInTable(Fertiliser_SourceData.Fertiliser_Products_Data1(), FertiliserProducts[[#Headers],[Company]],1)</f>
        <v/>
      </c>
      <c r="N111" s="177" cm="1">
        <f t="array" ref="N111">Common_InputFunctions.Utility_DisplayArrayInTable(Fertiliser_SourceData.Fertiliser_Products_Data1(), FertiliserProducts[[#Headers],[Company]],1)</f>
        <v>27.6</v>
      </c>
      <c r="O111" s="177" t="str" cm="1">
        <f t="array" ref="O111">Common_InputFunctions.Utility_DisplayArrayInTable(Fertiliser_SourceData.Fertiliser_Products_Data1(), FertiliserProducts[[#Headers],[Company]],1)</f>
        <v>Sulfur - Generic</v>
      </c>
      <c r="P111" s="177" cm="1">
        <f t="array" ref="P111">Common_InputFunctions.Utility_DisplayArrayInTable(Fertiliser_SourceData.Fertiliser_Products_Data1(), FertiliserProducts[[#Headers],[Company]],1)</f>
        <v>0.27600000000000002</v>
      </c>
      <c r="Q111" s="177" t="str" cm="1">
        <f t="array" ref="Q111">Common_InputFunctions.Utility_DisplayArrayInTable(Fertiliser_SourceData.Fertiliser_Products_Data1(), FertiliserProducts[[#Headers],[Company]],1)</f>
        <v>Phosphorus - Generic</v>
      </c>
      <c r="R111" s="177" cm="1">
        <f t="array" ref="R111">Common_InputFunctions.Utility_DisplayArrayInTable(Fertiliser_SourceData.Fertiliser_Products_Data1(), FertiliserProducts[[#Headers],[Company]],1)</f>
        <v>0.14000000000000001</v>
      </c>
      <c r="S111" s="177" t="str" cm="1">
        <f t="array" ref="S111">Common_InputFunctions.Utility_DisplayArrayInTable(Fertiliser_SourceData.Fertiliser_Products_Data1(), FertiliserProducts[[#Headers],[Company]],1)</f>
        <v>Nitrogen - Generic</v>
      </c>
      <c r="T111" s="177" cm="1">
        <f t="array" ref="T111">Common_InputFunctions.Utility_DisplayArrayInTable(Fertiliser_SourceData.Fertiliser_Products_Data1(), FertiliserProducts[[#Headers],[Company]],1)</f>
        <v>0.08</v>
      </c>
      <c r="U111" s="177" t="str" cm="1">
        <f t="array" ref="U111">Common_InputFunctions.Utility_DisplayArrayInTable(Fertiliser_SourceData.Fertiliser_Products_Data1(), FertiliserProducts[[#Headers],[Company]],1)</f>
        <v>Fluoride</v>
      </c>
      <c r="V111" s="177" cm="1">
        <f t="array" ref="V111">Common_InputFunctions.Utility_DisplayArrayInTable(Fertiliser_SourceData.Fertiliser_Products_Data1(), FertiliserProducts[[#Headers],[Company]],1)</f>
        <v>2.4E-2</v>
      </c>
      <c r="W111" s="177" t="str" cm="1">
        <f t="array" ref="W111">Common_InputFunctions.Utility_DisplayArrayInTable(Fertiliser_SourceData.Fertiliser_Products_Data1(), FertiliserProducts[[#Headers],[Company]],1)</f>
        <v/>
      </c>
      <c r="X111" s="177" t="str" cm="1">
        <f t="array" ref="X111">Common_InputFunctions.Utility_DisplayArrayInTable(Fertiliser_SourceData.Fertiliser_Products_Data1(), FertiliserProducts[[#Headers],[Company]],1)</f>
        <v/>
      </c>
      <c r="Y111" s="177" t="str" cm="1">
        <f t="array" ref="Y111">Common_InputFunctions.Utility_DisplayArrayInTable(Fertiliser_SourceData.Fertiliser_Products_Data1(), FertiliserProducts[[#Headers],[Company]],1)</f>
        <v/>
      </c>
      <c r="Z111" s="177" t="str" cm="1">
        <f t="array" ref="Z111">Common_InputFunctions.Utility_DisplayArrayInTable(Fertiliser_SourceData.Fertiliser_Products_Data1(), FertiliserProducts[[#Headers],[Company]],1)</f>
        <v/>
      </c>
      <c r="AA111" s="177" t="str" cm="1">
        <f t="array" ref="AA111">Common_InputFunctions.Utility_DisplayArrayInTable(Fertiliser_SourceData.Fertiliser_Products_Data1(), FertiliserProducts[[#Headers],[Company]],1)</f>
        <v/>
      </c>
      <c r="AB111" s="177" t="str" cm="1">
        <f t="array" ref="AB111">Common_InputFunctions.Utility_DisplayArrayInTable(Fertiliser_SourceData.Fertiliser_Products_Data1(), FertiliserProducts[[#Headers],[Company]],1)</f>
        <v/>
      </c>
      <c r="AC111" s="177" t="str" cm="1">
        <f t="array" ref="AC111">Common_InputFunctions.Utility_DisplayArrayInTable(Fertiliser_SourceData.Fertiliser_Products_Data1(), FertiliserProducts[[#Headers],[Company]],1)</f>
        <v/>
      </c>
      <c r="AD111" s="177" t="str" cm="1">
        <f t="array" ref="AD111">Common_InputFunctions.Utility_DisplayArrayInTable(Fertiliser_SourceData.Fertiliser_Products_Data1(), FertiliserProducts[[#Headers],[Company]],1)</f>
        <v/>
      </c>
      <c r="AE111" s="177" t="str" cm="1">
        <f t="array" ref="AE111">Common_InputFunctions.Utility_DisplayArrayInTable(Fertiliser_SourceData.Fertiliser_Products_Data1(), FertiliserProducts[[#Headers],[Company]],1)</f>
        <v/>
      </c>
      <c r="AF111" s="177" t="str" cm="1">
        <f t="array" ref="AF111">Common_InputFunctions.Utility_DisplayArrayInTable(Fertiliser_SourceData.Fertiliser_Products_Data1(), FertiliserProducts[[#Headers],[Company]],1)</f>
        <v/>
      </c>
      <c r="AG111" s="177" t="str" cm="1">
        <f t="array" ref="AG111">Common_InputFunctions.Utility_DisplayArrayInTable(Fertiliser_SourceData.Fertiliser_Products_Data1(), FertiliserProducts[[#Headers],[Company]],1)</f>
        <v/>
      </c>
      <c r="AH111" s="177" t="str" cm="1">
        <f t="array" ref="AH111">Common_InputFunctions.Utility_DisplayArrayInTable(Fertiliser_SourceData.Fertiliser_Products_Data1(), FertiliserProducts[[#Headers],[Company]],1)</f>
        <v/>
      </c>
      <c r="AK111" s="1"/>
      <c r="AL111" s="1"/>
      <c r="AM111" s="1"/>
    </row>
    <row r="112" spans="4:39" ht="20" customHeight="1" x14ac:dyDescent="0.25">
      <c r="D112" s="177" t="str" cm="1">
        <f t="array" ref="D112">Common_InputFunctions.Utility_DisplayArrayInTable(Fertiliser_SourceData.Fertiliser_Products_Data1(), FertiliserProducts[[#Headers],[Company]],1)</f>
        <v>Summit Fertilizers</v>
      </c>
      <c r="E112" s="177" t="str" cm="1">
        <f t="array" ref="E112">Common_InputFunctions.Utility_DisplayArrayInTable(Fertiliser_SourceData.Fertiliser_Products_Data1(), FertiliserProducts[[#Headers],[Company]],1)</f>
        <v>DAPSZC</v>
      </c>
      <c r="F112" s="177" t="str" cm="1">
        <f t="array" ref="F112">Common_InputFunctions.Utility_DisplayArrayInTable(Fertiliser_SourceData.Fertiliser_Products_Data1(), FertiliserProducts[[#Headers],[Company]],1)</f>
        <v>kg</v>
      </c>
      <c r="G112" s="177" cm="1">
        <f t="array" ref="G112">Common_InputFunctions.Utility_DisplayArrayInTable(Fertiliser_SourceData.Fertiliser_Products_Data1(), FertiliserProducts[[#Headers],[Company]],1)</f>
        <v>1</v>
      </c>
      <c r="H112" s="177" t="str" cm="1">
        <f t="array" ref="H112">Common_InputFunctions.Utility_DisplayArrayInTable(Fertiliser_SourceData.Fertiliser_Products_Data1(), FertiliserProducts[[#Headers],[Company]],1)</f>
        <v/>
      </c>
      <c r="I112" s="177" t="str" cm="1">
        <f t="array" ref="I112">Common_InputFunctions.Utility_DisplayArrayInTable(Fertiliser_SourceData.Fertiliser_Products_Data1(), FertiliserProducts[[#Headers],[Company]],1)</f>
        <v/>
      </c>
      <c r="J112" s="177" t="str" cm="1">
        <f t="array" ref="J112">Common_InputFunctions.Utility_DisplayArrayInTable(Fertiliser_SourceData.Fertiliser_Products_Data1(), FertiliserProducts[[#Headers],[Company]],1)</f>
        <v/>
      </c>
      <c r="K112" s="177" cm="1">
        <f t="array" ref="K112">Common_InputFunctions.Utility_DisplayArrayInTable(Fertiliser_SourceData.Fertiliser_Products_Data1(), FertiliserProducts[[#Headers],[Company]],1)</f>
        <v>16.899999999999999</v>
      </c>
      <c r="L112" s="177" cm="1">
        <f t="array" ref="L112">Common_InputFunctions.Utility_DisplayArrayInTable(Fertiliser_SourceData.Fertiliser_Products_Data1(), FertiliserProducts[[#Headers],[Company]],1)</f>
        <v>18.2</v>
      </c>
      <c r="M112" s="177" t="str" cm="1">
        <f t="array" ref="M112">Common_InputFunctions.Utility_DisplayArrayInTable(Fertiliser_SourceData.Fertiliser_Products_Data1(), FertiliserProducts[[#Headers],[Company]],1)</f>
        <v/>
      </c>
      <c r="N112" s="177" cm="1">
        <f t="array" ref="N112">Common_InputFunctions.Utility_DisplayArrayInTable(Fertiliser_SourceData.Fertiliser_Products_Data1(), FertiliserProducts[[#Headers],[Company]],1)</f>
        <v>8</v>
      </c>
      <c r="O112" s="177" t="str" cm="1">
        <f t="array" ref="O112">Common_InputFunctions.Utility_DisplayArrayInTable(Fertiliser_SourceData.Fertiliser_Products_Data1(), FertiliserProducts[[#Headers],[Company]],1)</f>
        <v>Phosphorus - Generic</v>
      </c>
      <c r="P112" s="177" cm="1">
        <f t="array" ref="P112">Common_InputFunctions.Utility_DisplayArrayInTable(Fertiliser_SourceData.Fertiliser_Products_Data1(), FertiliserProducts[[#Headers],[Company]],1)</f>
        <v>0.182</v>
      </c>
      <c r="Q112" s="177" t="str" cm="1">
        <f t="array" ref="Q112">Common_InputFunctions.Utility_DisplayArrayInTable(Fertiliser_SourceData.Fertiliser_Products_Data1(), FertiliserProducts[[#Headers],[Company]],1)</f>
        <v>Nitrogen - Generic</v>
      </c>
      <c r="R112" s="177" cm="1">
        <f t="array" ref="R112">Common_InputFunctions.Utility_DisplayArrayInTable(Fertiliser_SourceData.Fertiliser_Products_Data1(), FertiliserProducts[[#Headers],[Company]],1)</f>
        <v>0.16900000000000001</v>
      </c>
      <c r="S112" s="177" t="str" cm="1">
        <f t="array" ref="S112">Common_InputFunctions.Utility_DisplayArrayInTable(Fertiliser_SourceData.Fertiliser_Products_Data1(), FertiliserProducts[[#Headers],[Company]],1)</f>
        <v>Sulfur - Generic</v>
      </c>
      <c r="T112" s="177" cm="1">
        <f t="array" ref="T112">Common_InputFunctions.Utility_DisplayArrayInTable(Fertiliser_SourceData.Fertiliser_Products_Data1(), FertiliserProducts[[#Headers],[Company]],1)</f>
        <v>0.08</v>
      </c>
      <c r="U112" s="177" t="str" cm="1">
        <f t="array" ref="U112">Common_InputFunctions.Utility_DisplayArrayInTable(Fertiliser_SourceData.Fertiliser_Products_Data1(), FertiliserProducts[[#Headers],[Company]],1)</f>
        <v>Zinc</v>
      </c>
      <c r="V112" s="177" cm="1">
        <f t="array" ref="V112">Common_InputFunctions.Utility_DisplayArrayInTable(Fertiliser_SourceData.Fertiliser_Products_Data1(), FertiliserProducts[[#Headers],[Company]],1)</f>
        <v>2E-3</v>
      </c>
      <c r="W112" s="177" t="str" cm="1">
        <f t="array" ref="W112">Common_InputFunctions.Utility_DisplayArrayInTable(Fertiliser_SourceData.Fertiliser_Products_Data1(), FertiliserProducts[[#Headers],[Company]],1)</f>
        <v>Copper</v>
      </c>
      <c r="X112" s="177" cm="1">
        <f t="array" ref="X112">Common_InputFunctions.Utility_DisplayArrayInTable(Fertiliser_SourceData.Fertiliser_Products_Data1(), FertiliserProducts[[#Headers],[Company]],1)</f>
        <v>1E-3</v>
      </c>
      <c r="Y112" s="177" t="str" cm="1">
        <f t="array" ref="Y112">Common_InputFunctions.Utility_DisplayArrayInTable(Fertiliser_SourceData.Fertiliser_Products_Data1(), FertiliserProducts[[#Headers],[Company]],1)</f>
        <v/>
      </c>
      <c r="Z112" s="177" t="str" cm="1">
        <f t="array" ref="Z112">Common_InputFunctions.Utility_DisplayArrayInTable(Fertiliser_SourceData.Fertiliser_Products_Data1(), FertiliserProducts[[#Headers],[Company]],1)</f>
        <v/>
      </c>
      <c r="AA112" s="177" t="str" cm="1">
        <f t="array" ref="AA112">Common_InputFunctions.Utility_DisplayArrayInTable(Fertiliser_SourceData.Fertiliser_Products_Data1(), FertiliserProducts[[#Headers],[Company]],1)</f>
        <v/>
      </c>
      <c r="AB112" s="177" t="str" cm="1">
        <f t="array" ref="AB112">Common_InputFunctions.Utility_DisplayArrayInTable(Fertiliser_SourceData.Fertiliser_Products_Data1(), FertiliserProducts[[#Headers],[Company]],1)</f>
        <v/>
      </c>
      <c r="AC112" s="177" t="str" cm="1">
        <f t="array" ref="AC112">Common_InputFunctions.Utility_DisplayArrayInTable(Fertiliser_SourceData.Fertiliser_Products_Data1(), FertiliserProducts[[#Headers],[Company]],1)</f>
        <v/>
      </c>
      <c r="AD112" s="177" t="str" cm="1">
        <f t="array" ref="AD112">Common_InputFunctions.Utility_DisplayArrayInTable(Fertiliser_SourceData.Fertiliser_Products_Data1(), FertiliserProducts[[#Headers],[Company]],1)</f>
        <v/>
      </c>
      <c r="AE112" s="177" t="str" cm="1">
        <f t="array" ref="AE112">Common_InputFunctions.Utility_DisplayArrayInTable(Fertiliser_SourceData.Fertiliser_Products_Data1(), FertiliserProducts[[#Headers],[Company]],1)</f>
        <v/>
      </c>
      <c r="AF112" s="177" t="str" cm="1">
        <f t="array" ref="AF112">Common_InputFunctions.Utility_DisplayArrayInTable(Fertiliser_SourceData.Fertiliser_Products_Data1(), FertiliserProducts[[#Headers],[Company]],1)</f>
        <v/>
      </c>
      <c r="AG112" s="177" t="str" cm="1">
        <f t="array" ref="AG112">Common_InputFunctions.Utility_DisplayArrayInTable(Fertiliser_SourceData.Fertiliser_Products_Data1(), FertiliserProducts[[#Headers],[Company]],1)</f>
        <v/>
      </c>
      <c r="AH112" s="177" t="str" cm="1">
        <f t="array" ref="AH112">Common_InputFunctions.Utility_DisplayArrayInTable(Fertiliser_SourceData.Fertiliser_Products_Data1(), FertiliserProducts[[#Headers],[Company]],1)</f>
        <v/>
      </c>
      <c r="AK112" s="1"/>
      <c r="AL112" s="1"/>
      <c r="AM112" s="1"/>
    </row>
    <row r="113" spans="4:39" ht="20" customHeight="1" x14ac:dyDescent="0.25">
      <c r="D113" s="177" t="str" cm="1">
        <f t="array" ref="D113">Common_InputFunctions.Utility_DisplayArrayInTable(Fertiliser_SourceData.Fertiliser_Products_Data1(), FertiliserProducts[[#Headers],[Company]],1)</f>
        <v>Incitec Pivot Fertilisers</v>
      </c>
      <c r="E113" s="177" t="str" cm="1">
        <f t="array" ref="E113">Common_InputFunctions.Utility_DisplayArrayInTable(Fertiliser_SourceData.Fertiliser_Products_Data1(), FertiliserProducts[[#Headers],[Company]],1)</f>
        <v>Easy N</v>
      </c>
      <c r="F113" s="177" t="str" cm="1">
        <f t="array" ref="F113">Common_InputFunctions.Utility_DisplayArrayInTable(Fertiliser_SourceData.Fertiliser_Products_Data1(), FertiliserProducts[[#Headers],[Company]],1)</f>
        <v>L</v>
      </c>
      <c r="G113" s="177" cm="1">
        <f t="array" ref="G113">Common_InputFunctions.Utility_DisplayArrayInTable(Fertiliser_SourceData.Fertiliser_Products_Data1(), FertiliserProducts[[#Headers],[Company]],1)</f>
        <v>1.32</v>
      </c>
      <c r="H113" s="177" t="str" cm="1">
        <f t="array" ref="H113">Common_InputFunctions.Utility_DisplayArrayInTable(Fertiliser_SourceData.Fertiliser_Products_Data1(), FertiliserProducts[[#Headers],[Company]],1)</f>
        <v/>
      </c>
      <c r="I113" s="177" t="str" cm="1">
        <f t="array" ref="I113">Common_InputFunctions.Utility_DisplayArrayInTable(Fertiliser_SourceData.Fertiliser_Products_Data1(), FertiliserProducts[[#Headers],[Company]],1)</f>
        <v/>
      </c>
      <c r="J113" s="177" t="str" cm="1">
        <f t="array" ref="J113">Common_InputFunctions.Utility_DisplayArrayInTable(Fertiliser_SourceData.Fertiliser_Products_Data1(), FertiliserProducts[[#Headers],[Company]],1)</f>
        <v/>
      </c>
      <c r="K113" s="177" cm="1">
        <f t="array" ref="K113">Common_InputFunctions.Utility_DisplayArrayInTable(Fertiliser_SourceData.Fertiliser_Products_Data1(), FertiliserProducts[[#Headers],[Company]],1)</f>
        <v>42.5</v>
      </c>
      <c r="L113" s="177" t="str" cm="1">
        <f t="array" ref="L113">Common_InputFunctions.Utility_DisplayArrayInTable(Fertiliser_SourceData.Fertiliser_Products_Data1(), FertiliserProducts[[#Headers],[Company]],1)</f>
        <v/>
      </c>
      <c r="M113" s="177" t="str" cm="1">
        <f t="array" ref="M113">Common_InputFunctions.Utility_DisplayArrayInTable(Fertiliser_SourceData.Fertiliser_Products_Data1(), FertiliserProducts[[#Headers],[Company]],1)</f>
        <v/>
      </c>
      <c r="N113" s="177" t="str" cm="1">
        <f t="array" ref="N113">Common_InputFunctions.Utility_DisplayArrayInTable(Fertiliser_SourceData.Fertiliser_Products_Data1(), FertiliserProducts[[#Headers],[Company]],1)</f>
        <v/>
      </c>
      <c r="O113" s="177" t="str" cm="1">
        <f t="array" ref="O113">Common_InputFunctions.Utility_DisplayArrayInTable(Fertiliser_SourceData.Fertiliser_Products_Data1(), FertiliserProducts[[#Headers],[Company]],1)</f>
        <v>Urea</v>
      </c>
      <c r="P113" s="177" cm="1">
        <f t="array" ref="P113">Common_InputFunctions.Utility_DisplayArrayInTable(Fertiliser_SourceData.Fertiliser_Products_Data1(), FertiliserProducts[[#Headers],[Company]],1)</f>
        <v>0.467391</v>
      </c>
      <c r="Q113" s="177" t="str" cm="1">
        <f t="array" ref="Q113">Common_InputFunctions.Utility_DisplayArrayInTable(Fertiliser_SourceData.Fertiliser_Products_Data1(), FertiliserProducts[[#Headers],[Company]],1)</f>
        <v>Nitrogen - Nitrate</v>
      </c>
      <c r="R113" s="177" cm="1">
        <f t="array" ref="R113">Common_InputFunctions.Utility_DisplayArrayInTable(Fertiliser_SourceData.Fertiliser_Products_Data1(), FertiliserProducts[[#Headers],[Company]],1)</f>
        <v>0.105</v>
      </c>
      <c r="S113" s="177" t="str" cm="1">
        <f t="array" ref="S113">Common_InputFunctions.Utility_DisplayArrayInTable(Fertiliser_SourceData.Fertiliser_Products_Data1(), FertiliserProducts[[#Headers],[Company]],1)</f>
        <v>Nitrogen - Ammoniacal</v>
      </c>
      <c r="T113" s="177" cm="1">
        <f t="array" ref="T113">Common_InputFunctions.Utility_DisplayArrayInTable(Fertiliser_SourceData.Fertiliser_Products_Data1(), FertiliserProducts[[#Headers],[Company]],1)</f>
        <v>0.105</v>
      </c>
      <c r="U113" s="177" t="str" cm="1">
        <f t="array" ref="U113">Common_InputFunctions.Utility_DisplayArrayInTable(Fertiliser_SourceData.Fertiliser_Products_Data1(), FertiliserProducts[[#Headers],[Company]],1)</f>
        <v>Biuret</v>
      </c>
      <c r="V113" s="177" cm="1">
        <f t="array" ref="V113">Common_InputFunctions.Utility_DisplayArrayInTable(Fertiliser_SourceData.Fertiliser_Products_Data1(), FertiliserProducts[[#Headers],[Company]],1)</f>
        <v>6.0000000000000001E-3</v>
      </c>
      <c r="W113" s="177" t="str" cm="1">
        <f t="array" ref="W113">Common_InputFunctions.Utility_DisplayArrayInTable(Fertiliser_SourceData.Fertiliser_Products_Data1(), FertiliserProducts[[#Headers],[Company]],1)</f>
        <v/>
      </c>
      <c r="X113" s="177" t="str" cm="1">
        <f t="array" ref="X113">Common_InputFunctions.Utility_DisplayArrayInTable(Fertiliser_SourceData.Fertiliser_Products_Data1(), FertiliserProducts[[#Headers],[Company]],1)</f>
        <v/>
      </c>
      <c r="Y113" s="177" t="str" cm="1">
        <f t="array" ref="Y113">Common_InputFunctions.Utility_DisplayArrayInTable(Fertiliser_SourceData.Fertiliser_Products_Data1(), FertiliserProducts[[#Headers],[Company]],1)</f>
        <v/>
      </c>
      <c r="Z113" s="177" t="str" cm="1">
        <f t="array" ref="Z113">Common_InputFunctions.Utility_DisplayArrayInTable(Fertiliser_SourceData.Fertiliser_Products_Data1(), FertiliserProducts[[#Headers],[Company]],1)</f>
        <v/>
      </c>
      <c r="AA113" s="177" t="str" cm="1">
        <f t="array" ref="AA113">Common_InputFunctions.Utility_DisplayArrayInTable(Fertiliser_SourceData.Fertiliser_Products_Data1(), FertiliserProducts[[#Headers],[Company]],1)</f>
        <v/>
      </c>
      <c r="AB113" s="177" t="str" cm="1">
        <f t="array" ref="AB113">Common_InputFunctions.Utility_DisplayArrayInTable(Fertiliser_SourceData.Fertiliser_Products_Data1(), FertiliserProducts[[#Headers],[Company]],1)</f>
        <v/>
      </c>
      <c r="AC113" s="177" t="str" cm="1">
        <f t="array" ref="AC113">Common_InputFunctions.Utility_DisplayArrayInTable(Fertiliser_SourceData.Fertiliser_Products_Data1(), FertiliserProducts[[#Headers],[Company]],1)</f>
        <v/>
      </c>
      <c r="AD113" s="177" t="str" cm="1">
        <f t="array" ref="AD113">Common_InputFunctions.Utility_DisplayArrayInTable(Fertiliser_SourceData.Fertiliser_Products_Data1(), FertiliserProducts[[#Headers],[Company]],1)</f>
        <v/>
      </c>
      <c r="AE113" s="177" t="str" cm="1">
        <f t="array" ref="AE113">Common_InputFunctions.Utility_DisplayArrayInTable(Fertiliser_SourceData.Fertiliser_Products_Data1(), FertiliserProducts[[#Headers],[Company]],1)</f>
        <v/>
      </c>
      <c r="AF113" s="177" t="str" cm="1">
        <f t="array" ref="AF113">Common_InputFunctions.Utility_DisplayArrayInTable(Fertiliser_SourceData.Fertiliser_Products_Data1(), FertiliserProducts[[#Headers],[Company]],1)</f>
        <v/>
      </c>
      <c r="AG113" s="177" t="str" cm="1">
        <f t="array" ref="AG113">Common_InputFunctions.Utility_DisplayArrayInTable(Fertiliser_SourceData.Fertiliser_Products_Data1(), FertiliserProducts[[#Headers],[Company]],1)</f>
        <v/>
      </c>
      <c r="AH113" s="177" t="str" cm="1">
        <f t="array" ref="AH113">Common_InputFunctions.Utility_DisplayArrayInTable(Fertiliser_SourceData.Fertiliser_Products_Data1(), FertiliserProducts[[#Headers],[Company]],1)</f>
        <v/>
      </c>
      <c r="AK113" s="1"/>
      <c r="AL113" s="1"/>
      <c r="AM113" s="1"/>
    </row>
    <row r="114" spans="4:39" ht="20" customHeight="1" x14ac:dyDescent="0.25">
      <c r="D114" s="177" t="str" cm="1">
        <f t="array" ref="D114">Common_InputFunctions.Utility_DisplayArrayInTable(Fertiliser_SourceData.Fertiliser_Products_Data1(), FertiliserProducts[[#Headers],[Company]],1)</f>
        <v>Risso-Chemical</v>
      </c>
      <c r="E114" s="177" t="str" cm="1">
        <f t="array" ref="E114">Common_InputFunctions.Utility_DisplayArrayInTable(Fertiliser_SourceData.Fertiliser_Products_Data1(), FertiliserProducts[[#Headers],[Company]],1)</f>
        <v>Calcium Ammonium nitrate</v>
      </c>
      <c r="F114" s="177" t="str" cm="1">
        <f t="array" ref="F114">Common_InputFunctions.Utility_DisplayArrayInTable(Fertiliser_SourceData.Fertiliser_Products_Data1(), FertiliserProducts[[#Headers],[Company]],1)</f>
        <v>kg</v>
      </c>
      <c r="G114" s="177" cm="1">
        <f t="array" ref="G114">Common_InputFunctions.Utility_DisplayArrayInTable(Fertiliser_SourceData.Fertiliser_Products_Data1(), FertiliserProducts[[#Headers],[Company]],1)</f>
        <v>1</v>
      </c>
      <c r="H114" s="177" t="str" cm="1">
        <f t="array" ref="H114">Common_InputFunctions.Utility_DisplayArrayInTable(Fertiliser_SourceData.Fertiliser_Products_Data1(), FertiliserProducts[[#Headers],[Company]],1)</f>
        <v/>
      </c>
      <c r="I114" s="177" t="str" cm="1">
        <f t="array" ref="I114">Common_InputFunctions.Utility_DisplayArrayInTable(Fertiliser_SourceData.Fertiliser_Products_Data1(), FertiliserProducts[[#Headers],[Company]],1)</f>
        <v/>
      </c>
      <c r="J114" s="177" t="str" cm="1">
        <f t="array" ref="J114">Common_InputFunctions.Utility_DisplayArrayInTable(Fertiliser_SourceData.Fertiliser_Products_Data1(), FertiliserProducts[[#Headers],[Company]],1)</f>
        <v>China</v>
      </c>
      <c r="K114" s="177" cm="1">
        <f t="array" ref="K114">Common_InputFunctions.Utility_DisplayArrayInTable(Fertiliser_SourceData.Fertiliser_Products_Data1(), FertiliserProducts[[#Headers],[Company]],1)</f>
        <v>40.5</v>
      </c>
      <c r="L114" s="177" t="str" cm="1">
        <f t="array" ref="L114">Common_InputFunctions.Utility_DisplayArrayInTable(Fertiliser_SourceData.Fertiliser_Products_Data1(), FertiliserProducts[[#Headers],[Company]],1)</f>
        <v/>
      </c>
      <c r="M114" s="177" t="str" cm="1">
        <f t="array" ref="M114">Common_InputFunctions.Utility_DisplayArrayInTable(Fertiliser_SourceData.Fertiliser_Products_Data1(), FertiliserProducts[[#Headers],[Company]],1)</f>
        <v/>
      </c>
      <c r="N114" s="177" t="str" cm="1">
        <f t="array" ref="N114">Common_InputFunctions.Utility_DisplayArrayInTable(Fertiliser_SourceData.Fertiliser_Products_Data1(), FertiliserProducts[[#Headers],[Company]],1)</f>
        <v/>
      </c>
      <c r="O114" s="177" t="str" cm="1">
        <f t="array" ref="O114">Common_InputFunctions.Utility_DisplayArrayInTable(Fertiliser_SourceData.Fertiliser_Products_Data1(), FertiliserProducts[[#Headers],[Company]],1)</f>
        <v>Nitrogen - Ammoniacal</v>
      </c>
      <c r="P114" s="177" cm="1">
        <f t="array" ref="P114">Common_InputFunctions.Utility_DisplayArrayInTable(Fertiliser_SourceData.Fertiliser_Products_Data1(), FertiliserProducts[[#Headers],[Company]],1)</f>
        <v>0.27</v>
      </c>
      <c r="Q114" s="177" t="str" cm="1">
        <f t="array" ref="Q114">Common_InputFunctions.Utility_DisplayArrayInTable(Fertiliser_SourceData.Fertiliser_Products_Data1(), FertiliserProducts[[#Headers],[Company]],1)</f>
        <v>Nitrogen - Nitrate</v>
      </c>
      <c r="R114" s="177" cm="1">
        <f t="array" ref="R114">Common_InputFunctions.Utility_DisplayArrayInTable(Fertiliser_SourceData.Fertiliser_Products_Data1(), FertiliserProducts[[#Headers],[Company]],1)</f>
        <v>0.13500000000000001</v>
      </c>
      <c r="S114" s="177" t="str" cm="1">
        <f t="array" ref="S114">Common_InputFunctions.Utility_DisplayArrayInTable(Fertiliser_SourceData.Fertiliser_Products_Data1(), FertiliserProducts[[#Headers],[Company]],1)</f>
        <v>Calcium</v>
      </c>
      <c r="T114" s="177" cm="1">
        <f t="array" ref="T114">Common_InputFunctions.Utility_DisplayArrayInTable(Fertiliser_SourceData.Fertiliser_Products_Data1(), FertiliserProducts[[#Headers],[Company]],1)</f>
        <v>0.12</v>
      </c>
      <c r="U114" s="177" t="str" cm="1">
        <f t="array" ref="U114">Common_InputFunctions.Utility_DisplayArrayInTable(Fertiliser_SourceData.Fertiliser_Products_Data1(), FertiliserProducts[[#Headers],[Company]],1)</f>
        <v/>
      </c>
      <c r="V114" s="177" t="str" cm="1">
        <f t="array" ref="V114">Common_InputFunctions.Utility_DisplayArrayInTable(Fertiliser_SourceData.Fertiliser_Products_Data1(), FertiliserProducts[[#Headers],[Company]],1)</f>
        <v/>
      </c>
      <c r="W114" s="177" t="str" cm="1">
        <f t="array" ref="W114">Common_InputFunctions.Utility_DisplayArrayInTable(Fertiliser_SourceData.Fertiliser_Products_Data1(), FertiliserProducts[[#Headers],[Company]],1)</f>
        <v/>
      </c>
      <c r="X114" s="177" t="str" cm="1">
        <f t="array" ref="X114">Common_InputFunctions.Utility_DisplayArrayInTable(Fertiliser_SourceData.Fertiliser_Products_Data1(), FertiliserProducts[[#Headers],[Company]],1)</f>
        <v/>
      </c>
      <c r="Y114" s="177" t="str" cm="1">
        <f t="array" ref="Y114">Common_InputFunctions.Utility_DisplayArrayInTable(Fertiliser_SourceData.Fertiliser_Products_Data1(), FertiliserProducts[[#Headers],[Company]],1)</f>
        <v/>
      </c>
      <c r="Z114" s="177" t="str" cm="1">
        <f t="array" ref="Z114">Common_InputFunctions.Utility_DisplayArrayInTable(Fertiliser_SourceData.Fertiliser_Products_Data1(), FertiliserProducts[[#Headers],[Company]],1)</f>
        <v/>
      </c>
      <c r="AA114" s="177" t="str" cm="1">
        <f t="array" ref="AA114">Common_InputFunctions.Utility_DisplayArrayInTable(Fertiliser_SourceData.Fertiliser_Products_Data1(), FertiliserProducts[[#Headers],[Company]],1)</f>
        <v/>
      </c>
      <c r="AB114" s="177" t="str" cm="1">
        <f t="array" ref="AB114">Common_InputFunctions.Utility_DisplayArrayInTable(Fertiliser_SourceData.Fertiliser_Products_Data1(), FertiliserProducts[[#Headers],[Company]],1)</f>
        <v/>
      </c>
      <c r="AC114" s="177" t="str" cm="1">
        <f t="array" ref="AC114">Common_InputFunctions.Utility_DisplayArrayInTable(Fertiliser_SourceData.Fertiliser_Products_Data1(), FertiliserProducts[[#Headers],[Company]],1)</f>
        <v/>
      </c>
      <c r="AD114" s="177" t="str" cm="1">
        <f t="array" ref="AD114">Common_InputFunctions.Utility_DisplayArrayInTable(Fertiliser_SourceData.Fertiliser_Products_Data1(), FertiliserProducts[[#Headers],[Company]],1)</f>
        <v/>
      </c>
      <c r="AE114" s="177" t="str" cm="1">
        <f t="array" ref="AE114">Common_InputFunctions.Utility_DisplayArrayInTable(Fertiliser_SourceData.Fertiliser_Products_Data1(), FertiliserProducts[[#Headers],[Company]],1)</f>
        <v/>
      </c>
      <c r="AF114" s="177" t="str" cm="1">
        <f t="array" ref="AF114">Common_InputFunctions.Utility_DisplayArrayInTable(Fertiliser_SourceData.Fertiliser_Products_Data1(), FertiliserProducts[[#Headers],[Company]],1)</f>
        <v/>
      </c>
      <c r="AG114" s="177" t="str" cm="1">
        <f t="array" ref="AG114">Common_InputFunctions.Utility_DisplayArrayInTable(Fertiliser_SourceData.Fertiliser_Products_Data1(), FertiliserProducts[[#Headers],[Company]],1)</f>
        <v/>
      </c>
      <c r="AH114" s="177" t="str" cm="1">
        <f t="array" ref="AH114">Common_InputFunctions.Utility_DisplayArrayInTable(Fertiliser_SourceData.Fertiliser_Products_Data1(), FertiliserProducts[[#Headers],[Company]],1)</f>
        <v/>
      </c>
      <c r="AK114" s="1"/>
      <c r="AL114" s="1"/>
      <c r="AM114" s="1"/>
    </row>
    <row r="115" spans="4:39" ht="20" customHeight="1" x14ac:dyDescent="0.25">
      <c r="D115" s="177" t="str" cm="1">
        <f t="array" ref="D115">Common_InputFunctions.Utility_DisplayArrayInTable(Fertiliser_SourceData.Fertiliser_Products_Data1(), FertiliserProducts[[#Headers],[Company]],1)</f>
        <v>SL Tec</v>
      </c>
      <c r="E115" s="177" t="str" cm="1">
        <f t="array" ref="E115">Common_InputFunctions.Utility_DisplayArrayInTable(Fertiliser_SourceData.Fertiliser_Products_Data1(), FertiliserProducts[[#Headers],[Company]],1)</f>
        <v>CellCAL Plus</v>
      </c>
      <c r="F115" s="177" t="str" cm="1">
        <f t="array" ref="F115">Common_InputFunctions.Utility_DisplayArrayInTable(Fertiliser_SourceData.Fertiliser_Products_Data1(), FertiliserProducts[[#Headers],[Company]],1)</f>
        <v>L</v>
      </c>
      <c r="G115" s="177" cm="1">
        <f t="array" ref="G115">Common_InputFunctions.Utility_DisplayArrayInTable(Fertiliser_SourceData.Fertiliser_Products_Data1(), FertiliserProducts[[#Headers],[Company]],1)</f>
        <v>1.1379999999999999</v>
      </c>
      <c r="H115" s="177" t="str" cm="1">
        <f t="array" ref="H115">Common_InputFunctions.Utility_DisplayArrayInTable(Fertiliser_SourceData.Fertiliser_Products_Data1(), FertiliserProducts[[#Headers],[Company]],1)</f>
        <v/>
      </c>
      <c r="I115" s="177" t="str" cm="1">
        <f t="array" ref="I115">Common_InputFunctions.Utility_DisplayArrayInTable(Fertiliser_SourceData.Fertiliser_Products_Data1(), FertiliserProducts[[#Headers],[Company]],1)</f>
        <v/>
      </c>
      <c r="J115" s="177" t="str" cm="1">
        <f t="array" ref="J115">Common_InputFunctions.Utility_DisplayArrayInTable(Fertiliser_SourceData.Fertiliser_Products_Data1(), FertiliserProducts[[#Headers],[Company]],1)</f>
        <v/>
      </c>
      <c r="K115" s="177" t="str" cm="1">
        <f t="array" ref="K115">Common_InputFunctions.Utility_DisplayArrayInTable(Fertiliser_SourceData.Fertiliser_Products_Data1(), FertiliserProducts[[#Headers],[Company]],1)</f>
        <v/>
      </c>
      <c r="L115" s="177" t="str" cm="1">
        <f t="array" ref="L115">Common_InputFunctions.Utility_DisplayArrayInTable(Fertiliser_SourceData.Fertiliser_Products_Data1(), FertiliserProducts[[#Headers],[Company]],1)</f>
        <v/>
      </c>
      <c r="M115" s="177" t="str" cm="1">
        <f t="array" ref="M115">Common_InputFunctions.Utility_DisplayArrayInTable(Fertiliser_SourceData.Fertiliser_Products_Data1(), FertiliserProducts[[#Headers],[Company]],1)</f>
        <v/>
      </c>
      <c r="N115" s="177" t="str" cm="1">
        <f t="array" ref="N115">Common_InputFunctions.Utility_DisplayArrayInTable(Fertiliser_SourceData.Fertiliser_Products_Data1(), FertiliserProducts[[#Headers],[Company]],1)</f>
        <v/>
      </c>
      <c r="O115" s="177" t="str" cm="1">
        <f t="array" ref="O115">Common_InputFunctions.Utility_DisplayArrayInTable(Fertiliser_SourceData.Fertiliser_Products_Data1(), FertiliserProducts[[#Headers],[Company]],1)</f>
        <v>Calcium</v>
      </c>
      <c r="P115" s="177" cm="1">
        <f t="array" ref="P115">Common_InputFunctions.Utility_DisplayArrayInTable(Fertiliser_SourceData.Fertiliser_Products_Data1(), FertiliserProducts[[#Headers],[Company]],1)</f>
        <v>5.8999999999999997E-2</v>
      </c>
      <c r="Q115" s="177" t="str" cm="1">
        <f t="array" ref="Q115">Common_InputFunctions.Utility_DisplayArrayInTable(Fertiliser_SourceData.Fertiliser_Products_Data1(), FertiliserProducts[[#Headers],[Company]],1)</f>
        <v>Copper</v>
      </c>
      <c r="R115" s="177" cm="1">
        <f t="array" ref="R115">Common_InputFunctions.Utility_DisplayArrayInTable(Fertiliser_SourceData.Fertiliser_Products_Data1(), FertiliserProducts[[#Headers],[Company]],1)</f>
        <v>3.0000000000000001E-3</v>
      </c>
      <c r="S115" s="177" t="str" cm="1">
        <f t="array" ref="S115">Common_InputFunctions.Utility_DisplayArrayInTable(Fertiliser_SourceData.Fertiliser_Products_Data1(), FertiliserProducts[[#Headers],[Company]],1)</f>
        <v>Boron</v>
      </c>
      <c r="T115" s="177" cm="1">
        <f t="array" ref="T115">Common_InputFunctions.Utility_DisplayArrayInTable(Fertiliser_SourceData.Fertiliser_Products_Data1(), FertiliserProducts[[#Headers],[Company]],1)</f>
        <v>1E-3</v>
      </c>
      <c r="U115" s="177" t="str" cm="1">
        <f t="array" ref="U115">Common_InputFunctions.Utility_DisplayArrayInTable(Fertiliser_SourceData.Fertiliser_Products_Data1(), FertiliserProducts[[#Headers],[Company]],1)</f>
        <v/>
      </c>
      <c r="V115" s="177" t="str" cm="1">
        <f t="array" ref="V115">Common_InputFunctions.Utility_DisplayArrayInTable(Fertiliser_SourceData.Fertiliser_Products_Data1(), FertiliserProducts[[#Headers],[Company]],1)</f>
        <v/>
      </c>
      <c r="W115" s="177" t="str" cm="1">
        <f t="array" ref="W115">Common_InputFunctions.Utility_DisplayArrayInTable(Fertiliser_SourceData.Fertiliser_Products_Data1(), FertiliserProducts[[#Headers],[Company]],1)</f>
        <v/>
      </c>
      <c r="X115" s="177" t="str" cm="1">
        <f t="array" ref="X115">Common_InputFunctions.Utility_DisplayArrayInTable(Fertiliser_SourceData.Fertiliser_Products_Data1(), FertiliserProducts[[#Headers],[Company]],1)</f>
        <v/>
      </c>
      <c r="Y115" s="177" t="str" cm="1">
        <f t="array" ref="Y115">Common_InputFunctions.Utility_DisplayArrayInTable(Fertiliser_SourceData.Fertiliser_Products_Data1(), FertiliserProducts[[#Headers],[Company]],1)</f>
        <v/>
      </c>
      <c r="Z115" s="177" t="str" cm="1">
        <f t="array" ref="Z115">Common_InputFunctions.Utility_DisplayArrayInTable(Fertiliser_SourceData.Fertiliser_Products_Data1(), FertiliserProducts[[#Headers],[Company]],1)</f>
        <v/>
      </c>
      <c r="AA115" s="177" t="str" cm="1">
        <f t="array" ref="AA115">Common_InputFunctions.Utility_DisplayArrayInTable(Fertiliser_SourceData.Fertiliser_Products_Data1(), FertiliserProducts[[#Headers],[Company]],1)</f>
        <v/>
      </c>
      <c r="AB115" s="177" t="str" cm="1">
        <f t="array" ref="AB115">Common_InputFunctions.Utility_DisplayArrayInTable(Fertiliser_SourceData.Fertiliser_Products_Data1(), FertiliserProducts[[#Headers],[Company]],1)</f>
        <v/>
      </c>
      <c r="AC115" s="177" t="str" cm="1">
        <f t="array" ref="AC115">Common_InputFunctions.Utility_DisplayArrayInTable(Fertiliser_SourceData.Fertiliser_Products_Data1(), FertiliserProducts[[#Headers],[Company]],1)</f>
        <v/>
      </c>
      <c r="AD115" s="177" t="str" cm="1">
        <f t="array" ref="AD115">Common_InputFunctions.Utility_DisplayArrayInTable(Fertiliser_SourceData.Fertiliser_Products_Data1(), FertiliserProducts[[#Headers],[Company]],1)</f>
        <v/>
      </c>
      <c r="AE115" s="177" t="str" cm="1">
        <f t="array" ref="AE115">Common_InputFunctions.Utility_DisplayArrayInTable(Fertiliser_SourceData.Fertiliser_Products_Data1(), FertiliserProducts[[#Headers],[Company]],1)</f>
        <v/>
      </c>
      <c r="AF115" s="177" t="str" cm="1">
        <f t="array" ref="AF115">Common_InputFunctions.Utility_DisplayArrayInTable(Fertiliser_SourceData.Fertiliser_Products_Data1(), FertiliserProducts[[#Headers],[Company]],1)</f>
        <v/>
      </c>
      <c r="AG115" s="177" t="str" cm="1">
        <f t="array" ref="AG115">Common_InputFunctions.Utility_DisplayArrayInTable(Fertiliser_SourceData.Fertiliser_Products_Data1(), FertiliserProducts[[#Headers],[Company]],1)</f>
        <v/>
      </c>
      <c r="AH115" s="177" t="str" cm="1">
        <f t="array" ref="AH115">Common_InputFunctions.Utility_DisplayArrayInTable(Fertiliser_SourceData.Fertiliser_Products_Data1(), FertiliserProducts[[#Headers],[Company]],1)</f>
        <v/>
      </c>
      <c r="AK115" s="1"/>
      <c r="AL115" s="1"/>
      <c r="AM115" s="1"/>
    </row>
    <row r="116" spans="4:39" ht="20" customHeight="1" x14ac:dyDescent="0.25">
      <c r="D116" s="177" t="str" cm="1">
        <f t="array" ref="D116">Common_InputFunctions.Utility_DisplayArrayInTable(Fertiliser_SourceData.Fertiliser_Products_Data1(), FertiliserProducts[[#Headers],[Company]],1)</f>
        <v>Incitec Pivot Fertilisers</v>
      </c>
      <c r="E116" s="177" t="str" cm="1">
        <f t="array" ref="E116">Common_InputFunctions.Utility_DisplayArrayInTable(Fertiliser_SourceData.Fertiliser_Products_Data1(), FertiliserProducts[[#Headers],[Company]],1)</f>
        <v>CK55</v>
      </c>
      <c r="F116" s="177" t="str" cm="1">
        <f t="array" ref="F116">Common_InputFunctions.Utility_DisplayArrayInTable(Fertiliser_SourceData.Fertiliser_Products_Data1(), FertiliserProducts[[#Headers],[Company]],1)</f>
        <v>kg</v>
      </c>
      <c r="G116" s="177" cm="1">
        <f t="array" ref="G116">Common_InputFunctions.Utility_DisplayArrayInTable(Fertiliser_SourceData.Fertiliser_Products_Data1(), FertiliserProducts[[#Headers],[Company]],1)</f>
        <v>1</v>
      </c>
      <c r="H116" s="177" t="str" cm="1">
        <f t="array" ref="H116">Common_InputFunctions.Utility_DisplayArrayInTable(Fertiliser_SourceData.Fertiliser_Products_Data1(), FertiliserProducts[[#Headers],[Company]],1)</f>
        <v/>
      </c>
      <c r="I116" s="177" t="str" cm="1">
        <f t="array" ref="I116">Common_InputFunctions.Utility_DisplayArrayInTable(Fertiliser_SourceData.Fertiliser_Products_Data1(), FertiliserProducts[[#Headers],[Company]],1)</f>
        <v/>
      </c>
      <c r="J116" s="177" t="str" cm="1">
        <f t="array" ref="J116">Common_InputFunctions.Utility_DisplayArrayInTable(Fertiliser_SourceData.Fertiliser_Products_Data1(), FertiliserProducts[[#Headers],[Company]],1)</f>
        <v/>
      </c>
      <c r="K116" s="177" cm="1">
        <f t="array" ref="K116">Common_InputFunctions.Utility_DisplayArrayInTable(Fertiliser_SourceData.Fertiliser_Products_Data1(), FertiliserProducts[[#Headers],[Company]],1)</f>
        <v>13.5</v>
      </c>
      <c r="L116" s="177" cm="1">
        <f t="array" ref="L116">Common_InputFunctions.Utility_DisplayArrayInTable(Fertiliser_SourceData.Fertiliser_Products_Data1(), FertiliserProducts[[#Headers],[Company]],1)</f>
        <v>15</v>
      </c>
      <c r="M116" s="177" cm="1">
        <f t="array" ref="M116">Common_InputFunctions.Utility_DisplayArrayInTable(Fertiliser_SourceData.Fertiliser_Products_Data1(), FertiliserProducts[[#Headers],[Company]],1)</f>
        <v>6.25</v>
      </c>
      <c r="N116" s="177" cm="1">
        <f t="array" ref="N116">Common_InputFunctions.Utility_DisplayArrayInTable(Fertiliser_SourceData.Fertiliser_Products_Data1(), FertiliserProducts[[#Headers],[Company]],1)</f>
        <v>1.2</v>
      </c>
      <c r="O116" s="177" t="str" cm="1">
        <f t="array" ref="O116">Common_InputFunctions.Utility_DisplayArrayInTable(Fertiliser_SourceData.Fertiliser_Products_Data1(), FertiliserProducts[[#Headers],[Company]],1)</f>
        <v>Phosphorus - Generic</v>
      </c>
      <c r="P116" s="177" cm="1">
        <f t="array" ref="P116">Common_InputFunctions.Utility_DisplayArrayInTable(Fertiliser_SourceData.Fertiliser_Products_Data1(), FertiliserProducts[[#Headers],[Company]],1)</f>
        <v>0.15</v>
      </c>
      <c r="Q116" s="177" t="str" cm="1">
        <f t="array" ref="Q116">Common_InputFunctions.Utility_DisplayArrayInTable(Fertiliser_SourceData.Fertiliser_Products_Data1(), FertiliserProducts[[#Headers],[Company]],1)</f>
        <v>Nitrogen - Ammoniacal</v>
      </c>
      <c r="R116" s="177" cm="1">
        <f t="array" ref="R116">Common_InputFunctions.Utility_DisplayArrayInTable(Fertiliser_SourceData.Fertiliser_Products_Data1(), FertiliserProducts[[#Headers],[Company]],1)</f>
        <v>0.13500000000000001</v>
      </c>
      <c r="S116" s="177" t="str" cm="1">
        <f t="array" ref="S116">Common_InputFunctions.Utility_DisplayArrayInTable(Fertiliser_SourceData.Fertiliser_Products_Data1(), FertiliserProducts[[#Headers],[Company]],1)</f>
        <v>Muriate of potash (MOP)</v>
      </c>
      <c r="T116" s="177" cm="1">
        <f t="array" ref="T116">Common_InputFunctions.Utility_DisplayArrayInTable(Fertiliser_SourceData.Fertiliser_Products_Data1(), FertiliserProducts[[#Headers],[Company]],1)</f>
        <v>0.125</v>
      </c>
      <c r="U116" s="177" t="str" cm="1">
        <f t="array" ref="U116">Common_InputFunctions.Utility_DisplayArrayInTable(Fertiliser_SourceData.Fertiliser_Products_Data1(), FertiliserProducts[[#Headers],[Company]],1)</f>
        <v>Fluoride</v>
      </c>
      <c r="V116" s="177" cm="1">
        <f t="array" ref="V116">Common_InputFunctions.Utility_DisplayArrayInTable(Fertiliser_SourceData.Fertiliser_Products_Data1(), FertiliserProducts[[#Headers],[Company]],1)</f>
        <v>2.3E-2</v>
      </c>
      <c r="W116" s="177" t="str" cm="1">
        <f t="array" ref="W116">Common_InputFunctions.Utility_DisplayArrayInTable(Fertiliser_SourceData.Fertiliser_Products_Data1(), FertiliserProducts[[#Headers],[Company]],1)</f>
        <v>Sulfur - Generic</v>
      </c>
      <c r="X116" s="177" cm="1">
        <f t="array" ref="X116">Common_InputFunctions.Utility_DisplayArrayInTable(Fertiliser_SourceData.Fertiliser_Products_Data1(), FertiliserProducts[[#Headers],[Company]],1)</f>
        <v>1.2E-2</v>
      </c>
      <c r="Y116" s="177" t="str" cm="1">
        <f t="array" ref="Y116">Common_InputFunctions.Utility_DisplayArrayInTable(Fertiliser_SourceData.Fertiliser_Products_Data1(), FertiliserProducts[[#Headers],[Company]],1)</f>
        <v/>
      </c>
      <c r="Z116" s="177" t="str" cm="1">
        <f t="array" ref="Z116">Common_InputFunctions.Utility_DisplayArrayInTable(Fertiliser_SourceData.Fertiliser_Products_Data1(), FertiliserProducts[[#Headers],[Company]],1)</f>
        <v/>
      </c>
      <c r="AA116" s="177" t="str" cm="1">
        <f t="array" ref="AA116">Common_InputFunctions.Utility_DisplayArrayInTable(Fertiliser_SourceData.Fertiliser_Products_Data1(), FertiliserProducts[[#Headers],[Company]],1)</f>
        <v/>
      </c>
      <c r="AB116" s="177" t="str" cm="1">
        <f t="array" ref="AB116">Common_InputFunctions.Utility_DisplayArrayInTable(Fertiliser_SourceData.Fertiliser_Products_Data1(), FertiliserProducts[[#Headers],[Company]],1)</f>
        <v/>
      </c>
      <c r="AC116" s="177" t="str" cm="1">
        <f t="array" ref="AC116">Common_InputFunctions.Utility_DisplayArrayInTable(Fertiliser_SourceData.Fertiliser_Products_Data1(), FertiliserProducts[[#Headers],[Company]],1)</f>
        <v/>
      </c>
      <c r="AD116" s="177" t="str" cm="1">
        <f t="array" ref="AD116">Common_InputFunctions.Utility_DisplayArrayInTable(Fertiliser_SourceData.Fertiliser_Products_Data1(), FertiliserProducts[[#Headers],[Company]],1)</f>
        <v/>
      </c>
      <c r="AE116" s="177" t="str" cm="1">
        <f t="array" ref="AE116">Common_InputFunctions.Utility_DisplayArrayInTable(Fertiliser_SourceData.Fertiliser_Products_Data1(), FertiliserProducts[[#Headers],[Company]],1)</f>
        <v/>
      </c>
      <c r="AF116" s="177" t="str" cm="1">
        <f t="array" ref="AF116">Common_InputFunctions.Utility_DisplayArrayInTable(Fertiliser_SourceData.Fertiliser_Products_Data1(), FertiliserProducts[[#Headers],[Company]],1)</f>
        <v/>
      </c>
      <c r="AG116" s="177" t="str" cm="1">
        <f t="array" ref="AG116">Common_InputFunctions.Utility_DisplayArrayInTable(Fertiliser_SourceData.Fertiliser_Products_Data1(), FertiliserProducts[[#Headers],[Company]],1)</f>
        <v/>
      </c>
      <c r="AH116" s="177" t="str" cm="1">
        <f t="array" ref="AH116">Common_InputFunctions.Utility_DisplayArrayInTable(Fertiliser_SourceData.Fertiliser_Products_Data1(), FertiliserProducts[[#Headers],[Company]],1)</f>
        <v/>
      </c>
      <c r="AK116" s="1"/>
      <c r="AL116" s="1"/>
      <c r="AM116" s="1"/>
    </row>
    <row r="117" spans="4:39" ht="20" customHeight="1" x14ac:dyDescent="0.25">
      <c r="D117" s="177" t="str" cm="1">
        <f t="array" ref="D117">Common_InputFunctions.Utility_DisplayArrayInTable(Fertiliser_SourceData.Fertiliser_Products_Data1(), FertiliserProducts[[#Headers],[Company]],1)</f>
        <v>Switch Ag</v>
      </c>
      <c r="E117" s="177" t="str" cm="1">
        <f t="array" ref="E117">Common_InputFunctions.Utility_DisplayArrayInTable(Fertiliser_SourceData.Fertiliser_Products_Data1(), FertiliserProducts[[#Headers],[Company]],1)</f>
        <v>Crop K</v>
      </c>
      <c r="F117" s="177" t="str" cm="1">
        <f t="array" ref="F117">Common_InputFunctions.Utility_DisplayArrayInTable(Fertiliser_SourceData.Fertiliser_Products_Data1(), FertiliserProducts[[#Headers],[Company]],1)</f>
        <v>L</v>
      </c>
      <c r="G117" s="177" cm="1">
        <f t="array" ref="G117">Common_InputFunctions.Utility_DisplayArrayInTable(Fertiliser_SourceData.Fertiliser_Products_Data1(), FertiliserProducts[[#Headers],[Company]],1)</f>
        <v>1.25</v>
      </c>
      <c r="H117" s="177" t="str" cm="1">
        <f t="array" ref="H117">Common_InputFunctions.Utility_DisplayArrayInTable(Fertiliser_SourceData.Fertiliser_Products_Data1(), FertiliserProducts[[#Headers],[Company]],1)</f>
        <v/>
      </c>
      <c r="I117" s="177" t="str" cm="1">
        <f t="array" ref="I117">Common_InputFunctions.Utility_DisplayArrayInTable(Fertiliser_SourceData.Fertiliser_Products_Data1(), FertiliserProducts[[#Headers],[Company]],1)</f>
        <v/>
      </c>
      <c r="J117" s="177" t="str" cm="1">
        <f t="array" ref="J117">Common_InputFunctions.Utility_DisplayArrayInTable(Fertiliser_SourceData.Fertiliser_Products_Data1(), FertiliserProducts[[#Headers],[Company]],1)</f>
        <v/>
      </c>
      <c r="K117" s="177" cm="1">
        <f t="array" ref="K117">Common_InputFunctions.Utility_DisplayArrayInTable(Fertiliser_SourceData.Fertiliser_Products_Data1(), FertiliserProducts[[#Headers],[Company]],1)</f>
        <v>3</v>
      </c>
      <c r="L117" s="177" t="str" cm="1">
        <f t="array" ref="L117">Common_InputFunctions.Utility_DisplayArrayInTable(Fertiliser_SourceData.Fertiliser_Products_Data1(), FertiliserProducts[[#Headers],[Company]],1)</f>
        <v/>
      </c>
      <c r="M117" s="177" cm="1">
        <f t="array" ref="M117">Common_InputFunctions.Utility_DisplayArrayInTable(Fertiliser_SourceData.Fertiliser_Products_Data1(), FertiliserProducts[[#Headers],[Company]],1)</f>
        <v>21</v>
      </c>
      <c r="N117" s="177" t="str" cm="1">
        <f t="array" ref="N117">Common_InputFunctions.Utility_DisplayArrayInTable(Fertiliser_SourceData.Fertiliser_Products_Data1(), FertiliserProducts[[#Headers],[Company]],1)</f>
        <v/>
      </c>
      <c r="O117" s="177" t="str" cm="1">
        <f t="array" ref="O117">Common_InputFunctions.Utility_DisplayArrayInTable(Fertiliser_SourceData.Fertiliser_Products_Data1(), FertiliserProducts[[#Headers],[Company]],1)</f>
        <v>Potassium - Generic</v>
      </c>
      <c r="P117" s="177" cm="1">
        <f t="array" ref="P117">Common_InputFunctions.Utility_DisplayArrayInTable(Fertiliser_SourceData.Fertiliser_Products_Data1(), FertiliserProducts[[#Headers],[Company]],1)</f>
        <v>0.21</v>
      </c>
      <c r="Q117" s="177" t="str" cm="1">
        <f t="array" ref="Q117">Common_InputFunctions.Utility_DisplayArrayInTable(Fertiliser_SourceData.Fertiliser_Products_Data1(), FertiliserProducts[[#Headers],[Company]],1)</f>
        <v>Nitrogen - Generic</v>
      </c>
      <c r="R117" s="177" cm="1">
        <f t="array" ref="R117">Common_InputFunctions.Utility_DisplayArrayInTable(Fertiliser_SourceData.Fertiliser_Products_Data1(), FertiliserProducts[[#Headers],[Company]],1)</f>
        <v>0.03</v>
      </c>
      <c r="S117" s="177" t="str" cm="1">
        <f t="array" ref="S117">Common_InputFunctions.Utility_DisplayArrayInTable(Fertiliser_SourceData.Fertiliser_Products_Data1(), FertiliserProducts[[#Headers],[Company]],1)</f>
        <v/>
      </c>
      <c r="T117" s="177" t="str" cm="1">
        <f t="array" ref="T117">Common_InputFunctions.Utility_DisplayArrayInTable(Fertiliser_SourceData.Fertiliser_Products_Data1(), FertiliserProducts[[#Headers],[Company]],1)</f>
        <v/>
      </c>
      <c r="U117" s="177" t="str" cm="1">
        <f t="array" ref="U117">Common_InputFunctions.Utility_DisplayArrayInTable(Fertiliser_SourceData.Fertiliser_Products_Data1(), FertiliserProducts[[#Headers],[Company]],1)</f>
        <v/>
      </c>
      <c r="V117" s="177" t="str" cm="1">
        <f t="array" ref="V117">Common_InputFunctions.Utility_DisplayArrayInTable(Fertiliser_SourceData.Fertiliser_Products_Data1(), FertiliserProducts[[#Headers],[Company]],1)</f>
        <v/>
      </c>
      <c r="W117" s="177" t="str" cm="1">
        <f t="array" ref="W117">Common_InputFunctions.Utility_DisplayArrayInTable(Fertiliser_SourceData.Fertiliser_Products_Data1(), FertiliserProducts[[#Headers],[Company]],1)</f>
        <v/>
      </c>
      <c r="X117" s="177" t="str" cm="1">
        <f t="array" ref="X117">Common_InputFunctions.Utility_DisplayArrayInTable(Fertiliser_SourceData.Fertiliser_Products_Data1(), FertiliserProducts[[#Headers],[Company]],1)</f>
        <v/>
      </c>
      <c r="Y117" s="177" t="str" cm="1">
        <f t="array" ref="Y117">Common_InputFunctions.Utility_DisplayArrayInTable(Fertiliser_SourceData.Fertiliser_Products_Data1(), FertiliserProducts[[#Headers],[Company]],1)</f>
        <v/>
      </c>
      <c r="Z117" s="177" t="str" cm="1">
        <f t="array" ref="Z117">Common_InputFunctions.Utility_DisplayArrayInTable(Fertiliser_SourceData.Fertiliser_Products_Data1(), FertiliserProducts[[#Headers],[Company]],1)</f>
        <v/>
      </c>
      <c r="AA117" s="177" t="str" cm="1">
        <f t="array" ref="AA117">Common_InputFunctions.Utility_DisplayArrayInTable(Fertiliser_SourceData.Fertiliser_Products_Data1(), FertiliserProducts[[#Headers],[Company]],1)</f>
        <v/>
      </c>
      <c r="AB117" s="177" t="str" cm="1">
        <f t="array" ref="AB117">Common_InputFunctions.Utility_DisplayArrayInTable(Fertiliser_SourceData.Fertiliser_Products_Data1(), FertiliserProducts[[#Headers],[Company]],1)</f>
        <v/>
      </c>
      <c r="AC117" s="177" t="str" cm="1">
        <f t="array" ref="AC117">Common_InputFunctions.Utility_DisplayArrayInTable(Fertiliser_SourceData.Fertiliser_Products_Data1(), FertiliserProducts[[#Headers],[Company]],1)</f>
        <v/>
      </c>
      <c r="AD117" s="177" t="str" cm="1">
        <f t="array" ref="AD117">Common_InputFunctions.Utility_DisplayArrayInTable(Fertiliser_SourceData.Fertiliser_Products_Data1(), FertiliserProducts[[#Headers],[Company]],1)</f>
        <v/>
      </c>
      <c r="AE117" s="177" t="str" cm="1">
        <f t="array" ref="AE117">Common_InputFunctions.Utility_DisplayArrayInTable(Fertiliser_SourceData.Fertiliser_Products_Data1(), FertiliserProducts[[#Headers],[Company]],1)</f>
        <v/>
      </c>
      <c r="AF117" s="177" t="str" cm="1">
        <f t="array" ref="AF117">Common_InputFunctions.Utility_DisplayArrayInTable(Fertiliser_SourceData.Fertiliser_Products_Data1(), FertiliserProducts[[#Headers],[Company]],1)</f>
        <v/>
      </c>
      <c r="AG117" s="177" t="str" cm="1">
        <f t="array" ref="AG117">Common_InputFunctions.Utility_DisplayArrayInTable(Fertiliser_SourceData.Fertiliser_Products_Data1(), FertiliserProducts[[#Headers],[Company]],1)</f>
        <v/>
      </c>
      <c r="AH117" s="177" t="str" cm="1">
        <f t="array" ref="AH117">Common_InputFunctions.Utility_DisplayArrayInTable(Fertiliser_SourceData.Fertiliser_Products_Data1(), FertiliserProducts[[#Headers],[Company]],1)</f>
        <v/>
      </c>
      <c r="AK117" s="1"/>
      <c r="AL117" s="1"/>
      <c r="AM117" s="1"/>
    </row>
    <row r="118" spans="4:39" ht="20" customHeight="1" x14ac:dyDescent="0.25">
      <c r="D118" s="177" t="str" cm="1">
        <f t="array" ref="D118">Common_InputFunctions.Utility_DisplayArrayInTable(Fertiliser_SourceData.Fertiliser_Products_Data1(), FertiliserProducts[[#Headers],[Company]],1)</f>
        <v>Switch Ag</v>
      </c>
      <c r="E118" s="177" t="str" cm="1">
        <f t="array" ref="E118">Common_InputFunctions.Utility_DisplayArrayInTable(Fertiliser_SourceData.Fertiliser_Products_Data1(), FertiliserProducts[[#Headers],[Company]],1)</f>
        <v>Crop Starter</v>
      </c>
      <c r="F118" s="177" t="str" cm="1">
        <f t="array" ref="F118">Common_InputFunctions.Utility_DisplayArrayInTable(Fertiliser_SourceData.Fertiliser_Products_Data1(), FertiliserProducts[[#Headers],[Company]],1)</f>
        <v>L</v>
      </c>
      <c r="G118" s="177" cm="1">
        <f t="array" ref="G118">Common_InputFunctions.Utility_DisplayArrayInTable(Fertiliser_SourceData.Fertiliser_Products_Data1(), FertiliserProducts[[#Headers],[Company]],1)</f>
        <v>1.2</v>
      </c>
      <c r="H118" s="177" t="str" cm="1">
        <f t="array" ref="H118">Common_InputFunctions.Utility_DisplayArrayInTable(Fertiliser_SourceData.Fertiliser_Products_Data1(), FertiliserProducts[[#Headers],[Company]],1)</f>
        <v/>
      </c>
      <c r="I118" s="177" t="str" cm="1">
        <f t="array" ref="I118">Common_InputFunctions.Utility_DisplayArrayInTable(Fertiliser_SourceData.Fertiliser_Products_Data1(), FertiliserProducts[[#Headers],[Company]],1)</f>
        <v/>
      </c>
      <c r="J118" s="177" t="str" cm="1">
        <f t="array" ref="J118">Common_InputFunctions.Utility_DisplayArrayInTable(Fertiliser_SourceData.Fertiliser_Products_Data1(), FertiliserProducts[[#Headers],[Company]],1)</f>
        <v/>
      </c>
      <c r="K118" s="177" cm="1">
        <f t="array" ref="K118">Common_InputFunctions.Utility_DisplayArrayInTable(Fertiliser_SourceData.Fertiliser_Products_Data1(), FertiliserProducts[[#Headers],[Company]],1)</f>
        <v>5</v>
      </c>
      <c r="L118" s="177" cm="1">
        <f t="array" ref="L118">Common_InputFunctions.Utility_DisplayArrayInTable(Fertiliser_SourceData.Fertiliser_Products_Data1(), FertiliserProducts[[#Headers],[Company]],1)</f>
        <v>3</v>
      </c>
      <c r="M118" s="177" cm="1">
        <f t="array" ref="M118">Common_InputFunctions.Utility_DisplayArrayInTable(Fertiliser_SourceData.Fertiliser_Products_Data1(), FertiliserProducts[[#Headers],[Company]],1)</f>
        <v>8</v>
      </c>
      <c r="N118" s="177" t="str" cm="1">
        <f t="array" ref="N118">Common_InputFunctions.Utility_DisplayArrayInTable(Fertiliser_SourceData.Fertiliser_Products_Data1(), FertiliserProducts[[#Headers],[Company]],1)</f>
        <v/>
      </c>
      <c r="O118" s="177" t="str" cm="1">
        <f t="array" ref="O118">Common_InputFunctions.Utility_DisplayArrayInTable(Fertiliser_SourceData.Fertiliser_Products_Data1(), FertiliserProducts[[#Headers],[Company]],1)</f>
        <v>Potassium - Generic</v>
      </c>
      <c r="P118" s="177" cm="1">
        <f t="array" ref="P118">Common_InputFunctions.Utility_DisplayArrayInTable(Fertiliser_SourceData.Fertiliser_Products_Data1(), FertiliserProducts[[#Headers],[Company]],1)</f>
        <v>0.08</v>
      </c>
      <c r="Q118" s="177" t="str" cm="1">
        <f t="array" ref="Q118">Common_InputFunctions.Utility_DisplayArrayInTable(Fertiliser_SourceData.Fertiliser_Products_Data1(), FertiliserProducts[[#Headers],[Company]],1)</f>
        <v>Nitrogen - Generic</v>
      </c>
      <c r="R118" s="177" cm="1">
        <f t="array" ref="R118">Common_InputFunctions.Utility_DisplayArrayInTable(Fertiliser_SourceData.Fertiliser_Products_Data1(), FertiliserProducts[[#Headers],[Company]],1)</f>
        <v>0.05</v>
      </c>
      <c r="S118" s="177" t="str" cm="1">
        <f t="array" ref="S118">Common_InputFunctions.Utility_DisplayArrayInTable(Fertiliser_SourceData.Fertiliser_Products_Data1(), FertiliserProducts[[#Headers],[Company]],1)</f>
        <v>Phosphorus - Generic</v>
      </c>
      <c r="T118" s="177" cm="1">
        <f t="array" ref="T118">Common_InputFunctions.Utility_DisplayArrayInTable(Fertiliser_SourceData.Fertiliser_Products_Data1(), FertiliserProducts[[#Headers],[Company]],1)</f>
        <v>0.03</v>
      </c>
      <c r="U118" s="177" t="str" cm="1">
        <f t="array" ref="U118">Common_InputFunctions.Utility_DisplayArrayInTable(Fertiliser_SourceData.Fertiliser_Products_Data1(), FertiliserProducts[[#Headers],[Company]],1)</f>
        <v/>
      </c>
      <c r="V118" s="177" t="str" cm="1">
        <f t="array" ref="V118">Common_InputFunctions.Utility_DisplayArrayInTable(Fertiliser_SourceData.Fertiliser_Products_Data1(), FertiliserProducts[[#Headers],[Company]],1)</f>
        <v/>
      </c>
      <c r="W118" s="177" t="str" cm="1">
        <f t="array" ref="W118">Common_InputFunctions.Utility_DisplayArrayInTable(Fertiliser_SourceData.Fertiliser_Products_Data1(), FertiliserProducts[[#Headers],[Company]],1)</f>
        <v/>
      </c>
      <c r="X118" s="177" t="str" cm="1">
        <f t="array" ref="X118">Common_InputFunctions.Utility_DisplayArrayInTable(Fertiliser_SourceData.Fertiliser_Products_Data1(), FertiliserProducts[[#Headers],[Company]],1)</f>
        <v/>
      </c>
      <c r="Y118" s="177" t="str" cm="1">
        <f t="array" ref="Y118">Common_InputFunctions.Utility_DisplayArrayInTable(Fertiliser_SourceData.Fertiliser_Products_Data1(), FertiliserProducts[[#Headers],[Company]],1)</f>
        <v/>
      </c>
      <c r="Z118" s="177" t="str" cm="1">
        <f t="array" ref="Z118">Common_InputFunctions.Utility_DisplayArrayInTable(Fertiliser_SourceData.Fertiliser_Products_Data1(), FertiliserProducts[[#Headers],[Company]],1)</f>
        <v/>
      </c>
      <c r="AA118" s="177" t="str" cm="1">
        <f t="array" ref="AA118">Common_InputFunctions.Utility_DisplayArrayInTable(Fertiliser_SourceData.Fertiliser_Products_Data1(), FertiliserProducts[[#Headers],[Company]],1)</f>
        <v/>
      </c>
      <c r="AB118" s="177" t="str" cm="1">
        <f t="array" ref="AB118">Common_InputFunctions.Utility_DisplayArrayInTable(Fertiliser_SourceData.Fertiliser_Products_Data1(), FertiliserProducts[[#Headers],[Company]],1)</f>
        <v/>
      </c>
      <c r="AC118" s="177" t="str" cm="1">
        <f t="array" ref="AC118">Common_InputFunctions.Utility_DisplayArrayInTable(Fertiliser_SourceData.Fertiliser_Products_Data1(), FertiliserProducts[[#Headers],[Company]],1)</f>
        <v/>
      </c>
      <c r="AD118" s="177" t="str" cm="1">
        <f t="array" ref="AD118">Common_InputFunctions.Utility_DisplayArrayInTable(Fertiliser_SourceData.Fertiliser_Products_Data1(), FertiliserProducts[[#Headers],[Company]],1)</f>
        <v/>
      </c>
      <c r="AE118" s="177" t="str" cm="1">
        <f t="array" ref="AE118">Common_InputFunctions.Utility_DisplayArrayInTable(Fertiliser_SourceData.Fertiliser_Products_Data1(), FertiliserProducts[[#Headers],[Company]],1)</f>
        <v/>
      </c>
      <c r="AF118" s="177" t="str" cm="1">
        <f t="array" ref="AF118">Common_InputFunctions.Utility_DisplayArrayInTable(Fertiliser_SourceData.Fertiliser_Products_Data1(), FertiliserProducts[[#Headers],[Company]],1)</f>
        <v/>
      </c>
      <c r="AG118" s="177" t="str" cm="1">
        <f t="array" ref="AG118">Common_InputFunctions.Utility_DisplayArrayInTable(Fertiliser_SourceData.Fertiliser_Products_Data1(), FertiliserProducts[[#Headers],[Company]],1)</f>
        <v/>
      </c>
      <c r="AH118" s="177" t="str" cm="1">
        <f t="array" ref="AH118">Common_InputFunctions.Utility_DisplayArrayInTable(Fertiliser_SourceData.Fertiliser_Products_Data1(), FertiliserProducts[[#Headers],[Company]],1)</f>
        <v/>
      </c>
      <c r="AK118" s="1"/>
      <c r="AL118" s="1"/>
      <c r="AM118" s="1"/>
    </row>
    <row r="119" spans="4:39" ht="20" customHeight="1" x14ac:dyDescent="0.25">
      <c r="D119" s="177" t="str" cm="1">
        <f t="array" ref="D119">Common_InputFunctions.Utility_DisplayArrayInTable(Fertiliser_SourceData.Fertiliser_Products_Data1(), FertiliserProducts[[#Headers],[Company]],1)</f>
        <v>Incitec Pivot Fertilisers</v>
      </c>
      <c r="E119" s="177" t="str" cm="1">
        <f t="array" ref="E119">Common_InputFunctions.Utility_DisplayArrayInTable(Fertiliser_SourceData.Fertiliser_Products_Data1(), FertiliserProducts[[#Headers],[Company]],1)</f>
        <v>Gran-Am</v>
      </c>
      <c r="F119" s="177" t="str" cm="1">
        <f t="array" ref="F119">Common_InputFunctions.Utility_DisplayArrayInTable(Fertiliser_SourceData.Fertiliser_Products_Data1(), FertiliserProducts[[#Headers],[Company]],1)</f>
        <v>kg</v>
      </c>
      <c r="G119" s="177" cm="1">
        <f t="array" ref="G119">Common_InputFunctions.Utility_DisplayArrayInTable(Fertiliser_SourceData.Fertiliser_Products_Data1(), FertiliserProducts[[#Headers],[Company]],1)</f>
        <v>1</v>
      </c>
      <c r="H119" s="177" t="str" cm="1">
        <f t="array" ref="H119">Common_InputFunctions.Utility_DisplayArrayInTable(Fertiliser_SourceData.Fertiliser_Products_Data1(), FertiliserProducts[[#Headers],[Company]],1)</f>
        <v/>
      </c>
      <c r="I119" s="177" t="str" cm="1">
        <f t="array" ref="I119">Common_InputFunctions.Utility_DisplayArrayInTable(Fertiliser_SourceData.Fertiliser_Products_Data1(), FertiliserProducts[[#Headers],[Company]],1)</f>
        <v/>
      </c>
      <c r="J119" s="177" t="str" cm="1">
        <f t="array" ref="J119">Common_InputFunctions.Utility_DisplayArrayInTable(Fertiliser_SourceData.Fertiliser_Products_Data1(), FertiliserProducts[[#Headers],[Company]],1)</f>
        <v/>
      </c>
      <c r="K119" s="177" cm="1">
        <f t="array" ref="K119">Common_InputFunctions.Utility_DisplayArrayInTable(Fertiliser_SourceData.Fertiliser_Products_Data1(), FertiliserProducts[[#Headers],[Company]],1)</f>
        <v>21</v>
      </c>
      <c r="L119" s="177" t="str" cm="1">
        <f t="array" ref="L119">Common_InputFunctions.Utility_DisplayArrayInTable(Fertiliser_SourceData.Fertiliser_Products_Data1(), FertiliserProducts[[#Headers],[Company]],1)</f>
        <v/>
      </c>
      <c r="M119" s="177" t="str" cm="1">
        <f t="array" ref="M119">Common_InputFunctions.Utility_DisplayArrayInTable(Fertiliser_SourceData.Fertiliser_Products_Data1(), FertiliserProducts[[#Headers],[Company]],1)</f>
        <v/>
      </c>
      <c r="N119" s="177" cm="1">
        <f t="array" ref="N119">Common_InputFunctions.Utility_DisplayArrayInTable(Fertiliser_SourceData.Fertiliser_Products_Data1(), FertiliserProducts[[#Headers],[Company]],1)</f>
        <v>24</v>
      </c>
      <c r="O119" s="177" t="str" cm="1">
        <f t="array" ref="O119">Common_InputFunctions.Utility_DisplayArrayInTable(Fertiliser_SourceData.Fertiliser_Products_Data1(), FertiliserProducts[[#Headers],[Company]],1)</f>
        <v>Sulphate of ammonia (SOA)</v>
      </c>
      <c r="P119" s="177" cm="1">
        <f t="array" ref="P119">Common_InputFunctions.Utility_DisplayArrayInTable(Fertiliser_SourceData.Fertiliser_Products_Data1(), FertiliserProducts[[#Headers],[Company]],1)</f>
        <v>1</v>
      </c>
      <c r="Q119" s="177" t="str" cm="1">
        <f t="array" ref="Q119">Common_InputFunctions.Utility_DisplayArrayInTable(Fertiliser_SourceData.Fertiliser_Products_Data1(), FertiliserProducts[[#Headers],[Company]],1)</f>
        <v/>
      </c>
      <c r="R119" s="177" t="str" cm="1">
        <f t="array" ref="R119">Common_InputFunctions.Utility_DisplayArrayInTable(Fertiliser_SourceData.Fertiliser_Products_Data1(), FertiliserProducts[[#Headers],[Company]],1)</f>
        <v/>
      </c>
      <c r="S119" s="177" t="str" cm="1">
        <f t="array" ref="S119">Common_InputFunctions.Utility_DisplayArrayInTable(Fertiliser_SourceData.Fertiliser_Products_Data1(), FertiliserProducts[[#Headers],[Company]],1)</f>
        <v/>
      </c>
      <c r="T119" s="177" t="str" cm="1">
        <f t="array" ref="T119">Common_InputFunctions.Utility_DisplayArrayInTable(Fertiliser_SourceData.Fertiliser_Products_Data1(), FertiliserProducts[[#Headers],[Company]],1)</f>
        <v/>
      </c>
      <c r="U119" s="177" t="str" cm="1">
        <f t="array" ref="U119">Common_InputFunctions.Utility_DisplayArrayInTable(Fertiliser_SourceData.Fertiliser_Products_Data1(), FertiliserProducts[[#Headers],[Company]],1)</f>
        <v/>
      </c>
      <c r="V119" s="177" t="str" cm="1">
        <f t="array" ref="V119">Common_InputFunctions.Utility_DisplayArrayInTable(Fertiliser_SourceData.Fertiliser_Products_Data1(), FertiliserProducts[[#Headers],[Company]],1)</f>
        <v/>
      </c>
      <c r="W119" s="177" t="str" cm="1">
        <f t="array" ref="W119">Common_InputFunctions.Utility_DisplayArrayInTable(Fertiliser_SourceData.Fertiliser_Products_Data1(), FertiliserProducts[[#Headers],[Company]],1)</f>
        <v/>
      </c>
      <c r="X119" s="177" t="str" cm="1">
        <f t="array" ref="X119">Common_InputFunctions.Utility_DisplayArrayInTable(Fertiliser_SourceData.Fertiliser_Products_Data1(), FertiliserProducts[[#Headers],[Company]],1)</f>
        <v/>
      </c>
      <c r="Y119" s="177" t="str" cm="1">
        <f t="array" ref="Y119">Common_InputFunctions.Utility_DisplayArrayInTable(Fertiliser_SourceData.Fertiliser_Products_Data1(), FertiliserProducts[[#Headers],[Company]],1)</f>
        <v/>
      </c>
      <c r="Z119" s="177" t="str" cm="1">
        <f t="array" ref="Z119">Common_InputFunctions.Utility_DisplayArrayInTable(Fertiliser_SourceData.Fertiliser_Products_Data1(), FertiliserProducts[[#Headers],[Company]],1)</f>
        <v/>
      </c>
      <c r="AA119" s="177" t="str" cm="1">
        <f t="array" ref="AA119">Common_InputFunctions.Utility_DisplayArrayInTable(Fertiliser_SourceData.Fertiliser_Products_Data1(), FertiliserProducts[[#Headers],[Company]],1)</f>
        <v/>
      </c>
      <c r="AB119" s="177" t="str" cm="1">
        <f t="array" ref="AB119">Common_InputFunctions.Utility_DisplayArrayInTable(Fertiliser_SourceData.Fertiliser_Products_Data1(), FertiliserProducts[[#Headers],[Company]],1)</f>
        <v/>
      </c>
      <c r="AC119" s="177" t="str" cm="1">
        <f t="array" ref="AC119">Common_InputFunctions.Utility_DisplayArrayInTable(Fertiliser_SourceData.Fertiliser_Products_Data1(), FertiliserProducts[[#Headers],[Company]],1)</f>
        <v/>
      </c>
      <c r="AD119" s="177" t="str" cm="1">
        <f t="array" ref="AD119">Common_InputFunctions.Utility_DisplayArrayInTable(Fertiliser_SourceData.Fertiliser_Products_Data1(), FertiliserProducts[[#Headers],[Company]],1)</f>
        <v/>
      </c>
      <c r="AE119" s="177" t="str" cm="1">
        <f t="array" ref="AE119">Common_InputFunctions.Utility_DisplayArrayInTable(Fertiliser_SourceData.Fertiliser_Products_Data1(), FertiliserProducts[[#Headers],[Company]],1)</f>
        <v/>
      </c>
      <c r="AF119" s="177" t="str" cm="1">
        <f t="array" ref="AF119">Common_InputFunctions.Utility_DisplayArrayInTable(Fertiliser_SourceData.Fertiliser_Products_Data1(), FertiliserProducts[[#Headers],[Company]],1)</f>
        <v/>
      </c>
      <c r="AG119" s="177" t="str" cm="1">
        <f t="array" ref="AG119">Common_InputFunctions.Utility_DisplayArrayInTable(Fertiliser_SourceData.Fertiliser_Products_Data1(), FertiliserProducts[[#Headers],[Company]],1)</f>
        <v/>
      </c>
      <c r="AH119" s="177" t="str" cm="1">
        <f t="array" ref="AH119">Common_InputFunctions.Utility_DisplayArrayInTable(Fertiliser_SourceData.Fertiliser_Products_Data1(), FertiliserProducts[[#Headers],[Company]],1)</f>
        <v/>
      </c>
      <c r="AK119" s="1"/>
      <c r="AL119" s="1"/>
      <c r="AM119" s="1"/>
    </row>
    <row r="120" spans="4:39" ht="20" customHeight="1" x14ac:dyDescent="0.25">
      <c r="D120" s="177" t="str" cm="1">
        <f t="array" ref="D120">Common_InputFunctions.Utility_DisplayArrayInTable(Fertiliser_SourceData.Fertiliser_Products_Data2(), FertiliserProducts[[#Headers],[Company]],31)</f>
        <v>Campbells fertilisers Australia</v>
      </c>
      <c r="E120" s="177" t="str" cm="1">
        <f t="array" ref="E120">Common_InputFunctions.Utility_DisplayArrayInTable(Fertiliser_SourceData.Fertiliser_Products_Data2(), FertiliserProducts[[#Headers],[Company]],31)</f>
        <v>Encal</v>
      </c>
      <c r="F120" s="177" t="str" cm="1">
        <f t="array" ref="F120">Common_InputFunctions.Utility_DisplayArrayInTable(Fertiliser_SourceData.Fertiliser_Products_Data2(), FertiliserProducts[[#Headers],[Company]],31)</f>
        <v>L</v>
      </c>
      <c r="G120" s="177" cm="1">
        <f t="array" ref="G120">Common_InputFunctions.Utility_DisplayArrayInTable(Fertiliser_SourceData.Fertiliser_Products_Data2(), FertiliserProducts[[#Headers],[Company]],31)</f>
        <v>1.5</v>
      </c>
      <c r="H120" s="177" t="str" cm="1">
        <f t="array" ref="H120">Common_InputFunctions.Utility_DisplayArrayInTable(Fertiliser_SourceData.Fertiliser_Products_Data2(), FertiliserProducts[[#Headers],[Company]],31)</f>
        <v/>
      </c>
      <c r="I120" s="177" t="str" cm="1">
        <f t="array" ref="I120">Common_InputFunctions.Utility_DisplayArrayInTable(Fertiliser_SourceData.Fertiliser_Products_Data2(), FertiliserProducts[[#Headers],[Company]],31)</f>
        <v/>
      </c>
      <c r="J120" s="177" t="str" cm="1">
        <f t="array" ref="J120">Common_InputFunctions.Utility_DisplayArrayInTable(Fertiliser_SourceData.Fertiliser_Products_Data2(), FertiliserProducts[[#Headers],[Company]],31)</f>
        <v/>
      </c>
      <c r="K120" s="177" cm="1">
        <f t="array" ref="K120">Common_InputFunctions.Utility_DisplayArrayInTable(Fertiliser_SourceData.Fertiliser_Products_Data2(), FertiliserProducts[[#Headers],[Company]],31)</f>
        <v>9</v>
      </c>
      <c r="L120" s="177" t="str" cm="1">
        <f t="array" ref="L120">Common_InputFunctions.Utility_DisplayArrayInTable(Fertiliser_SourceData.Fertiliser_Products_Data2(), FertiliserProducts[[#Headers],[Company]],31)</f>
        <v/>
      </c>
      <c r="M120" s="177" t="str" cm="1">
        <f t="array" ref="M120">Common_InputFunctions.Utility_DisplayArrayInTable(Fertiliser_SourceData.Fertiliser_Products_Data2(), FertiliserProducts[[#Headers],[Company]],31)</f>
        <v/>
      </c>
      <c r="N120" s="177" cm="1">
        <f t="array" ref="N120">Common_InputFunctions.Utility_DisplayArrayInTable(Fertiliser_SourceData.Fertiliser_Products_Data2(), FertiliserProducts[[#Headers],[Company]],31)</f>
        <v>13.94</v>
      </c>
      <c r="O120" s="177" t="str" cm="1">
        <f t="array" ref="O120">Common_InputFunctions.Utility_DisplayArrayInTable(Fertiliser_SourceData.Fertiliser_Products_Data2(), FertiliserProducts[[#Headers],[Company]],31)</f>
        <v>Sulphate of ammonia (SOA)</v>
      </c>
      <c r="P120" s="177" cm="1">
        <f t="array" ref="P120">Common_InputFunctions.Utility_DisplayArrayInTable(Fertiliser_SourceData.Fertiliser_Products_Data2(), FertiliserProducts[[#Headers],[Company]],31)</f>
        <v>0.58064499999999997</v>
      </c>
      <c r="Q120" s="177" t="str" cm="1">
        <f t="array" ref="Q120">Common_InputFunctions.Utility_DisplayArrayInTable(Fertiliser_SourceData.Fertiliser_Products_Data2(), FertiliserProducts[[#Headers],[Company]],31)</f>
        <v>Magnesium</v>
      </c>
      <c r="R120" s="177" cm="1">
        <f t="array" ref="R120">Common_InputFunctions.Utility_DisplayArrayInTable(Fertiliser_SourceData.Fertiliser_Products_Data2(), FertiliserProducts[[#Headers],[Company]],31)</f>
        <v>1.2E-2</v>
      </c>
      <c r="S120" s="177" t="str" cm="1">
        <f t="array" ref="S120">Common_InputFunctions.Utility_DisplayArrayInTable(Fertiliser_SourceData.Fertiliser_Products_Data2(), FertiliserProducts[[#Headers],[Company]],31)</f>
        <v/>
      </c>
      <c r="T120" s="177" t="str" cm="1">
        <f t="array" ref="T120">Common_InputFunctions.Utility_DisplayArrayInTable(Fertiliser_SourceData.Fertiliser_Products_Data2(), FertiliserProducts[[#Headers],[Company]],31)</f>
        <v/>
      </c>
      <c r="U120" s="177" t="str" cm="1">
        <f t="array" ref="U120">Common_InputFunctions.Utility_DisplayArrayInTable(Fertiliser_SourceData.Fertiliser_Products_Data2(), FertiliserProducts[[#Headers],[Company]],31)</f>
        <v/>
      </c>
      <c r="V120" s="177" t="str" cm="1">
        <f t="array" ref="V120">Common_InputFunctions.Utility_DisplayArrayInTable(Fertiliser_SourceData.Fertiliser_Products_Data2(), FertiliserProducts[[#Headers],[Company]],31)</f>
        <v/>
      </c>
      <c r="W120" s="177" t="str" cm="1">
        <f t="array" ref="W120">Common_InputFunctions.Utility_DisplayArrayInTable(Fertiliser_SourceData.Fertiliser_Products_Data2(), FertiliserProducts[[#Headers],[Company]],31)</f>
        <v/>
      </c>
      <c r="X120" s="177" t="str" cm="1">
        <f t="array" ref="X120">Common_InputFunctions.Utility_DisplayArrayInTable(Fertiliser_SourceData.Fertiliser_Products_Data2(), FertiliserProducts[[#Headers],[Company]],31)</f>
        <v/>
      </c>
      <c r="Y120" s="177" t="str" cm="1">
        <f t="array" ref="Y120">Common_InputFunctions.Utility_DisplayArrayInTable(Fertiliser_SourceData.Fertiliser_Products_Data2(), FertiliserProducts[[#Headers],[Company]],31)</f>
        <v/>
      </c>
      <c r="Z120" s="177" t="str" cm="1">
        <f t="array" ref="Z120">Common_InputFunctions.Utility_DisplayArrayInTable(Fertiliser_SourceData.Fertiliser_Products_Data2(), FertiliserProducts[[#Headers],[Company]],31)</f>
        <v/>
      </c>
      <c r="AA120" s="177" t="str" cm="1">
        <f t="array" ref="AA120">Common_InputFunctions.Utility_DisplayArrayInTable(Fertiliser_SourceData.Fertiliser_Products_Data2(), FertiliserProducts[[#Headers],[Company]],31)</f>
        <v/>
      </c>
      <c r="AB120" s="177" t="str" cm="1">
        <f t="array" ref="AB120">Common_InputFunctions.Utility_DisplayArrayInTable(Fertiliser_SourceData.Fertiliser_Products_Data2(), FertiliserProducts[[#Headers],[Company]],31)</f>
        <v/>
      </c>
      <c r="AC120" s="177" t="str" cm="1">
        <f t="array" ref="AC120">Common_InputFunctions.Utility_DisplayArrayInTable(Fertiliser_SourceData.Fertiliser_Products_Data2(), FertiliserProducts[[#Headers],[Company]],31)</f>
        <v/>
      </c>
      <c r="AD120" s="177" t="str" cm="1">
        <f t="array" ref="AD120">Common_InputFunctions.Utility_DisplayArrayInTable(Fertiliser_SourceData.Fertiliser_Products_Data2(), FertiliserProducts[[#Headers],[Company]],31)</f>
        <v/>
      </c>
      <c r="AE120" s="177" t="str" cm="1">
        <f t="array" ref="AE120">Common_InputFunctions.Utility_DisplayArrayInTable(Fertiliser_SourceData.Fertiliser_Products_Data2(), FertiliserProducts[[#Headers],[Company]],31)</f>
        <v/>
      </c>
      <c r="AF120" s="177" t="str" cm="1">
        <f t="array" ref="AF120">Common_InputFunctions.Utility_DisplayArrayInTable(Fertiliser_SourceData.Fertiliser_Products_Data2(), FertiliserProducts[[#Headers],[Company]],31)</f>
        <v/>
      </c>
      <c r="AG120" s="177" t="str" cm="1">
        <f t="array" ref="AG120">Common_InputFunctions.Utility_DisplayArrayInTable(Fertiliser_SourceData.Fertiliser_Products_Data2(), FertiliserProducts[[#Headers],[Company]],31)</f>
        <v/>
      </c>
      <c r="AH120" s="177" t="str" cm="1">
        <f t="array" ref="AH120">Common_InputFunctions.Utility_DisplayArrayInTable(Fertiliser_SourceData.Fertiliser_Products_Data2(), FertiliserProducts[[#Headers],[Company]],31)</f>
        <v/>
      </c>
      <c r="AK120" s="1"/>
      <c r="AL120" s="1"/>
      <c r="AM120" s="1"/>
    </row>
    <row r="121" spans="4:39" ht="20" customHeight="1" x14ac:dyDescent="0.25">
      <c r="D121" s="177" t="str" cm="1">
        <f t="array" ref="D121">Common_InputFunctions.Utility_DisplayArrayInTable(Fertiliser_SourceData.Fertiliser_Products_Data2(), FertiliserProducts[[#Headers],[Company]],31)</f>
        <v>Incitec Pivot Fertilisers</v>
      </c>
      <c r="E121" s="177" t="str" cm="1">
        <f t="array" ref="E121">Common_InputFunctions.Utility_DisplayArrayInTable(Fertiliser_SourceData.Fertiliser_Products_Data2(), FertiliserProducts[[#Headers],[Company]],31)</f>
        <v>Granulock SS</v>
      </c>
      <c r="F121" s="177" t="str" cm="1">
        <f t="array" ref="F121">Common_InputFunctions.Utility_DisplayArrayInTable(Fertiliser_SourceData.Fertiliser_Products_Data2(), FertiliserProducts[[#Headers],[Company]],31)</f>
        <v>kg</v>
      </c>
      <c r="G121" s="177" cm="1">
        <f t="array" ref="G121">Common_InputFunctions.Utility_DisplayArrayInTable(Fertiliser_SourceData.Fertiliser_Products_Data2(), FertiliserProducts[[#Headers],[Company]],31)</f>
        <v>1</v>
      </c>
      <c r="H121" s="177" t="str" cm="1">
        <f t="array" ref="H121">Common_InputFunctions.Utility_DisplayArrayInTable(Fertiliser_SourceData.Fertiliser_Products_Data2(), FertiliserProducts[[#Headers],[Company]],31)</f>
        <v/>
      </c>
      <c r="I121" s="177" t="str" cm="1">
        <f t="array" ref="I121">Common_InputFunctions.Utility_DisplayArrayInTable(Fertiliser_SourceData.Fertiliser_Products_Data2(), FertiliserProducts[[#Headers],[Company]],31)</f>
        <v/>
      </c>
      <c r="J121" s="177" t="str" cm="1">
        <f t="array" ref="J121">Common_InputFunctions.Utility_DisplayArrayInTable(Fertiliser_SourceData.Fertiliser_Products_Data2(), FertiliserProducts[[#Headers],[Company]],31)</f>
        <v/>
      </c>
      <c r="K121" s="177" cm="1">
        <f t="array" ref="K121">Common_InputFunctions.Utility_DisplayArrayInTable(Fertiliser_SourceData.Fertiliser_Products_Data2(), FertiliserProducts[[#Headers],[Company]],31)</f>
        <v>10</v>
      </c>
      <c r="L121" s="177" cm="1">
        <f t="array" ref="L121">Common_InputFunctions.Utility_DisplayArrayInTable(Fertiliser_SourceData.Fertiliser_Products_Data2(), FertiliserProducts[[#Headers],[Company]],31)</f>
        <v>17.5</v>
      </c>
      <c r="M121" s="177" t="str" cm="1">
        <f t="array" ref="M121">Common_InputFunctions.Utility_DisplayArrayInTable(Fertiliser_SourceData.Fertiliser_Products_Data2(), FertiliserProducts[[#Headers],[Company]],31)</f>
        <v/>
      </c>
      <c r="N121" s="177" cm="1">
        <f t="array" ref="N121">Common_InputFunctions.Utility_DisplayArrayInTable(Fertiliser_SourceData.Fertiliser_Products_Data2(), FertiliserProducts[[#Headers],[Company]],31)</f>
        <v>12</v>
      </c>
      <c r="O121" s="177" t="str" cm="1">
        <f t="array" ref="O121">Common_InputFunctions.Utility_DisplayArrayInTable(Fertiliser_SourceData.Fertiliser_Products_Data2(), FertiliserProducts[[#Headers],[Company]],31)</f>
        <v>Phosphorus - Generic</v>
      </c>
      <c r="P121" s="177" cm="1">
        <f t="array" ref="P121">Common_InputFunctions.Utility_DisplayArrayInTable(Fertiliser_SourceData.Fertiliser_Products_Data2(), FertiliserProducts[[#Headers],[Company]],31)</f>
        <v>0.17499999999999999</v>
      </c>
      <c r="Q121" s="177" t="str" cm="1">
        <f t="array" ref="Q121">Common_InputFunctions.Utility_DisplayArrayInTable(Fertiliser_SourceData.Fertiliser_Products_Data2(), FertiliserProducts[[#Headers],[Company]],31)</f>
        <v>Sulfur - Generic</v>
      </c>
      <c r="R121" s="177" cm="1">
        <f t="array" ref="R121">Common_InputFunctions.Utility_DisplayArrayInTable(Fertiliser_SourceData.Fertiliser_Products_Data2(), FertiliserProducts[[#Headers],[Company]],31)</f>
        <v>0.12</v>
      </c>
      <c r="S121" s="177" t="str" cm="1">
        <f t="array" ref="S121">Common_InputFunctions.Utility_DisplayArrayInTable(Fertiliser_SourceData.Fertiliser_Products_Data2(), FertiliserProducts[[#Headers],[Company]],31)</f>
        <v>Nitrogen - Ammoniacal</v>
      </c>
      <c r="T121" s="177" cm="1">
        <f t="array" ref="T121">Common_InputFunctions.Utility_DisplayArrayInTable(Fertiliser_SourceData.Fertiliser_Products_Data2(), FertiliserProducts[[#Headers],[Company]],31)</f>
        <v>0.1</v>
      </c>
      <c r="U121" s="177" t="str" cm="1">
        <f t="array" ref="U121">Common_InputFunctions.Utility_DisplayArrayInTable(Fertiliser_SourceData.Fertiliser_Products_Data2(), FertiliserProducts[[#Headers],[Company]],31)</f>
        <v>Fluoride</v>
      </c>
      <c r="V121" s="177" cm="1">
        <f t="array" ref="V121">Common_InputFunctions.Utility_DisplayArrayInTable(Fertiliser_SourceData.Fertiliser_Products_Data2(), FertiliserProducts[[#Headers],[Company]],31)</f>
        <v>0.03</v>
      </c>
      <c r="W121" s="177" t="str" cm="1">
        <f t="array" ref="W121">Common_InputFunctions.Utility_DisplayArrayInTable(Fertiliser_SourceData.Fertiliser_Products_Data2(), FertiliserProducts[[#Headers],[Company]],31)</f>
        <v/>
      </c>
      <c r="X121" s="177" t="str" cm="1">
        <f t="array" ref="X121">Common_InputFunctions.Utility_DisplayArrayInTable(Fertiliser_SourceData.Fertiliser_Products_Data2(), FertiliserProducts[[#Headers],[Company]],31)</f>
        <v/>
      </c>
      <c r="Y121" s="177" t="str" cm="1">
        <f t="array" ref="Y121">Common_InputFunctions.Utility_DisplayArrayInTable(Fertiliser_SourceData.Fertiliser_Products_Data2(), FertiliserProducts[[#Headers],[Company]],31)</f>
        <v/>
      </c>
      <c r="Z121" s="177" t="str" cm="1">
        <f t="array" ref="Z121">Common_InputFunctions.Utility_DisplayArrayInTable(Fertiliser_SourceData.Fertiliser_Products_Data2(), FertiliserProducts[[#Headers],[Company]],31)</f>
        <v/>
      </c>
      <c r="AA121" s="177" t="str" cm="1">
        <f t="array" ref="AA121">Common_InputFunctions.Utility_DisplayArrayInTable(Fertiliser_SourceData.Fertiliser_Products_Data2(), FertiliserProducts[[#Headers],[Company]],31)</f>
        <v/>
      </c>
      <c r="AB121" s="177" t="str" cm="1">
        <f t="array" ref="AB121">Common_InputFunctions.Utility_DisplayArrayInTable(Fertiliser_SourceData.Fertiliser_Products_Data2(), FertiliserProducts[[#Headers],[Company]],31)</f>
        <v/>
      </c>
      <c r="AC121" s="177" t="str" cm="1">
        <f t="array" ref="AC121">Common_InputFunctions.Utility_DisplayArrayInTable(Fertiliser_SourceData.Fertiliser_Products_Data2(), FertiliserProducts[[#Headers],[Company]],31)</f>
        <v/>
      </c>
      <c r="AD121" s="177" t="str" cm="1">
        <f t="array" ref="AD121">Common_InputFunctions.Utility_DisplayArrayInTable(Fertiliser_SourceData.Fertiliser_Products_Data2(), FertiliserProducts[[#Headers],[Company]],31)</f>
        <v/>
      </c>
      <c r="AE121" s="177" t="str" cm="1">
        <f t="array" ref="AE121">Common_InputFunctions.Utility_DisplayArrayInTable(Fertiliser_SourceData.Fertiliser_Products_Data2(), FertiliserProducts[[#Headers],[Company]],31)</f>
        <v/>
      </c>
      <c r="AF121" s="177" t="str" cm="1">
        <f t="array" ref="AF121">Common_InputFunctions.Utility_DisplayArrayInTable(Fertiliser_SourceData.Fertiliser_Products_Data2(), FertiliserProducts[[#Headers],[Company]],31)</f>
        <v/>
      </c>
      <c r="AG121" s="177" t="str" cm="1">
        <f t="array" ref="AG121">Common_InputFunctions.Utility_DisplayArrayInTable(Fertiliser_SourceData.Fertiliser_Products_Data2(), FertiliserProducts[[#Headers],[Company]],31)</f>
        <v/>
      </c>
      <c r="AH121" s="177" t="str" cm="1">
        <f t="array" ref="AH121">Common_InputFunctions.Utility_DisplayArrayInTable(Fertiliser_SourceData.Fertiliser_Products_Data2(), FertiliserProducts[[#Headers],[Company]],31)</f>
        <v/>
      </c>
      <c r="AK121" s="1"/>
      <c r="AL121" s="1"/>
      <c r="AM121" s="1"/>
    </row>
    <row r="122" spans="4:39" ht="20" customHeight="1" x14ac:dyDescent="0.25">
      <c r="D122" s="177" t="str" cm="1">
        <f t="array" ref="D122">Common_InputFunctions.Utility_DisplayArrayInTable(Fertiliser_SourceData.Fertiliser_Products_Data2(), FertiliserProducts[[#Headers],[Company]],31)</f>
        <v>Incitec Pivot Fertilisers</v>
      </c>
      <c r="E122" s="177" t="str" cm="1">
        <f t="array" ref="E122">Common_InputFunctions.Utility_DisplayArrayInTable(Fertiliser_SourceData.Fertiliser_Products_Data2(), FertiliserProducts[[#Headers],[Company]],31)</f>
        <v>Granulock Z</v>
      </c>
      <c r="F122" s="177" t="str" cm="1">
        <f t="array" ref="F122">Common_InputFunctions.Utility_DisplayArrayInTable(Fertiliser_SourceData.Fertiliser_Products_Data2(), FertiliserProducts[[#Headers],[Company]],31)</f>
        <v>kg</v>
      </c>
      <c r="G122" s="177" cm="1">
        <f t="array" ref="G122">Common_InputFunctions.Utility_DisplayArrayInTable(Fertiliser_SourceData.Fertiliser_Products_Data2(), FertiliserProducts[[#Headers],[Company]],31)</f>
        <v>1</v>
      </c>
      <c r="H122" s="177" t="str" cm="1">
        <f t="array" ref="H122">Common_InputFunctions.Utility_DisplayArrayInTable(Fertiliser_SourceData.Fertiliser_Products_Data2(), FertiliserProducts[[#Headers],[Company]],31)</f>
        <v/>
      </c>
      <c r="I122" s="177" t="str" cm="1">
        <f t="array" ref="I122">Common_InputFunctions.Utility_DisplayArrayInTable(Fertiliser_SourceData.Fertiliser_Products_Data2(), FertiliserProducts[[#Headers],[Company]],31)</f>
        <v/>
      </c>
      <c r="J122" s="177" t="str" cm="1">
        <f t="array" ref="J122">Common_InputFunctions.Utility_DisplayArrayInTable(Fertiliser_SourceData.Fertiliser_Products_Data2(), FertiliserProducts[[#Headers],[Company]],31)</f>
        <v/>
      </c>
      <c r="K122" s="177" cm="1">
        <f t="array" ref="K122">Common_InputFunctions.Utility_DisplayArrayInTable(Fertiliser_SourceData.Fertiliser_Products_Data2(), FertiliserProducts[[#Headers],[Company]],31)</f>
        <v>11</v>
      </c>
      <c r="L122" s="177" cm="1">
        <f t="array" ref="L122">Common_InputFunctions.Utility_DisplayArrayInTable(Fertiliser_SourceData.Fertiliser_Products_Data2(), FertiliserProducts[[#Headers],[Company]],31)</f>
        <v>21.8</v>
      </c>
      <c r="M122" s="177" t="str" cm="1">
        <f t="array" ref="M122">Common_InputFunctions.Utility_DisplayArrayInTable(Fertiliser_SourceData.Fertiliser_Products_Data2(), FertiliserProducts[[#Headers],[Company]],31)</f>
        <v/>
      </c>
      <c r="N122" s="177" cm="1">
        <f t="array" ref="N122">Common_InputFunctions.Utility_DisplayArrayInTable(Fertiliser_SourceData.Fertiliser_Products_Data2(), FertiliserProducts[[#Headers],[Company]],31)</f>
        <v>4</v>
      </c>
      <c r="O122" s="177" t="str" cm="1">
        <f t="array" ref="O122">Common_InputFunctions.Utility_DisplayArrayInTable(Fertiliser_SourceData.Fertiliser_Products_Data2(), FertiliserProducts[[#Headers],[Company]],31)</f>
        <v>Phosphorus - Generic</v>
      </c>
      <c r="P122" s="177" cm="1">
        <f t="array" ref="P122">Common_InputFunctions.Utility_DisplayArrayInTable(Fertiliser_SourceData.Fertiliser_Products_Data2(), FertiliserProducts[[#Headers],[Company]],31)</f>
        <v>0.218</v>
      </c>
      <c r="Q122" s="177" t="str" cm="1">
        <f t="array" ref="Q122">Common_InputFunctions.Utility_DisplayArrayInTable(Fertiliser_SourceData.Fertiliser_Products_Data2(), FertiliserProducts[[#Headers],[Company]],31)</f>
        <v>Nitrogen - Generic</v>
      </c>
      <c r="R122" s="177" cm="1">
        <f t="array" ref="R122">Common_InputFunctions.Utility_DisplayArrayInTable(Fertiliser_SourceData.Fertiliser_Products_Data2(), FertiliserProducts[[#Headers],[Company]],31)</f>
        <v>0.11</v>
      </c>
      <c r="S122" s="177" t="str" cm="1">
        <f t="array" ref="S122">Common_InputFunctions.Utility_DisplayArrayInTable(Fertiliser_SourceData.Fertiliser_Products_Data2(), FertiliserProducts[[#Headers],[Company]],31)</f>
        <v>Sulfur - Generic</v>
      </c>
      <c r="T122" s="177" cm="1">
        <f t="array" ref="T122">Common_InputFunctions.Utility_DisplayArrayInTable(Fertiliser_SourceData.Fertiliser_Products_Data2(), FertiliserProducts[[#Headers],[Company]],31)</f>
        <v>0.04</v>
      </c>
      <c r="U122" s="177" t="str" cm="1">
        <f t="array" ref="U122">Common_InputFunctions.Utility_DisplayArrayInTable(Fertiliser_SourceData.Fertiliser_Products_Data2(), FertiliserProducts[[#Headers],[Company]],31)</f>
        <v>Fluoride</v>
      </c>
      <c r="V122" s="177" cm="1">
        <f t="array" ref="V122">Common_InputFunctions.Utility_DisplayArrayInTable(Fertiliser_SourceData.Fertiliser_Products_Data2(), FertiliserProducts[[#Headers],[Company]],31)</f>
        <v>0.03</v>
      </c>
      <c r="W122" s="177" t="str" cm="1">
        <f t="array" ref="W122">Common_InputFunctions.Utility_DisplayArrayInTable(Fertiliser_SourceData.Fertiliser_Products_Data2(), FertiliserProducts[[#Headers],[Company]],31)</f>
        <v>Zinc</v>
      </c>
      <c r="X122" s="177" cm="1">
        <f t="array" ref="X122">Common_InputFunctions.Utility_DisplayArrayInTable(Fertiliser_SourceData.Fertiliser_Products_Data2(), FertiliserProducts[[#Headers],[Company]],31)</f>
        <v>0.01</v>
      </c>
      <c r="Y122" s="177" t="str" cm="1">
        <f t="array" ref="Y122">Common_InputFunctions.Utility_DisplayArrayInTable(Fertiliser_SourceData.Fertiliser_Products_Data2(), FertiliserProducts[[#Headers],[Company]],31)</f>
        <v/>
      </c>
      <c r="Z122" s="177" t="str" cm="1">
        <f t="array" ref="Z122">Common_InputFunctions.Utility_DisplayArrayInTable(Fertiliser_SourceData.Fertiliser_Products_Data2(), FertiliserProducts[[#Headers],[Company]],31)</f>
        <v/>
      </c>
      <c r="AA122" s="177" t="str" cm="1">
        <f t="array" ref="AA122">Common_InputFunctions.Utility_DisplayArrayInTable(Fertiliser_SourceData.Fertiliser_Products_Data2(), FertiliserProducts[[#Headers],[Company]],31)</f>
        <v/>
      </c>
      <c r="AB122" s="177" t="str" cm="1">
        <f t="array" ref="AB122">Common_InputFunctions.Utility_DisplayArrayInTable(Fertiliser_SourceData.Fertiliser_Products_Data2(), FertiliserProducts[[#Headers],[Company]],31)</f>
        <v/>
      </c>
      <c r="AC122" s="177" t="str" cm="1">
        <f t="array" ref="AC122">Common_InputFunctions.Utility_DisplayArrayInTable(Fertiliser_SourceData.Fertiliser_Products_Data2(), FertiliserProducts[[#Headers],[Company]],31)</f>
        <v/>
      </c>
      <c r="AD122" s="177" t="str" cm="1">
        <f t="array" ref="AD122">Common_InputFunctions.Utility_DisplayArrayInTable(Fertiliser_SourceData.Fertiliser_Products_Data2(), FertiliserProducts[[#Headers],[Company]],31)</f>
        <v/>
      </c>
      <c r="AE122" s="177" t="str" cm="1">
        <f t="array" ref="AE122">Common_InputFunctions.Utility_DisplayArrayInTable(Fertiliser_SourceData.Fertiliser_Products_Data2(), FertiliserProducts[[#Headers],[Company]],31)</f>
        <v/>
      </c>
      <c r="AF122" s="177" t="str" cm="1">
        <f t="array" ref="AF122">Common_InputFunctions.Utility_DisplayArrayInTable(Fertiliser_SourceData.Fertiliser_Products_Data2(), FertiliserProducts[[#Headers],[Company]],31)</f>
        <v/>
      </c>
      <c r="AG122" s="177" t="str" cm="1">
        <f t="array" ref="AG122">Common_InputFunctions.Utility_DisplayArrayInTable(Fertiliser_SourceData.Fertiliser_Products_Data2(), FertiliserProducts[[#Headers],[Company]],31)</f>
        <v/>
      </c>
      <c r="AH122" s="177" t="str" cm="1">
        <f t="array" ref="AH122">Common_InputFunctions.Utility_DisplayArrayInTable(Fertiliser_SourceData.Fertiliser_Products_Data2(), FertiliserProducts[[#Headers],[Company]],31)</f>
        <v/>
      </c>
      <c r="AK122" s="1"/>
      <c r="AL122" s="1"/>
      <c r="AM122" s="1"/>
    </row>
    <row r="123" spans="4:39" ht="20" customHeight="1" x14ac:dyDescent="0.25">
      <c r="D123" s="177" t="str" cm="1">
        <f t="array" ref="D123">Common_InputFunctions.Utility_DisplayArrayInTable(Fertiliser_SourceData.Fertiliser_Products_Data2(), FertiliserProducts[[#Headers],[Company]],31)</f>
        <v>Incitec Pivot Fertilisers</v>
      </c>
      <c r="E123" s="177" t="str" cm="1">
        <f t="array" ref="E123">Common_InputFunctions.Utility_DisplayArrayInTable(Fertiliser_SourceData.Fertiliser_Products_Data2(), FertiliserProducts[[#Headers],[Company]],31)</f>
        <v>Farm Ag Leichhardt</v>
      </c>
      <c r="F123" s="177" t="str" cm="1">
        <f t="array" ref="F123">Common_InputFunctions.Utility_DisplayArrayInTable(Fertiliser_SourceData.Fertiliser_Products_Data2(), FertiliserProducts[[#Headers],[Company]],31)</f>
        <v>kg</v>
      </c>
      <c r="G123" s="177" cm="1">
        <f t="array" ref="G123">Common_InputFunctions.Utility_DisplayArrayInTable(Fertiliser_SourceData.Fertiliser_Products_Data2(), FertiliserProducts[[#Headers],[Company]],31)</f>
        <v>1</v>
      </c>
      <c r="H123" s="177" t="str" cm="1">
        <f t="array" ref="H123">Common_InputFunctions.Utility_DisplayArrayInTable(Fertiliser_SourceData.Fertiliser_Products_Data2(), FertiliserProducts[[#Headers],[Company]],31)</f>
        <v/>
      </c>
      <c r="I123" s="177" t="str" cm="1">
        <f t="array" ref="I123">Common_InputFunctions.Utility_DisplayArrayInTable(Fertiliser_SourceData.Fertiliser_Products_Data2(), FertiliserProducts[[#Headers],[Company]],31)</f>
        <v/>
      </c>
      <c r="J123" s="177" t="str" cm="1">
        <f t="array" ref="J123">Common_InputFunctions.Utility_DisplayArrayInTable(Fertiliser_SourceData.Fertiliser_Products_Data2(), FertiliserProducts[[#Headers],[Company]],31)</f>
        <v/>
      </c>
      <c r="K123" s="177" cm="1">
        <f t="array" ref="K123">Common_InputFunctions.Utility_DisplayArrayInTable(Fertiliser_SourceData.Fertiliser_Products_Data2(), FertiliserProducts[[#Headers],[Company]],31)</f>
        <v>32.5</v>
      </c>
      <c r="L123" s="177" cm="1">
        <f t="array" ref="L123">Common_InputFunctions.Utility_DisplayArrayInTable(Fertiliser_SourceData.Fertiliser_Products_Data2(), FertiliserProducts[[#Headers],[Company]],31)</f>
        <v>5.4</v>
      </c>
      <c r="M123" s="177" cm="1">
        <f t="array" ref="M123">Common_InputFunctions.Utility_DisplayArrayInTable(Fertiliser_SourceData.Fertiliser_Products_Data2(), FertiliserProducts[[#Headers],[Company]],31)</f>
        <v>6.25</v>
      </c>
      <c r="N123" s="177" t="str" cm="1">
        <f t="array" ref="N123">Common_InputFunctions.Utility_DisplayArrayInTable(Fertiliser_SourceData.Fertiliser_Products_Data2(), FertiliserProducts[[#Headers],[Company]],31)</f>
        <v/>
      </c>
      <c r="O123" s="177" t="str" cm="1">
        <f t="array" ref="O123">Common_InputFunctions.Utility_DisplayArrayInTable(Fertiliser_SourceData.Fertiliser_Products_Data2(), FertiliserProducts[[#Headers],[Company]],31)</f>
        <v>Urea</v>
      </c>
      <c r="P123" s="177" cm="1">
        <f t="array" ref="P123">Common_InputFunctions.Utility_DisplayArrayInTable(Fertiliser_SourceData.Fertiliser_Products_Data2(), FertiliserProducts[[#Headers],[Company]],31)</f>
        <v>0.6</v>
      </c>
      <c r="Q123" s="177" t="str" cm="1">
        <f t="array" ref="Q123">Common_InputFunctions.Utility_DisplayArrayInTable(Fertiliser_SourceData.Fertiliser_Products_Data2(), FertiliserProducts[[#Headers],[Company]],31)</f>
        <v>Nitrogen - Ammoniacal</v>
      </c>
      <c r="R123" s="177" cm="1">
        <f t="array" ref="R123">Common_InputFunctions.Utility_DisplayArrayInTable(Fertiliser_SourceData.Fertiliser_Products_Data2(), FertiliserProducts[[#Headers],[Company]],31)</f>
        <v>4.9000000000000002E-2</v>
      </c>
      <c r="S123" s="177" t="str" cm="1">
        <f t="array" ref="S123">Common_InputFunctions.Utility_DisplayArrayInTable(Fertiliser_SourceData.Fertiliser_Products_Data2(), FertiliserProducts[[#Headers],[Company]],31)</f>
        <v>Phosphorus - Generic</v>
      </c>
      <c r="T123" s="177" cm="1">
        <f t="array" ref="T123">Common_InputFunctions.Utility_DisplayArrayInTable(Fertiliser_SourceData.Fertiliser_Products_Data2(), FertiliserProducts[[#Headers],[Company]],31)</f>
        <v>5.3999999999999999E-2</v>
      </c>
      <c r="U123" s="177" t="str" cm="1">
        <f t="array" ref="U123">Common_InputFunctions.Utility_DisplayArrayInTable(Fertiliser_SourceData.Fertiliser_Products_Data2(), FertiliserProducts[[#Headers],[Company]],31)</f>
        <v>Muriate of potash (MOP)</v>
      </c>
      <c r="V123" s="177" cm="1">
        <f t="array" ref="V123">Common_InputFunctions.Utility_DisplayArrayInTable(Fertiliser_SourceData.Fertiliser_Products_Data2(), FertiliserProducts[[#Headers],[Company]],31)</f>
        <v>0.125</v>
      </c>
      <c r="W123" s="177" t="str" cm="1">
        <f t="array" ref="W123">Common_InputFunctions.Utility_DisplayArrayInTable(Fertiliser_SourceData.Fertiliser_Products_Data2(), FertiliserProducts[[#Headers],[Company]],31)</f>
        <v/>
      </c>
      <c r="X123" s="177" t="str" cm="1">
        <f t="array" ref="X123">Common_InputFunctions.Utility_DisplayArrayInTable(Fertiliser_SourceData.Fertiliser_Products_Data2(), FertiliserProducts[[#Headers],[Company]],31)</f>
        <v/>
      </c>
      <c r="Y123" s="177" t="str" cm="1">
        <f t="array" ref="Y123">Common_InputFunctions.Utility_DisplayArrayInTable(Fertiliser_SourceData.Fertiliser_Products_Data2(), FertiliserProducts[[#Headers],[Company]],31)</f>
        <v/>
      </c>
      <c r="Z123" s="177" t="str" cm="1">
        <f t="array" ref="Z123">Common_InputFunctions.Utility_DisplayArrayInTable(Fertiliser_SourceData.Fertiliser_Products_Data2(), FertiliserProducts[[#Headers],[Company]],31)</f>
        <v/>
      </c>
      <c r="AA123" s="177" t="str" cm="1">
        <f t="array" ref="AA123">Common_InputFunctions.Utility_DisplayArrayInTable(Fertiliser_SourceData.Fertiliser_Products_Data2(), FertiliserProducts[[#Headers],[Company]],31)</f>
        <v/>
      </c>
      <c r="AB123" s="177" t="str" cm="1">
        <f t="array" ref="AB123">Common_InputFunctions.Utility_DisplayArrayInTable(Fertiliser_SourceData.Fertiliser_Products_Data2(), FertiliserProducts[[#Headers],[Company]],31)</f>
        <v/>
      </c>
      <c r="AC123" s="177" t="str" cm="1">
        <f t="array" ref="AC123">Common_InputFunctions.Utility_DisplayArrayInTable(Fertiliser_SourceData.Fertiliser_Products_Data2(), FertiliserProducts[[#Headers],[Company]],31)</f>
        <v/>
      </c>
      <c r="AD123" s="177" t="str" cm="1">
        <f t="array" ref="AD123">Common_InputFunctions.Utility_DisplayArrayInTable(Fertiliser_SourceData.Fertiliser_Products_Data2(), FertiliserProducts[[#Headers],[Company]],31)</f>
        <v/>
      </c>
      <c r="AE123" s="177" t="str" cm="1">
        <f t="array" ref="AE123">Common_InputFunctions.Utility_DisplayArrayInTable(Fertiliser_SourceData.Fertiliser_Products_Data2(), FertiliserProducts[[#Headers],[Company]],31)</f>
        <v/>
      </c>
      <c r="AF123" s="177" t="str" cm="1">
        <f t="array" ref="AF123">Common_InputFunctions.Utility_DisplayArrayInTable(Fertiliser_SourceData.Fertiliser_Products_Data2(), FertiliserProducts[[#Headers],[Company]],31)</f>
        <v/>
      </c>
      <c r="AG123" s="177" t="str" cm="1">
        <f t="array" ref="AG123">Common_InputFunctions.Utility_DisplayArrayInTable(Fertiliser_SourceData.Fertiliser_Products_Data2(), FertiliserProducts[[#Headers],[Company]],31)</f>
        <v/>
      </c>
      <c r="AH123" s="177" t="str" cm="1">
        <f t="array" ref="AH123">Common_InputFunctions.Utility_DisplayArrayInTable(Fertiliser_SourceData.Fertiliser_Products_Data2(), FertiliserProducts[[#Headers],[Company]],31)</f>
        <v/>
      </c>
      <c r="AK123" s="1"/>
      <c r="AL123" s="1"/>
      <c r="AM123" s="1"/>
    </row>
    <row r="124" spans="4:39" ht="20" customHeight="1" x14ac:dyDescent="0.25">
      <c r="D124" s="177" t="str" cm="1">
        <f t="array" ref="D124">Common_InputFunctions.Utility_DisplayArrayInTable(Fertiliser_SourceData.Fertiliser_Products_Data2(), FertiliserProducts[[#Headers],[Company]],31)</f>
        <v>Ravensdown</v>
      </c>
      <c r="E124" s="177" t="str" cm="1">
        <f t="array" ref="E124">Common_InputFunctions.Utility_DisplayArrayInTable(Fertiliser_SourceData.Fertiliser_Products_Data2(), FertiliserProducts[[#Headers],[Company]],31)</f>
        <v>Flexi-N NBPT</v>
      </c>
      <c r="F124" s="177" t="str" cm="1">
        <f t="array" ref="F124">Common_InputFunctions.Utility_DisplayArrayInTable(Fertiliser_SourceData.Fertiliser_Products_Data2(), FertiliserProducts[[#Headers],[Company]],31)</f>
        <v>kg</v>
      </c>
      <c r="G124" s="177" cm="1">
        <f t="array" ref="G124">Common_InputFunctions.Utility_DisplayArrayInTable(Fertiliser_SourceData.Fertiliser_Products_Data2(), FertiliserProducts[[#Headers],[Company]],31)</f>
        <v>1</v>
      </c>
      <c r="H124" s="177" t="str" cm="1">
        <f t="array" ref="H124">Common_InputFunctions.Utility_DisplayArrayInTable(Fertiliser_SourceData.Fertiliser_Products_Data2(), FertiliserProducts[[#Headers],[Company]],31)</f>
        <v>Yes</v>
      </c>
      <c r="I124" s="177" t="str" cm="1">
        <f t="array" ref="I124">Common_InputFunctions.Utility_DisplayArrayInTable(Fertiliser_SourceData.Fertiliser_Products_Data2(), FertiliserProducts[[#Headers],[Company]],31)</f>
        <v/>
      </c>
      <c r="J124" s="177" t="str" cm="1">
        <f t="array" ref="J124">Common_InputFunctions.Utility_DisplayArrayInTable(Fertiliser_SourceData.Fertiliser_Products_Data2(), FertiliserProducts[[#Headers],[Company]],31)</f>
        <v/>
      </c>
      <c r="K124" s="177" cm="1">
        <f t="array" ref="K124">Common_InputFunctions.Utility_DisplayArrayInTable(Fertiliser_SourceData.Fertiliser_Products_Data2(), FertiliserProducts[[#Headers],[Company]],31)</f>
        <v>45.54</v>
      </c>
      <c r="L124" s="177" t="str" cm="1">
        <f t="array" ref="L124">Common_InputFunctions.Utility_DisplayArrayInTable(Fertiliser_SourceData.Fertiliser_Products_Data2(), FertiliserProducts[[#Headers],[Company]],31)</f>
        <v/>
      </c>
      <c r="M124" s="177" t="str" cm="1">
        <f t="array" ref="M124">Common_InputFunctions.Utility_DisplayArrayInTable(Fertiliser_SourceData.Fertiliser_Products_Data2(), FertiliserProducts[[#Headers],[Company]],31)</f>
        <v/>
      </c>
      <c r="N124" s="177" t="str" cm="1">
        <f t="array" ref="N124">Common_InputFunctions.Utility_DisplayArrayInTable(Fertiliser_SourceData.Fertiliser_Products_Data2(), FertiliserProducts[[#Headers],[Company]],31)</f>
        <v/>
      </c>
      <c r="O124" s="177" t="str" cm="1">
        <f t="array" ref="O124">Common_InputFunctions.Utility_DisplayArrayInTable(Fertiliser_SourceData.Fertiliser_Products_Data2(), FertiliserProducts[[#Headers],[Company]],31)</f>
        <v>Urea</v>
      </c>
      <c r="P124" s="177" cm="1">
        <f t="array" ref="P124">Common_InputFunctions.Utility_DisplayArrayInTable(Fertiliser_SourceData.Fertiliser_Products_Data2(), FertiliserProducts[[#Headers],[Company]],31)</f>
        <v>0.99</v>
      </c>
      <c r="Q124" s="177" t="str" cm="1">
        <f t="array" ref="Q124">Common_InputFunctions.Utility_DisplayArrayInTable(Fertiliser_SourceData.Fertiliser_Products_Data2(), FertiliserProducts[[#Headers],[Company]],31)</f>
        <v/>
      </c>
      <c r="R124" s="177" t="str" cm="1">
        <f t="array" ref="R124">Common_InputFunctions.Utility_DisplayArrayInTable(Fertiliser_SourceData.Fertiliser_Products_Data2(), FertiliserProducts[[#Headers],[Company]],31)</f>
        <v/>
      </c>
      <c r="S124" s="177" t="str" cm="1">
        <f t="array" ref="S124">Common_InputFunctions.Utility_DisplayArrayInTable(Fertiliser_SourceData.Fertiliser_Products_Data2(), FertiliserProducts[[#Headers],[Company]],31)</f>
        <v/>
      </c>
      <c r="T124" s="177" t="str" cm="1">
        <f t="array" ref="T124">Common_InputFunctions.Utility_DisplayArrayInTable(Fertiliser_SourceData.Fertiliser_Products_Data2(), FertiliserProducts[[#Headers],[Company]],31)</f>
        <v/>
      </c>
      <c r="U124" s="177" t="str" cm="1">
        <f t="array" ref="U124">Common_InputFunctions.Utility_DisplayArrayInTable(Fertiliser_SourceData.Fertiliser_Products_Data2(), FertiliserProducts[[#Headers],[Company]],31)</f>
        <v/>
      </c>
      <c r="V124" s="177" t="str" cm="1">
        <f t="array" ref="V124">Common_InputFunctions.Utility_DisplayArrayInTable(Fertiliser_SourceData.Fertiliser_Products_Data2(), FertiliserProducts[[#Headers],[Company]],31)</f>
        <v/>
      </c>
      <c r="W124" s="177" t="str" cm="1">
        <f t="array" ref="W124">Common_InputFunctions.Utility_DisplayArrayInTable(Fertiliser_SourceData.Fertiliser_Products_Data2(), FertiliserProducts[[#Headers],[Company]],31)</f>
        <v/>
      </c>
      <c r="X124" s="177" t="str" cm="1">
        <f t="array" ref="X124">Common_InputFunctions.Utility_DisplayArrayInTable(Fertiliser_SourceData.Fertiliser_Products_Data2(), FertiliserProducts[[#Headers],[Company]],31)</f>
        <v/>
      </c>
      <c r="Y124" s="177" t="str" cm="1">
        <f t="array" ref="Y124">Common_InputFunctions.Utility_DisplayArrayInTable(Fertiliser_SourceData.Fertiliser_Products_Data2(), FertiliserProducts[[#Headers],[Company]],31)</f>
        <v/>
      </c>
      <c r="Z124" s="177" t="str" cm="1">
        <f t="array" ref="Z124">Common_InputFunctions.Utility_DisplayArrayInTable(Fertiliser_SourceData.Fertiliser_Products_Data2(), FertiliserProducts[[#Headers],[Company]],31)</f>
        <v/>
      </c>
      <c r="AA124" s="177" t="str" cm="1">
        <f t="array" ref="AA124">Common_InputFunctions.Utility_DisplayArrayInTable(Fertiliser_SourceData.Fertiliser_Products_Data2(), FertiliserProducts[[#Headers],[Company]],31)</f>
        <v/>
      </c>
      <c r="AB124" s="177" t="str" cm="1">
        <f t="array" ref="AB124">Common_InputFunctions.Utility_DisplayArrayInTable(Fertiliser_SourceData.Fertiliser_Products_Data2(), FertiliserProducts[[#Headers],[Company]],31)</f>
        <v/>
      </c>
      <c r="AC124" s="177" t="str" cm="1">
        <f t="array" ref="AC124">Common_InputFunctions.Utility_DisplayArrayInTable(Fertiliser_SourceData.Fertiliser_Products_Data2(), FertiliserProducts[[#Headers],[Company]],31)</f>
        <v/>
      </c>
      <c r="AD124" s="177" t="str" cm="1">
        <f t="array" ref="AD124">Common_InputFunctions.Utility_DisplayArrayInTable(Fertiliser_SourceData.Fertiliser_Products_Data2(), FertiliserProducts[[#Headers],[Company]],31)</f>
        <v/>
      </c>
      <c r="AE124" s="177" t="str" cm="1">
        <f t="array" ref="AE124">Common_InputFunctions.Utility_DisplayArrayInTable(Fertiliser_SourceData.Fertiliser_Products_Data2(), FertiliserProducts[[#Headers],[Company]],31)</f>
        <v/>
      </c>
      <c r="AF124" s="177" t="str" cm="1">
        <f t="array" ref="AF124">Common_InputFunctions.Utility_DisplayArrayInTable(Fertiliser_SourceData.Fertiliser_Products_Data2(), FertiliserProducts[[#Headers],[Company]],31)</f>
        <v/>
      </c>
      <c r="AG124" s="177" t="str" cm="1">
        <f t="array" ref="AG124">Common_InputFunctions.Utility_DisplayArrayInTable(Fertiliser_SourceData.Fertiliser_Products_Data2(), FertiliserProducts[[#Headers],[Company]],31)</f>
        <v/>
      </c>
      <c r="AH124" s="177" t="str" cm="1">
        <f t="array" ref="AH124">Common_InputFunctions.Utility_DisplayArrayInTable(Fertiliser_SourceData.Fertiliser_Products_Data2(), FertiliserProducts[[#Headers],[Company]],31)</f>
        <v/>
      </c>
      <c r="AK124" s="1"/>
      <c r="AL124" s="1"/>
      <c r="AM124" s="1"/>
    </row>
    <row r="125" spans="4:39" ht="20" customHeight="1" x14ac:dyDescent="0.25">
      <c r="D125" s="177" t="str" cm="1">
        <f t="array" ref="D125">Common_InputFunctions.Utility_DisplayArrayInTable(Fertiliser_SourceData.Fertiliser_Products_Data2(), FertiliserProducts[[#Headers],[Company]],31)</f>
        <v>Campbells fertilisers Australia</v>
      </c>
      <c r="E125" s="177" t="str" cm="1">
        <f t="array" ref="E125">Common_InputFunctions.Utility_DisplayArrayInTable(Fertiliser_SourceData.Fertiliser_Products_Data2(), FertiliserProducts[[#Headers],[Company]],31)</f>
        <v>Gold Premium</v>
      </c>
      <c r="F125" s="177" t="str" cm="1">
        <f t="array" ref="F125">Common_InputFunctions.Utility_DisplayArrayInTable(Fertiliser_SourceData.Fertiliser_Products_Data2(), FertiliserProducts[[#Headers],[Company]],31)</f>
        <v>kg</v>
      </c>
      <c r="G125" s="177" cm="1">
        <f t="array" ref="G125">Common_InputFunctions.Utility_DisplayArrayInTable(Fertiliser_SourceData.Fertiliser_Products_Data2(), FertiliserProducts[[#Headers],[Company]],31)</f>
        <v>1</v>
      </c>
      <c r="H125" s="177" t="str" cm="1">
        <f t="array" ref="H125">Common_InputFunctions.Utility_DisplayArrayInTable(Fertiliser_SourceData.Fertiliser_Products_Data2(), FertiliserProducts[[#Headers],[Company]],31)</f>
        <v/>
      </c>
      <c r="I125" s="177" t="str" cm="1">
        <f t="array" ref="I125">Common_InputFunctions.Utility_DisplayArrayInTable(Fertiliser_SourceData.Fertiliser_Products_Data2(), FertiliserProducts[[#Headers],[Company]],31)</f>
        <v/>
      </c>
      <c r="J125" s="177" t="str" cm="1">
        <f t="array" ref="J125">Common_InputFunctions.Utility_DisplayArrayInTable(Fertiliser_SourceData.Fertiliser_Products_Data2(), FertiliserProducts[[#Headers],[Company]],31)</f>
        <v/>
      </c>
      <c r="K125" s="177" cm="1">
        <f t="array" ref="K125">Common_InputFunctions.Utility_DisplayArrayInTable(Fertiliser_SourceData.Fertiliser_Products_Data2(), FertiliserProducts[[#Headers],[Company]],31)</f>
        <v>14.87</v>
      </c>
      <c r="L125" s="177" cm="1">
        <f t="array" ref="L125">Common_InputFunctions.Utility_DisplayArrayInTable(Fertiliser_SourceData.Fertiliser_Products_Data2(), FertiliserProducts[[#Headers],[Company]],31)</f>
        <v>2.2000000000000002</v>
      </c>
      <c r="M125" s="177" cm="1">
        <f t="array" ref="M125">Common_InputFunctions.Utility_DisplayArrayInTable(Fertiliser_SourceData.Fertiliser_Products_Data2(), FertiliserProducts[[#Headers],[Company]],31)</f>
        <v>16.600000000000001</v>
      </c>
      <c r="N125" s="177" cm="1">
        <f t="array" ref="N125">Common_InputFunctions.Utility_DisplayArrayInTable(Fertiliser_SourceData.Fertiliser_Products_Data2(), FertiliserProducts[[#Headers],[Company]],31)</f>
        <v>8</v>
      </c>
      <c r="O125" s="177" t="str" cm="1">
        <f t="array" ref="O125">Common_InputFunctions.Utility_DisplayArrayInTable(Fertiliser_SourceData.Fertiliser_Products_Data2(), FertiliserProducts[[#Headers],[Company]],31)</f>
        <v>Ammonium nitrate (AN)</v>
      </c>
      <c r="P125" s="177" cm="1">
        <f t="array" ref="P125">Common_InputFunctions.Utility_DisplayArrayInTable(Fertiliser_SourceData.Fertiliser_Products_Data2(), FertiliserProducts[[#Headers],[Company]],31)</f>
        <v>0.44117600000000001</v>
      </c>
      <c r="Q125" s="177" t="str" cm="1">
        <f t="array" ref="Q125">Common_InputFunctions.Utility_DisplayArrayInTable(Fertiliser_SourceData.Fertiliser_Products_Data2(), FertiliserProducts[[#Headers],[Company]],31)</f>
        <v>Potassium - Generic</v>
      </c>
      <c r="R125" s="177" cm="1">
        <f t="array" ref="R125">Common_InputFunctions.Utility_DisplayArrayInTable(Fertiliser_SourceData.Fertiliser_Products_Data2(), FertiliserProducts[[#Headers],[Company]],31)</f>
        <v>0.16600000000000001</v>
      </c>
      <c r="S125" s="177" t="str" cm="1">
        <f t="array" ref="S125">Common_InputFunctions.Utility_DisplayArrayInTable(Fertiliser_SourceData.Fertiliser_Products_Data2(), FertiliserProducts[[#Headers],[Company]],31)</f>
        <v>Sulfur - Generic</v>
      </c>
      <c r="T125" s="177" cm="1">
        <f t="array" ref="T125">Common_InputFunctions.Utility_DisplayArrayInTable(Fertiliser_SourceData.Fertiliser_Products_Data2(), FertiliserProducts[[#Headers],[Company]],31)</f>
        <v>0.08</v>
      </c>
      <c r="U125" s="177" t="str" cm="1">
        <f t="array" ref="U125">Common_InputFunctions.Utility_DisplayArrayInTable(Fertiliser_SourceData.Fertiliser_Products_Data2(), FertiliserProducts[[#Headers],[Company]],31)</f>
        <v>Phosphorus - Generic</v>
      </c>
      <c r="V125" s="177" cm="1">
        <f t="array" ref="V125">Common_InputFunctions.Utility_DisplayArrayInTable(Fertiliser_SourceData.Fertiliser_Products_Data2(), FertiliserProducts[[#Headers],[Company]],31)</f>
        <v>2.1999999999999999E-2</v>
      </c>
      <c r="W125" s="177" t="str" cm="1">
        <f t="array" ref="W125">Common_InputFunctions.Utility_DisplayArrayInTable(Fertiliser_SourceData.Fertiliser_Products_Data2(), FertiliserProducts[[#Headers],[Company]],31)</f>
        <v>Magnesium</v>
      </c>
      <c r="X125" s="177" cm="1">
        <f t="array" ref="X125">Common_InputFunctions.Utility_DisplayArrayInTable(Fertiliser_SourceData.Fertiliser_Products_Data2(), FertiliserProducts[[#Headers],[Company]],31)</f>
        <v>1.2E-2</v>
      </c>
      <c r="Y125" s="177" t="str" cm="1">
        <f t="array" ref="Y125">Common_InputFunctions.Utility_DisplayArrayInTable(Fertiliser_SourceData.Fertiliser_Products_Data2(), FertiliserProducts[[#Headers],[Company]],31)</f>
        <v>Boron</v>
      </c>
      <c r="Z125" s="177" cm="1">
        <f t="array" ref="Z125">Common_InputFunctions.Utility_DisplayArrayInTable(Fertiliser_SourceData.Fertiliser_Products_Data2(), FertiliserProducts[[#Headers],[Company]],31)</f>
        <v>2.0000000000000001E-4</v>
      </c>
      <c r="AA125" s="177" t="str" cm="1">
        <f t="array" ref="AA125">Common_InputFunctions.Utility_DisplayArrayInTable(Fertiliser_SourceData.Fertiliser_Products_Data2(), FertiliserProducts[[#Headers],[Company]],31)</f>
        <v>Zinc</v>
      </c>
      <c r="AB125" s="177" cm="1">
        <f t="array" ref="AB125">Common_InputFunctions.Utility_DisplayArrayInTable(Fertiliser_SourceData.Fertiliser_Products_Data2(), FertiliserProducts[[#Headers],[Company]],31)</f>
        <v>1E-4</v>
      </c>
      <c r="AC125" s="177" t="str" cm="1">
        <f t="array" ref="AC125">Common_InputFunctions.Utility_DisplayArrayInTable(Fertiliser_SourceData.Fertiliser_Products_Data2(), FertiliserProducts[[#Headers],[Company]],31)</f>
        <v/>
      </c>
      <c r="AD125" s="177" t="str" cm="1">
        <f t="array" ref="AD125">Common_InputFunctions.Utility_DisplayArrayInTable(Fertiliser_SourceData.Fertiliser_Products_Data2(), FertiliserProducts[[#Headers],[Company]],31)</f>
        <v/>
      </c>
      <c r="AE125" s="177" t="str" cm="1">
        <f t="array" ref="AE125">Common_InputFunctions.Utility_DisplayArrayInTable(Fertiliser_SourceData.Fertiliser_Products_Data2(), FertiliserProducts[[#Headers],[Company]],31)</f>
        <v/>
      </c>
      <c r="AF125" s="177" t="str" cm="1">
        <f t="array" ref="AF125">Common_InputFunctions.Utility_DisplayArrayInTable(Fertiliser_SourceData.Fertiliser_Products_Data2(), FertiliserProducts[[#Headers],[Company]],31)</f>
        <v/>
      </c>
      <c r="AG125" s="177" t="str" cm="1">
        <f t="array" ref="AG125">Common_InputFunctions.Utility_DisplayArrayInTable(Fertiliser_SourceData.Fertiliser_Products_Data2(), FertiliserProducts[[#Headers],[Company]],31)</f>
        <v/>
      </c>
      <c r="AH125" s="177" t="str" cm="1">
        <f t="array" ref="AH125">Common_InputFunctions.Utility_DisplayArrayInTable(Fertiliser_SourceData.Fertiliser_Products_Data2(), FertiliserProducts[[#Headers],[Company]],31)</f>
        <v/>
      </c>
      <c r="AK125" s="1"/>
      <c r="AL125" s="1"/>
      <c r="AM125" s="1"/>
    </row>
    <row r="126" spans="4:39" ht="20" customHeight="1" x14ac:dyDescent="0.25">
      <c r="D126" s="177" t="str" cm="1">
        <f t="array" ref="D126">Common_InputFunctions.Utility_DisplayArrayInTable(Fertiliser_SourceData.Fertiliser_Products_Data2(), FertiliserProducts[[#Headers],[Company]],31)</f>
        <v>SL Tec</v>
      </c>
      <c r="E126" s="177" t="str" cm="1">
        <f t="array" ref="E126">Common_InputFunctions.Utility_DisplayArrayInTable(Fertiliser_SourceData.Fertiliser_Products_Data2(), FertiliserProducts[[#Headers],[Company]],31)</f>
        <v>High NS</v>
      </c>
      <c r="F126" s="177" t="str" cm="1">
        <f t="array" ref="F126">Common_InputFunctions.Utility_DisplayArrayInTable(Fertiliser_SourceData.Fertiliser_Products_Data2(), FertiliserProducts[[#Headers],[Company]],31)</f>
        <v>L</v>
      </c>
      <c r="G126" s="177" cm="1">
        <f t="array" ref="G126">Common_InputFunctions.Utility_DisplayArrayInTable(Fertiliser_SourceData.Fertiliser_Products_Data2(), FertiliserProducts[[#Headers],[Company]],31)</f>
        <v>1.2989999999999999</v>
      </c>
      <c r="H126" s="177" t="str" cm="1">
        <f t="array" ref="H126">Common_InputFunctions.Utility_DisplayArrayInTable(Fertiliser_SourceData.Fertiliser_Products_Data2(), FertiliserProducts[[#Headers],[Company]],31)</f>
        <v/>
      </c>
      <c r="I126" s="177" t="str" cm="1">
        <f t="array" ref="I126">Common_InputFunctions.Utility_DisplayArrayInTable(Fertiliser_SourceData.Fertiliser_Products_Data2(), FertiliserProducts[[#Headers],[Company]],31)</f>
        <v/>
      </c>
      <c r="J126" s="177" t="str" cm="1">
        <f t="array" ref="J126">Common_InputFunctions.Utility_DisplayArrayInTable(Fertiliser_SourceData.Fertiliser_Products_Data2(), FertiliserProducts[[#Headers],[Company]],31)</f>
        <v/>
      </c>
      <c r="K126" s="177" cm="1">
        <f t="array" ref="K126">Common_InputFunctions.Utility_DisplayArrayInTable(Fertiliser_SourceData.Fertiliser_Products_Data2(), FertiliserProducts[[#Headers],[Company]],31)</f>
        <v>38</v>
      </c>
      <c r="L126" s="177" t="str" cm="1">
        <f t="array" ref="L126">Common_InputFunctions.Utility_DisplayArrayInTable(Fertiliser_SourceData.Fertiliser_Products_Data2(), FertiliserProducts[[#Headers],[Company]],31)</f>
        <v/>
      </c>
      <c r="M126" s="177" t="str" cm="1">
        <f t="array" ref="M126">Common_InputFunctions.Utility_DisplayArrayInTable(Fertiliser_SourceData.Fertiliser_Products_Data2(), FertiliserProducts[[#Headers],[Company]],31)</f>
        <v/>
      </c>
      <c r="N126" s="177" cm="1">
        <f t="array" ref="N126">Common_InputFunctions.Utility_DisplayArrayInTable(Fertiliser_SourceData.Fertiliser_Products_Data2(), FertiliserProducts[[#Headers],[Company]],31)</f>
        <v>2</v>
      </c>
      <c r="O126" s="177" t="str" cm="1">
        <f t="array" ref="O126">Common_InputFunctions.Utility_DisplayArrayInTable(Fertiliser_SourceData.Fertiliser_Products_Data2(), FertiliserProducts[[#Headers],[Company]],31)</f>
        <v>Urea</v>
      </c>
      <c r="P126" s="177" cm="1">
        <f t="array" ref="P126">Common_InputFunctions.Utility_DisplayArrayInTable(Fertiliser_SourceData.Fertiliser_Products_Data2(), FertiliserProducts[[#Headers],[Company]],31)</f>
        <v>0.46087</v>
      </c>
      <c r="Q126" s="177" t="str" cm="1">
        <f t="array" ref="Q126">Common_InputFunctions.Utility_DisplayArrayInTable(Fertiliser_SourceData.Fertiliser_Products_Data2(), FertiliserProducts[[#Headers],[Company]],31)</f>
        <v>Nitrogen - Ammoniacal</v>
      </c>
      <c r="R126" s="177" cm="1">
        <f t="array" ref="R126">Common_InputFunctions.Utility_DisplayArrayInTable(Fertiliser_SourceData.Fertiliser_Products_Data2(), FertiliserProducts[[#Headers],[Company]],31)</f>
        <v>9.1999999999999998E-2</v>
      </c>
      <c r="S126" s="177" t="str" cm="1">
        <f t="array" ref="S126">Common_InputFunctions.Utility_DisplayArrayInTable(Fertiliser_SourceData.Fertiliser_Products_Data2(), FertiliserProducts[[#Headers],[Company]],31)</f>
        <v>Nitrogen - Nitrate</v>
      </c>
      <c r="T126" s="177" cm="1">
        <f t="array" ref="T126">Common_InputFunctions.Utility_DisplayArrayInTable(Fertiliser_SourceData.Fertiliser_Products_Data2(), FertiliserProducts[[#Headers],[Company]],31)</f>
        <v>7.5999999999999998E-2</v>
      </c>
      <c r="U126" s="177" t="str" cm="1">
        <f t="array" ref="U126">Common_InputFunctions.Utility_DisplayArrayInTable(Fertiliser_SourceData.Fertiliser_Products_Data2(), FertiliserProducts[[#Headers],[Company]],31)</f>
        <v>Sulfur - Generic</v>
      </c>
      <c r="V126" s="177" cm="1">
        <f t="array" ref="V126">Common_InputFunctions.Utility_DisplayArrayInTable(Fertiliser_SourceData.Fertiliser_Products_Data2(), FertiliserProducts[[#Headers],[Company]],31)</f>
        <v>0.02</v>
      </c>
      <c r="W126" s="177" t="str" cm="1">
        <f t="array" ref="W126">Common_InputFunctions.Utility_DisplayArrayInTable(Fertiliser_SourceData.Fertiliser_Products_Data2(), FertiliserProducts[[#Headers],[Company]],31)</f>
        <v/>
      </c>
      <c r="X126" s="177" t="str" cm="1">
        <f t="array" ref="X126">Common_InputFunctions.Utility_DisplayArrayInTable(Fertiliser_SourceData.Fertiliser_Products_Data2(), FertiliserProducts[[#Headers],[Company]],31)</f>
        <v/>
      </c>
      <c r="Y126" s="177" t="str" cm="1">
        <f t="array" ref="Y126">Common_InputFunctions.Utility_DisplayArrayInTable(Fertiliser_SourceData.Fertiliser_Products_Data2(), FertiliserProducts[[#Headers],[Company]],31)</f>
        <v/>
      </c>
      <c r="Z126" s="177" t="str" cm="1">
        <f t="array" ref="Z126">Common_InputFunctions.Utility_DisplayArrayInTable(Fertiliser_SourceData.Fertiliser_Products_Data2(), FertiliserProducts[[#Headers],[Company]],31)</f>
        <v/>
      </c>
      <c r="AA126" s="177" t="str" cm="1">
        <f t="array" ref="AA126">Common_InputFunctions.Utility_DisplayArrayInTable(Fertiliser_SourceData.Fertiliser_Products_Data2(), FertiliserProducts[[#Headers],[Company]],31)</f>
        <v/>
      </c>
      <c r="AB126" s="177" t="str" cm="1">
        <f t="array" ref="AB126">Common_InputFunctions.Utility_DisplayArrayInTable(Fertiliser_SourceData.Fertiliser_Products_Data2(), FertiliserProducts[[#Headers],[Company]],31)</f>
        <v/>
      </c>
      <c r="AC126" s="177" t="str" cm="1">
        <f t="array" ref="AC126">Common_InputFunctions.Utility_DisplayArrayInTable(Fertiliser_SourceData.Fertiliser_Products_Data2(), FertiliserProducts[[#Headers],[Company]],31)</f>
        <v/>
      </c>
      <c r="AD126" s="177" t="str" cm="1">
        <f t="array" ref="AD126">Common_InputFunctions.Utility_DisplayArrayInTable(Fertiliser_SourceData.Fertiliser_Products_Data2(), FertiliserProducts[[#Headers],[Company]],31)</f>
        <v/>
      </c>
      <c r="AE126" s="177" t="str" cm="1">
        <f t="array" ref="AE126">Common_InputFunctions.Utility_DisplayArrayInTable(Fertiliser_SourceData.Fertiliser_Products_Data2(), FertiliserProducts[[#Headers],[Company]],31)</f>
        <v/>
      </c>
      <c r="AF126" s="177" t="str" cm="1">
        <f t="array" ref="AF126">Common_InputFunctions.Utility_DisplayArrayInTable(Fertiliser_SourceData.Fertiliser_Products_Data2(), FertiliserProducts[[#Headers],[Company]],31)</f>
        <v/>
      </c>
      <c r="AG126" s="177" t="str" cm="1">
        <f t="array" ref="AG126">Common_InputFunctions.Utility_DisplayArrayInTable(Fertiliser_SourceData.Fertiliser_Products_Data2(), FertiliserProducts[[#Headers],[Company]],31)</f>
        <v/>
      </c>
      <c r="AH126" s="177" t="str" cm="1">
        <f t="array" ref="AH126">Common_InputFunctions.Utility_DisplayArrayInTable(Fertiliser_SourceData.Fertiliser_Products_Data2(), FertiliserProducts[[#Headers],[Company]],31)</f>
        <v/>
      </c>
      <c r="AK126" s="1"/>
      <c r="AL126" s="1"/>
      <c r="AM126" s="1"/>
    </row>
    <row r="127" spans="4:39" ht="20" customHeight="1" x14ac:dyDescent="0.25">
      <c r="D127" s="177" t="str" cm="1">
        <f t="array" ref="D127">Common_InputFunctions.Utility_DisplayArrayInTable(Fertiliser_SourceData.Fertiliser_Products_Data2(), FertiliserProducts[[#Headers],[Company]],31)</f>
        <v>Impact Fertilisers</v>
      </c>
      <c r="E127" s="177" t="str" cm="1">
        <f t="array" ref="E127">Common_InputFunctions.Utility_DisplayArrayInTable(Fertiliser_SourceData.Fertiliser_Products_Data2(), FertiliserProducts[[#Headers],[Company]],31)</f>
        <v>Impact SSP</v>
      </c>
      <c r="F127" s="177" t="str" cm="1">
        <f t="array" ref="F127">Common_InputFunctions.Utility_DisplayArrayInTable(Fertiliser_SourceData.Fertiliser_Products_Data2(), FertiliserProducts[[#Headers],[Company]],31)</f>
        <v>kg</v>
      </c>
      <c r="G127" s="177" cm="1">
        <f t="array" ref="G127">Common_InputFunctions.Utility_DisplayArrayInTable(Fertiliser_SourceData.Fertiliser_Products_Data2(), FertiliserProducts[[#Headers],[Company]],31)</f>
        <v>1</v>
      </c>
      <c r="H127" s="177" t="str" cm="1">
        <f t="array" ref="H127">Common_InputFunctions.Utility_DisplayArrayInTable(Fertiliser_SourceData.Fertiliser_Products_Data2(), FertiliserProducts[[#Headers],[Company]],31)</f>
        <v/>
      </c>
      <c r="I127" s="177" t="str" cm="1">
        <f t="array" ref="I127">Common_InputFunctions.Utility_DisplayArrayInTable(Fertiliser_SourceData.Fertiliser_Products_Data2(), FertiliserProducts[[#Headers],[Company]],31)</f>
        <v/>
      </c>
      <c r="J127" s="177" t="str" cm="1">
        <f t="array" ref="J127">Common_InputFunctions.Utility_DisplayArrayInTable(Fertiliser_SourceData.Fertiliser_Products_Data2(), FertiliserProducts[[#Headers],[Company]],31)</f>
        <v/>
      </c>
      <c r="K127" s="177" t="str" cm="1">
        <f t="array" ref="K127">Common_InputFunctions.Utility_DisplayArrayInTable(Fertiliser_SourceData.Fertiliser_Products_Data2(), FertiliserProducts[[#Headers],[Company]],31)</f>
        <v/>
      </c>
      <c r="L127" s="177" cm="1">
        <f t="array" ref="L127">Common_InputFunctions.Utility_DisplayArrayInTable(Fertiliser_SourceData.Fertiliser_Products_Data2(), FertiliserProducts[[#Headers],[Company]],31)</f>
        <v>8.8000000000000007</v>
      </c>
      <c r="M127" s="177" t="str" cm="1">
        <f t="array" ref="M127">Common_InputFunctions.Utility_DisplayArrayInTable(Fertiliser_SourceData.Fertiliser_Products_Data2(), FertiliserProducts[[#Headers],[Company]],31)</f>
        <v/>
      </c>
      <c r="N127" s="177" cm="1">
        <f t="array" ref="N127">Common_InputFunctions.Utility_DisplayArrayInTable(Fertiliser_SourceData.Fertiliser_Products_Data2(), FertiliserProducts[[#Headers],[Company]],31)</f>
        <v>11</v>
      </c>
      <c r="O127" s="177" t="str" cm="1">
        <f t="array" ref="O127">Common_InputFunctions.Utility_DisplayArrayInTable(Fertiliser_SourceData.Fertiliser_Products_Data2(), FertiliserProducts[[#Headers],[Company]],31)</f>
        <v>Single superphosphate (SSP)</v>
      </c>
      <c r="P127" s="177" cm="1">
        <f t="array" ref="P127">Common_InputFunctions.Utility_DisplayArrayInTable(Fertiliser_SourceData.Fertiliser_Products_Data2(), FertiliserProducts[[#Headers],[Company]],31)</f>
        <v>1</v>
      </c>
      <c r="Q127" s="177" t="str" cm="1">
        <f t="array" ref="Q127">Common_InputFunctions.Utility_DisplayArrayInTable(Fertiliser_SourceData.Fertiliser_Products_Data2(), FertiliserProducts[[#Headers],[Company]],31)</f>
        <v/>
      </c>
      <c r="R127" s="177" t="str" cm="1">
        <f t="array" ref="R127">Common_InputFunctions.Utility_DisplayArrayInTable(Fertiliser_SourceData.Fertiliser_Products_Data2(), FertiliserProducts[[#Headers],[Company]],31)</f>
        <v/>
      </c>
      <c r="S127" s="177" t="str" cm="1">
        <f t="array" ref="S127">Common_InputFunctions.Utility_DisplayArrayInTable(Fertiliser_SourceData.Fertiliser_Products_Data2(), FertiliserProducts[[#Headers],[Company]],31)</f>
        <v/>
      </c>
      <c r="T127" s="177" t="str" cm="1">
        <f t="array" ref="T127">Common_InputFunctions.Utility_DisplayArrayInTable(Fertiliser_SourceData.Fertiliser_Products_Data2(), FertiliserProducts[[#Headers],[Company]],31)</f>
        <v/>
      </c>
      <c r="U127" s="177" t="str" cm="1">
        <f t="array" ref="U127">Common_InputFunctions.Utility_DisplayArrayInTable(Fertiliser_SourceData.Fertiliser_Products_Data2(), FertiliserProducts[[#Headers],[Company]],31)</f>
        <v/>
      </c>
      <c r="V127" s="177" t="str" cm="1">
        <f t="array" ref="V127">Common_InputFunctions.Utility_DisplayArrayInTable(Fertiliser_SourceData.Fertiliser_Products_Data2(), FertiliserProducts[[#Headers],[Company]],31)</f>
        <v/>
      </c>
      <c r="W127" s="177" t="str" cm="1">
        <f t="array" ref="W127">Common_InputFunctions.Utility_DisplayArrayInTable(Fertiliser_SourceData.Fertiliser_Products_Data2(), FertiliserProducts[[#Headers],[Company]],31)</f>
        <v/>
      </c>
      <c r="X127" s="177" t="str" cm="1">
        <f t="array" ref="X127">Common_InputFunctions.Utility_DisplayArrayInTable(Fertiliser_SourceData.Fertiliser_Products_Data2(), FertiliserProducts[[#Headers],[Company]],31)</f>
        <v/>
      </c>
      <c r="Y127" s="177" t="str" cm="1">
        <f t="array" ref="Y127">Common_InputFunctions.Utility_DisplayArrayInTable(Fertiliser_SourceData.Fertiliser_Products_Data2(), FertiliserProducts[[#Headers],[Company]],31)</f>
        <v/>
      </c>
      <c r="Z127" s="177" t="str" cm="1">
        <f t="array" ref="Z127">Common_InputFunctions.Utility_DisplayArrayInTable(Fertiliser_SourceData.Fertiliser_Products_Data2(), FertiliserProducts[[#Headers],[Company]],31)</f>
        <v/>
      </c>
      <c r="AA127" s="177" t="str" cm="1">
        <f t="array" ref="AA127">Common_InputFunctions.Utility_DisplayArrayInTable(Fertiliser_SourceData.Fertiliser_Products_Data2(), FertiliserProducts[[#Headers],[Company]],31)</f>
        <v/>
      </c>
      <c r="AB127" s="177" t="str" cm="1">
        <f t="array" ref="AB127">Common_InputFunctions.Utility_DisplayArrayInTable(Fertiliser_SourceData.Fertiliser_Products_Data2(), FertiliserProducts[[#Headers],[Company]],31)</f>
        <v/>
      </c>
      <c r="AC127" s="177" t="str" cm="1">
        <f t="array" ref="AC127">Common_InputFunctions.Utility_DisplayArrayInTable(Fertiliser_SourceData.Fertiliser_Products_Data2(), FertiliserProducts[[#Headers],[Company]],31)</f>
        <v/>
      </c>
      <c r="AD127" s="177" t="str" cm="1">
        <f t="array" ref="AD127">Common_InputFunctions.Utility_DisplayArrayInTable(Fertiliser_SourceData.Fertiliser_Products_Data2(), FertiliserProducts[[#Headers],[Company]],31)</f>
        <v/>
      </c>
      <c r="AE127" s="177" t="str" cm="1">
        <f t="array" ref="AE127">Common_InputFunctions.Utility_DisplayArrayInTable(Fertiliser_SourceData.Fertiliser_Products_Data2(), FertiliserProducts[[#Headers],[Company]],31)</f>
        <v/>
      </c>
      <c r="AF127" s="177" t="str" cm="1">
        <f t="array" ref="AF127">Common_InputFunctions.Utility_DisplayArrayInTable(Fertiliser_SourceData.Fertiliser_Products_Data2(), FertiliserProducts[[#Headers],[Company]],31)</f>
        <v/>
      </c>
      <c r="AG127" s="177" t="str" cm="1">
        <f t="array" ref="AG127">Common_InputFunctions.Utility_DisplayArrayInTable(Fertiliser_SourceData.Fertiliser_Products_Data2(), FertiliserProducts[[#Headers],[Company]],31)</f>
        <v/>
      </c>
      <c r="AH127" s="177" t="str" cm="1">
        <f t="array" ref="AH127">Common_InputFunctions.Utility_DisplayArrayInTable(Fertiliser_SourceData.Fertiliser_Products_Data2(), FertiliserProducts[[#Headers],[Company]],31)</f>
        <v/>
      </c>
      <c r="AK127" s="1"/>
      <c r="AL127" s="1"/>
      <c r="AM127" s="1"/>
    </row>
    <row r="128" spans="4:39" ht="20" customHeight="1" x14ac:dyDescent="0.25">
      <c r="D128" s="177" t="str" cm="1">
        <f t="array" ref="D128">Common_InputFunctions.Utility_DisplayArrayInTable(Fertiliser_SourceData.Fertiliser_Products_Data2(), FertiliserProducts[[#Headers],[Company]],31)</f>
        <v>Switch Ag</v>
      </c>
      <c r="E128" s="177" t="str" cm="1">
        <f t="array" ref="E128">Common_InputFunctions.Utility_DisplayArrayInTable(Fertiliser_SourceData.Fertiliser_Products_Data2(), FertiliserProducts[[#Headers],[Company]],31)</f>
        <v>In Crop</v>
      </c>
      <c r="F128" s="177" t="str" cm="1">
        <f t="array" ref="F128">Common_InputFunctions.Utility_DisplayArrayInTable(Fertiliser_SourceData.Fertiliser_Products_Data2(), FertiliserProducts[[#Headers],[Company]],31)</f>
        <v>L</v>
      </c>
      <c r="G128" s="177" cm="1">
        <f t="array" ref="G128">Common_InputFunctions.Utility_DisplayArrayInTable(Fertiliser_SourceData.Fertiliser_Products_Data2(), FertiliserProducts[[#Headers],[Company]],31)</f>
        <v>1.2</v>
      </c>
      <c r="H128" s="177" t="str" cm="1">
        <f t="array" ref="H128">Common_InputFunctions.Utility_DisplayArrayInTable(Fertiliser_SourceData.Fertiliser_Products_Data2(), FertiliserProducts[[#Headers],[Company]],31)</f>
        <v/>
      </c>
      <c r="I128" s="177" t="str" cm="1">
        <f t="array" ref="I128">Common_InputFunctions.Utility_DisplayArrayInTable(Fertiliser_SourceData.Fertiliser_Products_Data2(), FertiliserProducts[[#Headers],[Company]],31)</f>
        <v/>
      </c>
      <c r="J128" s="177" t="str" cm="1">
        <f t="array" ref="J128">Common_InputFunctions.Utility_DisplayArrayInTable(Fertiliser_SourceData.Fertiliser_Products_Data2(), FertiliserProducts[[#Headers],[Company]],31)</f>
        <v/>
      </c>
      <c r="K128" s="177" cm="1">
        <f t="array" ref="K128">Common_InputFunctions.Utility_DisplayArrayInTable(Fertiliser_SourceData.Fertiliser_Products_Data2(), FertiliserProducts[[#Headers],[Company]],31)</f>
        <v>10</v>
      </c>
      <c r="L128" s="177" cm="1">
        <f t="array" ref="L128">Common_InputFunctions.Utility_DisplayArrayInTable(Fertiliser_SourceData.Fertiliser_Products_Data2(), FertiliserProducts[[#Headers],[Company]],31)</f>
        <v>1</v>
      </c>
      <c r="M128" s="177" cm="1">
        <f t="array" ref="M128">Common_InputFunctions.Utility_DisplayArrayInTable(Fertiliser_SourceData.Fertiliser_Products_Data2(), FertiliserProducts[[#Headers],[Company]],31)</f>
        <v>11</v>
      </c>
      <c r="N128" s="177" t="str" cm="1">
        <f t="array" ref="N128">Common_InputFunctions.Utility_DisplayArrayInTable(Fertiliser_SourceData.Fertiliser_Products_Data2(), FertiliserProducts[[#Headers],[Company]],31)</f>
        <v/>
      </c>
      <c r="O128" s="177" t="str" cm="1">
        <f t="array" ref="O128">Common_InputFunctions.Utility_DisplayArrayInTable(Fertiliser_SourceData.Fertiliser_Products_Data2(), FertiliserProducts[[#Headers],[Company]],31)</f>
        <v>Potassium - Generic</v>
      </c>
      <c r="P128" s="177" cm="1">
        <f t="array" ref="P128">Common_InputFunctions.Utility_DisplayArrayInTable(Fertiliser_SourceData.Fertiliser_Products_Data2(), FertiliserProducts[[#Headers],[Company]],31)</f>
        <v>0.11</v>
      </c>
      <c r="Q128" s="177" t="str" cm="1">
        <f t="array" ref="Q128">Common_InputFunctions.Utility_DisplayArrayInTable(Fertiliser_SourceData.Fertiliser_Products_Data2(), FertiliserProducts[[#Headers],[Company]],31)</f>
        <v>Nitrogen - Generic</v>
      </c>
      <c r="R128" s="177" cm="1">
        <f t="array" ref="R128">Common_InputFunctions.Utility_DisplayArrayInTable(Fertiliser_SourceData.Fertiliser_Products_Data2(), FertiliserProducts[[#Headers],[Company]],31)</f>
        <v>0.1</v>
      </c>
      <c r="S128" s="177" t="str" cm="1">
        <f t="array" ref="S128">Common_InputFunctions.Utility_DisplayArrayInTable(Fertiliser_SourceData.Fertiliser_Products_Data2(), FertiliserProducts[[#Headers],[Company]],31)</f>
        <v>Phosphorus - Generic</v>
      </c>
      <c r="T128" s="177" cm="1">
        <f t="array" ref="T128">Common_InputFunctions.Utility_DisplayArrayInTable(Fertiliser_SourceData.Fertiliser_Products_Data2(), FertiliserProducts[[#Headers],[Company]],31)</f>
        <v>0.01</v>
      </c>
      <c r="U128" s="177" t="str" cm="1">
        <f t="array" ref="U128">Common_InputFunctions.Utility_DisplayArrayInTable(Fertiliser_SourceData.Fertiliser_Products_Data2(), FertiliserProducts[[#Headers],[Company]],31)</f>
        <v/>
      </c>
      <c r="V128" s="177" t="str" cm="1">
        <f t="array" ref="V128">Common_InputFunctions.Utility_DisplayArrayInTable(Fertiliser_SourceData.Fertiliser_Products_Data2(), FertiliserProducts[[#Headers],[Company]],31)</f>
        <v/>
      </c>
      <c r="W128" s="177" t="str" cm="1">
        <f t="array" ref="W128">Common_InputFunctions.Utility_DisplayArrayInTable(Fertiliser_SourceData.Fertiliser_Products_Data2(), FertiliserProducts[[#Headers],[Company]],31)</f>
        <v/>
      </c>
      <c r="X128" s="177" t="str" cm="1">
        <f t="array" ref="X128">Common_InputFunctions.Utility_DisplayArrayInTable(Fertiliser_SourceData.Fertiliser_Products_Data2(), FertiliserProducts[[#Headers],[Company]],31)</f>
        <v/>
      </c>
      <c r="Y128" s="177" t="str" cm="1">
        <f t="array" ref="Y128">Common_InputFunctions.Utility_DisplayArrayInTable(Fertiliser_SourceData.Fertiliser_Products_Data2(), FertiliserProducts[[#Headers],[Company]],31)</f>
        <v/>
      </c>
      <c r="Z128" s="177" t="str" cm="1">
        <f t="array" ref="Z128">Common_InputFunctions.Utility_DisplayArrayInTable(Fertiliser_SourceData.Fertiliser_Products_Data2(), FertiliserProducts[[#Headers],[Company]],31)</f>
        <v/>
      </c>
      <c r="AA128" s="177" t="str" cm="1">
        <f t="array" ref="AA128">Common_InputFunctions.Utility_DisplayArrayInTable(Fertiliser_SourceData.Fertiliser_Products_Data2(), FertiliserProducts[[#Headers],[Company]],31)</f>
        <v/>
      </c>
      <c r="AB128" s="177" t="str" cm="1">
        <f t="array" ref="AB128">Common_InputFunctions.Utility_DisplayArrayInTable(Fertiliser_SourceData.Fertiliser_Products_Data2(), FertiliserProducts[[#Headers],[Company]],31)</f>
        <v/>
      </c>
      <c r="AC128" s="177" t="str" cm="1">
        <f t="array" ref="AC128">Common_InputFunctions.Utility_DisplayArrayInTable(Fertiliser_SourceData.Fertiliser_Products_Data2(), FertiliserProducts[[#Headers],[Company]],31)</f>
        <v/>
      </c>
      <c r="AD128" s="177" t="str" cm="1">
        <f t="array" ref="AD128">Common_InputFunctions.Utility_DisplayArrayInTable(Fertiliser_SourceData.Fertiliser_Products_Data2(), FertiliserProducts[[#Headers],[Company]],31)</f>
        <v/>
      </c>
      <c r="AE128" s="177" t="str" cm="1">
        <f t="array" ref="AE128">Common_InputFunctions.Utility_DisplayArrayInTable(Fertiliser_SourceData.Fertiliser_Products_Data2(), FertiliserProducts[[#Headers],[Company]],31)</f>
        <v/>
      </c>
      <c r="AF128" s="177" t="str" cm="1">
        <f t="array" ref="AF128">Common_InputFunctions.Utility_DisplayArrayInTable(Fertiliser_SourceData.Fertiliser_Products_Data2(), FertiliserProducts[[#Headers],[Company]],31)</f>
        <v/>
      </c>
      <c r="AG128" s="177" t="str" cm="1">
        <f t="array" ref="AG128">Common_InputFunctions.Utility_DisplayArrayInTable(Fertiliser_SourceData.Fertiliser_Products_Data2(), FertiliserProducts[[#Headers],[Company]],31)</f>
        <v/>
      </c>
      <c r="AH128" s="177" t="str" cm="1">
        <f t="array" ref="AH128">Common_InputFunctions.Utility_DisplayArrayInTable(Fertiliser_SourceData.Fertiliser_Products_Data2(), FertiliserProducts[[#Headers],[Company]],31)</f>
        <v/>
      </c>
      <c r="AK128" s="1"/>
      <c r="AL128" s="1"/>
      <c r="AM128" s="1"/>
    </row>
    <row r="129" spans="4:39" ht="20" customHeight="1" x14ac:dyDescent="0.25">
      <c r="D129" s="177" t="str" cm="1">
        <f t="array" ref="D129">Common_InputFunctions.Utility_DisplayArrayInTable(Fertiliser_SourceData.Fertiliser_Products_Data2(), FertiliserProducts[[#Headers],[Company]],31)</f>
        <v>Switch Ag</v>
      </c>
      <c r="E129" s="177" t="str" cm="1">
        <f t="array" ref="E129">Common_InputFunctions.Utility_DisplayArrayInTable(Fertiliser_SourceData.Fertiliser_Products_Data2(), FertiliserProducts[[#Headers],[Company]],31)</f>
        <v>K20</v>
      </c>
      <c r="F129" s="177" t="str" cm="1">
        <f t="array" ref="F129">Common_InputFunctions.Utility_DisplayArrayInTable(Fertiliser_SourceData.Fertiliser_Products_Data2(), FertiliserProducts[[#Headers],[Company]],31)</f>
        <v>L</v>
      </c>
      <c r="G129" s="177" cm="1">
        <f t="array" ref="G129">Common_InputFunctions.Utility_DisplayArrayInTable(Fertiliser_SourceData.Fertiliser_Products_Data2(), FertiliserProducts[[#Headers],[Company]],31)</f>
        <v>1.3</v>
      </c>
      <c r="H129" s="177" t="str" cm="1">
        <f t="array" ref="H129">Common_InputFunctions.Utility_DisplayArrayInTable(Fertiliser_SourceData.Fertiliser_Products_Data2(), FertiliserProducts[[#Headers],[Company]],31)</f>
        <v/>
      </c>
      <c r="I129" s="177" t="str" cm="1">
        <f t="array" ref="I129">Common_InputFunctions.Utility_DisplayArrayInTable(Fertiliser_SourceData.Fertiliser_Products_Data2(), FertiliserProducts[[#Headers],[Company]],31)</f>
        <v/>
      </c>
      <c r="J129" s="177" t="str" cm="1">
        <f t="array" ref="J129">Common_InputFunctions.Utility_DisplayArrayInTable(Fertiliser_SourceData.Fertiliser_Products_Data2(), FertiliserProducts[[#Headers],[Company]],31)</f>
        <v/>
      </c>
      <c r="K129" s="177" cm="1">
        <f t="array" ref="K129">Common_InputFunctions.Utility_DisplayArrayInTable(Fertiliser_SourceData.Fertiliser_Products_Data2(), FertiliserProducts[[#Headers],[Company]],31)</f>
        <v>3</v>
      </c>
      <c r="L129" s="177" t="str" cm="1">
        <f t="array" ref="L129">Common_InputFunctions.Utility_DisplayArrayInTable(Fertiliser_SourceData.Fertiliser_Products_Data2(), FertiliserProducts[[#Headers],[Company]],31)</f>
        <v/>
      </c>
      <c r="M129" s="177" cm="1">
        <f t="array" ref="M129">Common_InputFunctions.Utility_DisplayArrayInTable(Fertiliser_SourceData.Fertiliser_Products_Data2(), FertiliserProducts[[#Headers],[Company]],31)</f>
        <v>22</v>
      </c>
      <c r="N129" s="177" t="str" cm="1">
        <f t="array" ref="N129">Common_InputFunctions.Utility_DisplayArrayInTable(Fertiliser_SourceData.Fertiliser_Products_Data2(), FertiliserProducts[[#Headers],[Company]],31)</f>
        <v/>
      </c>
      <c r="O129" s="177" t="str" cm="1">
        <f t="array" ref="O129">Common_InputFunctions.Utility_DisplayArrayInTable(Fertiliser_SourceData.Fertiliser_Products_Data2(), FertiliserProducts[[#Headers],[Company]],31)</f>
        <v>Potassium - Generic</v>
      </c>
      <c r="P129" s="177" cm="1">
        <f t="array" ref="P129">Common_InputFunctions.Utility_DisplayArrayInTable(Fertiliser_SourceData.Fertiliser_Products_Data2(), FertiliserProducts[[#Headers],[Company]],31)</f>
        <v>0.22</v>
      </c>
      <c r="Q129" s="177" t="str" cm="1">
        <f t="array" ref="Q129">Common_InputFunctions.Utility_DisplayArrayInTable(Fertiliser_SourceData.Fertiliser_Products_Data2(), FertiliserProducts[[#Headers],[Company]],31)</f>
        <v>Nitrogen - Generic</v>
      </c>
      <c r="R129" s="177" cm="1">
        <f t="array" ref="R129">Common_InputFunctions.Utility_DisplayArrayInTable(Fertiliser_SourceData.Fertiliser_Products_Data2(), FertiliserProducts[[#Headers],[Company]],31)</f>
        <v>0.03</v>
      </c>
      <c r="S129" s="177" t="str" cm="1">
        <f t="array" ref="S129">Common_InputFunctions.Utility_DisplayArrayInTable(Fertiliser_SourceData.Fertiliser_Products_Data2(), FertiliserProducts[[#Headers],[Company]],31)</f>
        <v/>
      </c>
      <c r="T129" s="177" t="str" cm="1">
        <f t="array" ref="T129">Common_InputFunctions.Utility_DisplayArrayInTable(Fertiliser_SourceData.Fertiliser_Products_Data2(), FertiliserProducts[[#Headers],[Company]],31)</f>
        <v/>
      </c>
      <c r="U129" s="177" t="str" cm="1">
        <f t="array" ref="U129">Common_InputFunctions.Utility_DisplayArrayInTable(Fertiliser_SourceData.Fertiliser_Products_Data2(), FertiliserProducts[[#Headers],[Company]],31)</f>
        <v/>
      </c>
      <c r="V129" s="177" t="str" cm="1">
        <f t="array" ref="V129">Common_InputFunctions.Utility_DisplayArrayInTable(Fertiliser_SourceData.Fertiliser_Products_Data2(), FertiliserProducts[[#Headers],[Company]],31)</f>
        <v/>
      </c>
      <c r="W129" s="177" t="str" cm="1">
        <f t="array" ref="W129">Common_InputFunctions.Utility_DisplayArrayInTable(Fertiliser_SourceData.Fertiliser_Products_Data2(), FertiliserProducts[[#Headers],[Company]],31)</f>
        <v/>
      </c>
      <c r="X129" s="177" t="str" cm="1">
        <f t="array" ref="X129">Common_InputFunctions.Utility_DisplayArrayInTable(Fertiliser_SourceData.Fertiliser_Products_Data2(), FertiliserProducts[[#Headers],[Company]],31)</f>
        <v/>
      </c>
      <c r="Y129" s="177" t="str" cm="1">
        <f t="array" ref="Y129">Common_InputFunctions.Utility_DisplayArrayInTable(Fertiliser_SourceData.Fertiliser_Products_Data2(), FertiliserProducts[[#Headers],[Company]],31)</f>
        <v/>
      </c>
      <c r="Z129" s="177" t="str" cm="1">
        <f t="array" ref="Z129">Common_InputFunctions.Utility_DisplayArrayInTable(Fertiliser_SourceData.Fertiliser_Products_Data2(), FertiliserProducts[[#Headers],[Company]],31)</f>
        <v/>
      </c>
      <c r="AA129" s="177" t="str" cm="1">
        <f t="array" ref="AA129">Common_InputFunctions.Utility_DisplayArrayInTable(Fertiliser_SourceData.Fertiliser_Products_Data2(), FertiliserProducts[[#Headers],[Company]],31)</f>
        <v/>
      </c>
      <c r="AB129" s="177" t="str" cm="1">
        <f t="array" ref="AB129">Common_InputFunctions.Utility_DisplayArrayInTable(Fertiliser_SourceData.Fertiliser_Products_Data2(), FertiliserProducts[[#Headers],[Company]],31)</f>
        <v/>
      </c>
      <c r="AC129" s="177" t="str" cm="1">
        <f t="array" ref="AC129">Common_InputFunctions.Utility_DisplayArrayInTable(Fertiliser_SourceData.Fertiliser_Products_Data2(), FertiliserProducts[[#Headers],[Company]],31)</f>
        <v/>
      </c>
      <c r="AD129" s="177" t="str" cm="1">
        <f t="array" ref="AD129">Common_InputFunctions.Utility_DisplayArrayInTable(Fertiliser_SourceData.Fertiliser_Products_Data2(), FertiliserProducts[[#Headers],[Company]],31)</f>
        <v/>
      </c>
      <c r="AE129" s="177" t="str" cm="1">
        <f t="array" ref="AE129">Common_InputFunctions.Utility_DisplayArrayInTable(Fertiliser_SourceData.Fertiliser_Products_Data2(), FertiliserProducts[[#Headers],[Company]],31)</f>
        <v/>
      </c>
      <c r="AF129" s="177" t="str" cm="1">
        <f t="array" ref="AF129">Common_InputFunctions.Utility_DisplayArrayInTable(Fertiliser_SourceData.Fertiliser_Products_Data2(), FertiliserProducts[[#Headers],[Company]],31)</f>
        <v/>
      </c>
      <c r="AG129" s="177" t="str" cm="1">
        <f t="array" ref="AG129">Common_InputFunctions.Utility_DisplayArrayInTable(Fertiliser_SourceData.Fertiliser_Products_Data2(), FertiliserProducts[[#Headers],[Company]],31)</f>
        <v/>
      </c>
      <c r="AH129" s="177" t="str" cm="1">
        <f t="array" ref="AH129">Common_InputFunctions.Utility_DisplayArrayInTable(Fertiliser_SourceData.Fertiliser_Products_Data2(), FertiliserProducts[[#Headers],[Company]],31)</f>
        <v/>
      </c>
      <c r="AK129" s="1"/>
      <c r="AL129" s="1"/>
      <c r="AM129" s="1"/>
    </row>
    <row r="130" spans="4:39" ht="20" customHeight="1" x14ac:dyDescent="0.25">
      <c r="D130" s="177" t="str" cm="1">
        <f t="array" ref="D130">Common_InputFunctions.Utility_DisplayArrayInTable(Fertiliser_SourceData.Fertiliser_Products_Data2(), FertiliserProducts[[#Headers],[Company]],31)</f>
        <v>Loveland Agriproducts</v>
      </c>
      <c r="E130" s="177" t="str" cm="1">
        <f t="array" ref="E130">Common_InputFunctions.Utility_DisplayArrayInTable(Fertiliser_SourceData.Fertiliser_Products_Data2(), FertiliserProducts[[#Headers],[Company]],31)</f>
        <v>Maximum N-Pact</v>
      </c>
      <c r="F130" s="177" t="str" cm="1">
        <f t="array" ref="F130">Common_InputFunctions.Utility_DisplayArrayInTable(Fertiliser_SourceData.Fertiliser_Products_Data2(), FertiliserProducts[[#Headers],[Company]],31)</f>
        <v>L</v>
      </c>
      <c r="G130" s="177" cm="1">
        <f t="array" ref="G130">Common_InputFunctions.Utility_DisplayArrayInTable(Fertiliser_SourceData.Fertiliser_Products_Data2(), FertiliserProducts[[#Headers],[Company]],31)</f>
        <v>1.1850000000000001</v>
      </c>
      <c r="H130" s="177" t="str" cm="1">
        <f t="array" ref="H130">Common_InputFunctions.Utility_DisplayArrayInTable(Fertiliser_SourceData.Fertiliser_Products_Data2(), FertiliserProducts[[#Headers],[Company]],31)</f>
        <v/>
      </c>
      <c r="I130" s="177" t="str" cm="1">
        <f t="array" ref="I130">Common_InputFunctions.Utility_DisplayArrayInTable(Fertiliser_SourceData.Fertiliser_Products_Data2(), FertiliserProducts[[#Headers],[Company]],31)</f>
        <v/>
      </c>
      <c r="J130" s="177" t="str" cm="1">
        <f t="array" ref="J130">Common_InputFunctions.Utility_DisplayArrayInTable(Fertiliser_SourceData.Fertiliser_Products_Data2(), FertiliserProducts[[#Headers],[Company]],31)</f>
        <v/>
      </c>
      <c r="K130" s="177" cm="1">
        <f t="array" ref="K130">Common_InputFunctions.Utility_DisplayArrayInTable(Fertiliser_SourceData.Fertiliser_Products_Data2(), FertiliserProducts[[#Headers],[Company]],31)</f>
        <v>23.8</v>
      </c>
      <c r="L130" s="177" t="str" cm="1">
        <f t="array" ref="L130">Common_InputFunctions.Utility_DisplayArrayInTable(Fertiliser_SourceData.Fertiliser_Products_Data2(), FertiliserProducts[[#Headers],[Company]],31)</f>
        <v/>
      </c>
      <c r="M130" s="177" t="str" cm="1">
        <f t="array" ref="M130">Common_InputFunctions.Utility_DisplayArrayInTable(Fertiliser_SourceData.Fertiliser_Products_Data2(), FertiliserProducts[[#Headers],[Company]],31)</f>
        <v/>
      </c>
      <c r="N130" s="177" t="str" cm="1">
        <f t="array" ref="N130">Common_InputFunctions.Utility_DisplayArrayInTable(Fertiliser_SourceData.Fertiliser_Products_Data2(), FertiliserProducts[[#Headers],[Company]],31)</f>
        <v/>
      </c>
      <c r="O130" s="177" t="str" cm="1">
        <f t="array" ref="O130">Common_InputFunctions.Utility_DisplayArrayInTable(Fertiliser_SourceData.Fertiliser_Products_Data2(), FertiliserProducts[[#Headers],[Company]],31)</f>
        <v>Urea</v>
      </c>
      <c r="P130" s="177" cm="1">
        <f t="array" ref="P130">Common_InputFunctions.Utility_DisplayArrayInTable(Fertiliser_SourceData.Fertiliser_Products_Data2(), FertiliserProducts[[#Headers],[Company]],31)</f>
        <v>0.51739100000000005</v>
      </c>
      <c r="Q130" s="177" t="str" cm="1">
        <f t="array" ref="Q130">Common_InputFunctions.Utility_DisplayArrayInTable(Fertiliser_SourceData.Fertiliser_Products_Data2(), FertiliserProducts[[#Headers],[Company]],31)</f>
        <v/>
      </c>
      <c r="R130" s="177" t="str" cm="1">
        <f t="array" ref="R130">Common_InputFunctions.Utility_DisplayArrayInTable(Fertiliser_SourceData.Fertiliser_Products_Data2(), FertiliserProducts[[#Headers],[Company]],31)</f>
        <v/>
      </c>
      <c r="S130" s="177" t="str" cm="1">
        <f t="array" ref="S130">Common_InputFunctions.Utility_DisplayArrayInTable(Fertiliser_SourceData.Fertiliser_Products_Data2(), FertiliserProducts[[#Headers],[Company]],31)</f>
        <v/>
      </c>
      <c r="T130" s="177" t="str" cm="1">
        <f t="array" ref="T130">Common_InputFunctions.Utility_DisplayArrayInTable(Fertiliser_SourceData.Fertiliser_Products_Data2(), FertiliserProducts[[#Headers],[Company]],31)</f>
        <v/>
      </c>
      <c r="U130" s="177" t="str" cm="1">
        <f t="array" ref="U130">Common_InputFunctions.Utility_DisplayArrayInTable(Fertiliser_SourceData.Fertiliser_Products_Data2(), FertiliserProducts[[#Headers],[Company]],31)</f>
        <v/>
      </c>
      <c r="V130" s="177" t="str" cm="1">
        <f t="array" ref="V130">Common_InputFunctions.Utility_DisplayArrayInTable(Fertiliser_SourceData.Fertiliser_Products_Data2(), FertiliserProducts[[#Headers],[Company]],31)</f>
        <v/>
      </c>
      <c r="W130" s="177" t="str" cm="1">
        <f t="array" ref="W130">Common_InputFunctions.Utility_DisplayArrayInTable(Fertiliser_SourceData.Fertiliser_Products_Data2(), FertiliserProducts[[#Headers],[Company]],31)</f>
        <v/>
      </c>
      <c r="X130" s="177" t="str" cm="1">
        <f t="array" ref="X130">Common_InputFunctions.Utility_DisplayArrayInTable(Fertiliser_SourceData.Fertiliser_Products_Data2(), FertiliserProducts[[#Headers],[Company]],31)</f>
        <v/>
      </c>
      <c r="Y130" s="177" t="str" cm="1">
        <f t="array" ref="Y130">Common_InputFunctions.Utility_DisplayArrayInTable(Fertiliser_SourceData.Fertiliser_Products_Data2(), FertiliserProducts[[#Headers],[Company]],31)</f>
        <v/>
      </c>
      <c r="Z130" s="177" t="str" cm="1">
        <f t="array" ref="Z130">Common_InputFunctions.Utility_DisplayArrayInTable(Fertiliser_SourceData.Fertiliser_Products_Data2(), FertiliserProducts[[#Headers],[Company]],31)</f>
        <v/>
      </c>
      <c r="AA130" s="177" t="str" cm="1">
        <f t="array" ref="AA130">Common_InputFunctions.Utility_DisplayArrayInTable(Fertiliser_SourceData.Fertiliser_Products_Data2(), FertiliserProducts[[#Headers],[Company]],31)</f>
        <v/>
      </c>
      <c r="AB130" s="177" t="str" cm="1">
        <f t="array" ref="AB130">Common_InputFunctions.Utility_DisplayArrayInTable(Fertiliser_SourceData.Fertiliser_Products_Data2(), FertiliserProducts[[#Headers],[Company]],31)</f>
        <v/>
      </c>
      <c r="AC130" s="177" t="str" cm="1">
        <f t="array" ref="AC130">Common_InputFunctions.Utility_DisplayArrayInTable(Fertiliser_SourceData.Fertiliser_Products_Data2(), FertiliserProducts[[#Headers],[Company]],31)</f>
        <v/>
      </c>
      <c r="AD130" s="177" t="str" cm="1">
        <f t="array" ref="AD130">Common_InputFunctions.Utility_DisplayArrayInTable(Fertiliser_SourceData.Fertiliser_Products_Data2(), FertiliserProducts[[#Headers],[Company]],31)</f>
        <v/>
      </c>
      <c r="AE130" s="177" t="str" cm="1">
        <f t="array" ref="AE130">Common_InputFunctions.Utility_DisplayArrayInTable(Fertiliser_SourceData.Fertiliser_Products_Data2(), FertiliserProducts[[#Headers],[Company]],31)</f>
        <v/>
      </c>
      <c r="AF130" s="177" t="str" cm="1">
        <f t="array" ref="AF130">Common_InputFunctions.Utility_DisplayArrayInTable(Fertiliser_SourceData.Fertiliser_Products_Data2(), FertiliserProducts[[#Headers],[Company]],31)</f>
        <v/>
      </c>
      <c r="AG130" s="177" t="str" cm="1">
        <f t="array" ref="AG130">Common_InputFunctions.Utility_DisplayArrayInTable(Fertiliser_SourceData.Fertiliser_Products_Data2(), FertiliserProducts[[#Headers],[Company]],31)</f>
        <v/>
      </c>
      <c r="AH130" s="177" t="str" cm="1">
        <f t="array" ref="AH130">Common_InputFunctions.Utility_DisplayArrayInTable(Fertiliser_SourceData.Fertiliser_Products_Data2(), FertiliserProducts[[#Headers],[Company]],31)</f>
        <v/>
      </c>
      <c r="AK130" s="1"/>
      <c r="AL130" s="1"/>
      <c r="AM130" s="1"/>
    </row>
    <row r="131" spans="4:39" ht="20" customHeight="1" x14ac:dyDescent="0.25">
      <c r="D131" s="177" t="str" cm="1">
        <f t="array" ref="D131">Common_InputFunctions.Utility_DisplayArrayInTable(Fertiliser_SourceData.Fertiliser_Products_Data2(), FertiliserProducts[[#Headers],[Company]],31)</f>
        <v>SL Tec</v>
      </c>
      <c r="E131" s="177" t="str" cm="1">
        <f t="array" ref="E131">Common_InputFunctions.Utility_DisplayArrayInTable(Fertiliser_SourceData.Fertiliser_Products_Data2(), FertiliserProducts[[#Headers],[Company]],31)</f>
        <v>Nitro Combi TE</v>
      </c>
      <c r="F131" s="177" t="str" cm="1">
        <f t="array" ref="F131">Common_InputFunctions.Utility_DisplayArrayInTable(Fertiliser_SourceData.Fertiliser_Products_Data2(), FertiliserProducts[[#Headers],[Company]],31)</f>
        <v>L</v>
      </c>
      <c r="G131" s="177" cm="1">
        <f t="array" ref="G131">Common_InputFunctions.Utility_DisplayArrayInTable(Fertiliser_SourceData.Fertiliser_Products_Data2(), FertiliserProducts[[#Headers],[Company]],31)</f>
        <v>1.2549999999999999</v>
      </c>
      <c r="H131" s="177" t="str" cm="1">
        <f t="array" ref="H131">Common_InputFunctions.Utility_DisplayArrayInTable(Fertiliser_SourceData.Fertiliser_Products_Data2(), FertiliserProducts[[#Headers],[Company]],31)</f>
        <v/>
      </c>
      <c r="I131" s="177" t="str" cm="1">
        <f t="array" ref="I131">Common_InputFunctions.Utility_DisplayArrayInTable(Fertiliser_SourceData.Fertiliser_Products_Data2(), FertiliserProducts[[#Headers],[Company]],31)</f>
        <v/>
      </c>
      <c r="J131" s="177" t="str" cm="1">
        <f t="array" ref="J131">Common_InputFunctions.Utility_DisplayArrayInTable(Fertiliser_SourceData.Fertiliser_Products_Data2(), FertiliserProducts[[#Headers],[Company]],31)</f>
        <v/>
      </c>
      <c r="K131" s="177" t="str" cm="1">
        <f t="array" ref="K131">Common_InputFunctions.Utility_DisplayArrayInTable(Fertiliser_SourceData.Fertiliser_Products_Data2(), FertiliserProducts[[#Headers],[Company]],31)</f>
        <v/>
      </c>
      <c r="L131" s="177" t="str" cm="1">
        <f t="array" ref="L131">Common_InputFunctions.Utility_DisplayArrayInTable(Fertiliser_SourceData.Fertiliser_Products_Data2(), FertiliserProducts[[#Headers],[Company]],31)</f>
        <v/>
      </c>
      <c r="M131" s="177" cm="1">
        <f t="array" ref="M131">Common_InputFunctions.Utility_DisplayArrayInTable(Fertiliser_SourceData.Fertiliser_Products_Data2(), FertiliserProducts[[#Headers],[Company]],31)</f>
        <v>0.1</v>
      </c>
      <c r="N131" s="177" cm="1">
        <f t="array" ref="N131">Common_InputFunctions.Utility_DisplayArrayInTable(Fertiliser_SourceData.Fertiliser_Products_Data2(), FertiliserProducts[[#Headers],[Company]],31)</f>
        <v>4.4000000000000004</v>
      </c>
      <c r="O131" s="177" t="str" cm="1">
        <f t="array" ref="O131">Common_InputFunctions.Utility_DisplayArrayInTable(Fertiliser_SourceData.Fertiliser_Products_Data2(), FertiliserProducts[[#Headers],[Company]],31)</f>
        <v>Sulfur - Generic</v>
      </c>
      <c r="P131" s="177" cm="1">
        <f t="array" ref="P131">Common_InputFunctions.Utility_DisplayArrayInTable(Fertiliser_SourceData.Fertiliser_Products_Data2(), FertiliserProducts[[#Headers],[Company]],31)</f>
        <v>4.3999999999999997E-2</v>
      </c>
      <c r="Q131" s="177" t="str" cm="1">
        <f t="array" ref="Q131">Common_InputFunctions.Utility_DisplayArrayInTable(Fertiliser_SourceData.Fertiliser_Products_Data2(), FertiliserProducts[[#Headers],[Company]],31)</f>
        <v>Zinc</v>
      </c>
      <c r="R131" s="177" cm="1">
        <f t="array" ref="R131">Common_InputFunctions.Utility_DisplayArrayInTable(Fertiliser_SourceData.Fertiliser_Products_Data2(), FertiliserProducts[[#Headers],[Company]],31)</f>
        <v>2.1999999999999999E-2</v>
      </c>
      <c r="S131" s="177" t="str" cm="1">
        <f t="array" ref="S131">Common_InputFunctions.Utility_DisplayArrayInTable(Fertiliser_SourceData.Fertiliser_Products_Data2(), FertiliserProducts[[#Headers],[Company]],31)</f>
        <v>Iron</v>
      </c>
      <c r="T131" s="177" cm="1">
        <f t="array" ref="T131">Common_InputFunctions.Utility_DisplayArrayInTable(Fertiliser_SourceData.Fertiliser_Products_Data2(), FertiliserProducts[[#Headers],[Company]],31)</f>
        <v>2.1999999999999999E-2</v>
      </c>
      <c r="U131" s="177" t="str" cm="1">
        <f t="array" ref="U131">Common_InputFunctions.Utility_DisplayArrayInTable(Fertiliser_SourceData.Fertiliser_Products_Data2(), FertiliserProducts[[#Headers],[Company]],31)</f>
        <v>Manganese</v>
      </c>
      <c r="V131" s="177" cm="1">
        <f t="array" ref="V131">Common_InputFunctions.Utility_DisplayArrayInTable(Fertiliser_SourceData.Fertiliser_Products_Data2(), FertiliserProducts[[#Headers],[Company]],31)</f>
        <v>1.6E-2</v>
      </c>
      <c r="W131" s="177" t="str" cm="1">
        <f t="array" ref="W131">Common_InputFunctions.Utility_DisplayArrayInTable(Fertiliser_SourceData.Fertiliser_Products_Data2(), FertiliserProducts[[#Headers],[Company]],31)</f>
        <v>Boron</v>
      </c>
      <c r="X131" s="177" cm="1">
        <f t="array" ref="X131">Common_InputFunctions.Utility_DisplayArrayInTable(Fertiliser_SourceData.Fertiliser_Products_Data2(), FertiliserProducts[[#Headers],[Company]],31)</f>
        <v>8.0000000000000002E-3</v>
      </c>
      <c r="Y131" s="177" t="str" cm="1">
        <f t="array" ref="Y131">Common_InputFunctions.Utility_DisplayArrayInTable(Fertiliser_SourceData.Fertiliser_Products_Data2(), FertiliserProducts[[#Headers],[Company]],31)</f>
        <v>Magnesium</v>
      </c>
      <c r="Z131" s="177" cm="1">
        <f t="array" ref="Z131">Common_InputFunctions.Utility_DisplayArrayInTable(Fertiliser_SourceData.Fertiliser_Products_Data2(), FertiliserProducts[[#Headers],[Company]],31)</f>
        <v>7.0000000000000001E-3</v>
      </c>
      <c r="AA131" s="177" t="str" cm="1">
        <f t="array" ref="AA131">Common_InputFunctions.Utility_DisplayArrayInTable(Fertiliser_SourceData.Fertiliser_Products_Data2(), FertiliserProducts[[#Headers],[Company]],31)</f>
        <v>Fulvic acid (organic)</v>
      </c>
      <c r="AB131" s="177" cm="1">
        <f t="array" ref="AB131">Common_InputFunctions.Utility_DisplayArrayInTable(Fertiliser_SourceData.Fertiliser_Products_Data2(), FertiliserProducts[[#Headers],[Company]],31)</f>
        <v>5.0000000000000001E-3</v>
      </c>
      <c r="AC131" s="177" t="str" cm="1">
        <f t="array" ref="AC131">Common_InputFunctions.Utility_DisplayArrayInTable(Fertiliser_SourceData.Fertiliser_Products_Data2(), FertiliserProducts[[#Headers],[Company]],31)</f>
        <v>Copper</v>
      </c>
      <c r="AD131" s="177" cm="1">
        <f t="array" ref="AD131">Common_InputFunctions.Utility_DisplayArrayInTable(Fertiliser_SourceData.Fertiliser_Products_Data2(), FertiliserProducts[[#Headers],[Company]],31)</f>
        <v>3.0000000000000001E-3</v>
      </c>
      <c r="AE131" s="177" t="str" cm="1">
        <f t="array" ref="AE131">Common_InputFunctions.Utility_DisplayArrayInTable(Fertiliser_SourceData.Fertiliser_Products_Data2(), FertiliserProducts[[#Headers],[Company]],31)</f>
        <v>Potassium - Generic</v>
      </c>
      <c r="AF131" s="177" cm="1">
        <f t="array" ref="AF131">Common_InputFunctions.Utility_DisplayArrayInTable(Fertiliser_SourceData.Fertiliser_Products_Data2(), FertiliserProducts[[#Headers],[Company]],31)</f>
        <v>1E-3</v>
      </c>
      <c r="AG131" s="177" t="str" cm="1">
        <f t="array" ref="AG131">Common_InputFunctions.Utility_DisplayArrayInTable(Fertiliser_SourceData.Fertiliser_Products_Data2(), FertiliserProducts[[#Headers],[Company]],31)</f>
        <v>Molybdenum</v>
      </c>
      <c r="AH131" s="177" cm="1">
        <f t="array" ref="AH131">Common_InputFunctions.Utility_DisplayArrayInTable(Fertiliser_SourceData.Fertiliser_Products_Data2(), FertiliserProducts[[#Headers],[Company]],31)</f>
        <v>2.9999999999999997E-4</v>
      </c>
      <c r="AK131" s="1"/>
      <c r="AL131" s="1"/>
      <c r="AM131" s="1"/>
    </row>
    <row r="132" spans="4:39" ht="20" customHeight="1" x14ac:dyDescent="0.25">
      <c r="D132" s="177" t="str" cm="1">
        <f t="array" ref="D132">Common_InputFunctions.Utility_DisplayArrayInTable(Fertiliser_SourceData.Fertiliser_Products_Data2(), FertiliserProducts[[#Headers],[Company]],31)</f>
        <v>Switch Ag</v>
      </c>
      <c r="E132" s="177" t="str" cm="1">
        <f t="array" ref="E132">Common_InputFunctions.Utility_DisplayArrayInTable(Fertiliser_SourceData.Fertiliser_Products_Data2(), FertiliserProducts[[#Headers],[Company]],31)</f>
        <v>PastureMAXX</v>
      </c>
      <c r="F132" s="177" t="str" cm="1">
        <f t="array" ref="F132">Common_InputFunctions.Utility_DisplayArrayInTable(Fertiliser_SourceData.Fertiliser_Products_Data2(), FertiliserProducts[[#Headers],[Company]],31)</f>
        <v>L</v>
      </c>
      <c r="G132" s="177" cm="1">
        <f t="array" ref="G132">Common_InputFunctions.Utility_DisplayArrayInTable(Fertiliser_SourceData.Fertiliser_Products_Data2(), FertiliserProducts[[#Headers],[Company]],31)</f>
        <v>1.23</v>
      </c>
      <c r="H132" s="177" t="str" cm="1">
        <f t="array" ref="H132">Common_InputFunctions.Utility_DisplayArrayInTable(Fertiliser_SourceData.Fertiliser_Products_Data2(), FertiliserProducts[[#Headers],[Company]],31)</f>
        <v/>
      </c>
      <c r="I132" s="177" t="str" cm="1">
        <f t="array" ref="I132">Common_InputFunctions.Utility_DisplayArrayInTable(Fertiliser_SourceData.Fertiliser_Products_Data2(), FertiliserProducts[[#Headers],[Company]],31)</f>
        <v/>
      </c>
      <c r="J132" s="177" t="str" cm="1">
        <f t="array" ref="J132">Common_InputFunctions.Utility_DisplayArrayInTable(Fertiliser_SourceData.Fertiliser_Products_Data2(), FertiliserProducts[[#Headers],[Company]],31)</f>
        <v/>
      </c>
      <c r="K132" s="177" cm="1">
        <f t="array" ref="K132">Common_InputFunctions.Utility_DisplayArrayInTable(Fertiliser_SourceData.Fertiliser_Products_Data2(), FertiliserProducts[[#Headers],[Company]],31)</f>
        <v>9.7100000000000009</v>
      </c>
      <c r="L132" s="177" t="str" cm="1">
        <f t="array" ref="L132">Common_InputFunctions.Utility_DisplayArrayInTable(Fertiliser_SourceData.Fertiliser_Products_Data2(), FertiliserProducts[[#Headers],[Company]],31)</f>
        <v/>
      </c>
      <c r="M132" s="177" cm="1">
        <f t="array" ref="M132">Common_InputFunctions.Utility_DisplayArrayInTable(Fertiliser_SourceData.Fertiliser_Products_Data2(), FertiliserProducts[[#Headers],[Company]],31)</f>
        <v>3.25</v>
      </c>
      <c r="N132" s="177" cm="1">
        <f t="array" ref="N132">Common_InputFunctions.Utility_DisplayArrayInTable(Fertiliser_SourceData.Fertiliser_Products_Data2(), FertiliserProducts[[#Headers],[Company]],31)</f>
        <v>2.11</v>
      </c>
      <c r="O132" s="177" t="str" cm="1">
        <f t="array" ref="O132">Common_InputFunctions.Utility_DisplayArrayInTable(Fertiliser_SourceData.Fertiliser_Products_Data2(), FertiliserProducts[[#Headers],[Company]],31)</f>
        <v>Nitrogen - Generic</v>
      </c>
      <c r="P132" s="177" cm="1">
        <f t="array" ref="P132">Common_InputFunctions.Utility_DisplayArrayInTable(Fertiliser_SourceData.Fertiliser_Products_Data2(), FertiliserProducts[[#Headers],[Company]],31)</f>
        <v>9.7100000000000006E-2</v>
      </c>
      <c r="Q132" s="177" t="str" cm="1">
        <f t="array" ref="Q132">Common_InputFunctions.Utility_DisplayArrayInTable(Fertiliser_SourceData.Fertiliser_Products_Data2(), FertiliserProducts[[#Headers],[Company]],31)</f>
        <v>Potassium - Generic</v>
      </c>
      <c r="R132" s="177" cm="1">
        <f t="array" ref="R132">Common_InputFunctions.Utility_DisplayArrayInTable(Fertiliser_SourceData.Fertiliser_Products_Data2(), FertiliserProducts[[#Headers],[Company]],31)</f>
        <v>3.2500000000000001E-2</v>
      </c>
      <c r="S132" s="177" t="str" cm="1">
        <f t="array" ref="S132">Common_InputFunctions.Utility_DisplayArrayInTable(Fertiliser_SourceData.Fertiliser_Products_Data2(), FertiliserProducts[[#Headers],[Company]],31)</f>
        <v>Sulfur - Generic</v>
      </c>
      <c r="T132" s="177" cm="1">
        <f t="array" ref="T132">Common_InputFunctions.Utility_DisplayArrayInTable(Fertiliser_SourceData.Fertiliser_Products_Data2(), FertiliserProducts[[#Headers],[Company]],31)</f>
        <v>2.1100000000000001E-2</v>
      </c>
      <c r="U132" s="177" t="str" cm="1">
        <f t="array" ref="U132">Common_InputFunctions.Utility_DisplayArrayInTable(Fertiliser_SourceData.Fertiliser_Products_Data2(), FertiliserProducts[[#Headers],[Company]],31)</f>
        <v>Zinc</v>
      </c>
      <c r="V132" s="177" cm="1">
        <f t="array" ref="V132">Common_InputFunctions.Utility_DisplayArrayInTable(Fertiliser_SourceData.Fertiliser_Products_Data2(), FertiliserProducts[[#Headers],[Company]],31)</f>
        <v>1.4999999999999999E-2</v>
      </c>
      <c r="W132" s="177" t="str" cm="1">
        <f t="array" ref="W132">Common_InputFunctions.Utility_DisplayArrayInTable(Fertiliser_SourceData.Fertiliser_Products_Data2(), FertiliserProducts[[#Headers],[Company]],31)</f>
        <v>Iron</v>
      </c>
      <c r="X132" s="177" cm="1">
        <f t="array" ref="X132">Common_InputFunctions.Utility_DisplayArrayInTable(Fertiliser_SourceData.Fertiliser_Products_Data2(), FertiliserProducts[[#Headers],[Company]],31)</f>
        <v>1.11E-2</v>
      </c>
      <c r="Y132" s="177" t="str" cm="1">
        <f t="array" ref="Y132">Common_InputFunctions.Utility_DisplayArrayInTable(Fertiliser_SourceData.Fertiliser_Products_Data2(), FertiliserProducts[[#Headers],[Company]],31)</f>
        <v>Manganese</v>
      </c>
      <c r="Z132" s="177" cm="1">
        <f t="array" ref="Z132">Common_InputFunctions.Utility_DisplayArrayInTable(Fertiliser_SourceData.Fertiliser_Products_Data2(), FertiliserProducts[[#Headers],[Company]],31)</f>
        <v>1.15E-2</v>
      </c>
      <c r="AA132" s="177" t="str" cm="1">
        <f t="array" ref="AA132">Common_InputFunctions.Utility_DisplayArrayInTable(Fertiliser_SourceData.Fertiliser_Products_Data2(), FertiliserProducts[[#Headers],[Company]],31)</f>
        <v>Magnesium</v>
      </c>
      <c r="AB132" s="177" cm="1">
        <f t="array" ref="AB132">Common_InputFunctions.Utility_DisplayArrayInTable(Fertiliser_SourceData.Fertiliser_Products_Data2(), FertiliserProducts[[#Headers],[Company]],31)</f>
        <v>4.4999999999999997E-3</v>
      </c>
      <c r="AC132" s="177" t="str" cm="1">
        <f t="array" ref="AC132">Common_InputFunctions.Utility_DisplayArrayInTable(Fertiliser_SourceData.Fertiliser_Products_Data2(), FertiliserProducts[[#Headers],[Company]],31)</f>
        <v>Boron</v>
      </c>
      <c r="AD132" s="177" cm="1">
        <f t="array" ref="AD132">Common_InputFunctions.Utility_DisplayArrayInTable(Fertiliser_SourceData.Fertiliser_Products_Data2(), FertiliserProducts[[#Headers],[Company]],31)</f>
        <v>2E-3</v>
      </c>
      <c r="AE132" s="177" t="str" cm="1">
        <f t="array" ref="AE132">Common_InputFunctions.Utility_DisplayArrayInTable(Fertiliser_SourceData.Fertiliser_Products_Data2(), FertiliserProducts[[#Headers],[Company]],31)</f>
        <v/>
      </c>
      <c r="AF132" s="177" t="str" cm="1">
        <f t="array" ref="AF132">Common_InputFunctions.Utility_DisplayArrayInTable(Fertiliser_SourceData.Fertiliser_Products_Data2(), FertiliserProducts[[#Headers],[Company]],31)</f>
        <v/>
      </c>
      <c r="AG132" s="177" t="str" cm="1">
        <f t="array" ref="AG132">Common_InputFunctions.Utility_DisplayArrayInTable(Fertiliser_SourceData.Fertiliser_Products_Data2(), FertiliserProducts[[#Headers],[Company]],31)</f>
        <v/>
      </c>
      <c r="AH132" s="177" t="str" cm="1">
        <f t="array" ref="AH132">Common_InputFunctions.Utility_DisplayArrayInTable(Fertiliser_SourceData.Fertiliser_Products_Data2(), FertiliserProducts[[#Headers],[Company]],31)</f>
        <v/>
      </c>
      <c r="AK132" s="1"/>
      <c r="AL132" s="1"/>
      <c r="AM132" s="1"/>
    </row>
    <row r="133" spans="4:39" ht="20" customHeight="1" x14ac:dyDescent="0.25">
      <c r="D133" s="177" t="str" cm="1">
        <f t="array" ref="D133">Common_InputFunctions.Utility_DisplayArrayInTable(Fertiliser_SourceData.Fertiliser_Products_Data2(), FertiliserProducts[[#Headers],[Company]],31)</f>
        <v>Campbells fertilisers Australia</v>
      </c>
      <c r="E133" s="177" t="str" cm="1">
        <f t="array" ref="E133">Common_InputFunctions.Utility_DisplayArrayInTable(Fertiliser_SourceData.Fertiliser_Products_Data2(), FertiliserProducts[[#Headers],[Company]],31)</f>
        <v>Platinum Nergetic</v>
      </c>
      <c r="F133" s="177" t="str" cm="1">
        <f t="array" ref="F133">Common_InputFunctions.Utility_DisplayArrayInTable(Fertiliser_SourceData.Fertiliser_Products_Data2(), FertiliserProducts[[#Headers],[Company]],31)</f>
        <v>kg</v>
      </c>
      <c r="G133" s="177" cm="1">
        <f t="array" ref="G133">Common_InputFunctions.Utility_DisplayArrayInTable(Fertiliser_SourceData.Fertiliser_Products_Data2(), FertiliserProducts[[#Headers],[Company]],31)</f>
        <v>1</v>
      </c>
      <c r="H133" s="177" t="str" cm="1">
        <f t="array" ref="H133">Common_InputFunctions.Utility_DisplayArrayInTable(Fertiliser_SourceData.Fertiliser_Products_Data2(), FertiliserProducts[[#Headers],[Company]],31)</f>
        <v/>
      </c>
      <c r="I133" s="177" t="str" cm="1">
        <f t="array" ref="I133">Common_InputFunctions.Utility_DisplayArrayInTable(Fertiliser_SourceData.Fertiliser_Products_Data2(), FertiliserProducts[[#Headers],[Company]],31)</f>
        <v/>
      </c>
      <c r="J133" s="177" t="str" cm="1">
        <f t="array" ref="J133">Common_InputFunctions.Utility_DisplayArrayInTable(Fertiliser_SourceData.Fertiliser_Products_Data2(), FertiliserProducts[[#Headers],[Company]],31)</f>
        <v/>
      </c>
      <c r="K133" s="177" cm="1">
        <f t="array" ref="K133">Common_InputFunctions.Utility_DisplayArrayInTable(Fertiliser_SourceData.Fertiliser_Products_Data2(), FertiliserProducts[[#Headers],[Company]],31)</f>
        <v>10</v>
      </c>
      <c r="L133" s="177" cm="1">
        <f t="array" ref="L133">Common_InputFunctions.Utility_DisplayArrayInTable(Fertiliser_SourceData.Fertiliser_Products_Data2(), FertiliserProducts[[#Headers],[Company]],31)</f>
        <v>10.9</v>
      </c>
      <c r="M133" s="177" cm="1">
        <f t="array" ref="M133">Common_InputFunctions.Utility_DisplayArrayInTable(Fertiliser_SourceData.Fertiliser_Products_Data2(), FertiliserProducts[[#Headers],[Company]],31)</f>
        <v>10</v>
      </c>
      <c r="N133" s="177" cm="1">
        <f t="array" ref="N133">Common_InputFunctions.Utility_DisplayArrayInTable(Fertiliser_SourceData.Fertiliser_Products_Data2(), FertiliserProducts[[#Headers],[Company]],31)</f>
        <v>4.34</v>
      </c>
      <c r="O133" s="177" t="str" cm="1">
        <f t="array" ref="O133">Common_InputFunctions.Utility_DisplayArrayInTable(Fertiliser_SourceData.Fertiliser_Products_Data2(), FertiliserProducts[[#Headers],[Company]],31)</f>
        <v>Monoammonium phosphate (MAP)</v>
      </c>
      <c r="P133" s="177" cm="1">
        <f t="array" ref="P133">Common_InputFunctions.Utility_DisplayArrayInTable(Fertiliser_SourceData.Fertiliser_Products_Data2(), FertiliserProducts[[#Headers],[Company]],31)</f>
        <v>0.4178</v>
      </c>
      <c r="Q133" s="177" t="str" cm="1">
        <f t="array" ref="Q133">Common_InputFunctions.Utility_DisplayArrayInTable(Fertiliser_SourceData.Fertiliser_Products_Data2(), FertiliserProducts[[#Headers],[Company]],31)</f>
        <v>Ammonium nitrate (AN)</v>
      </c>
      <c r="R133" s="177" cm="1">
        <f t="array" ref="R133">Common_InputFunctions.Utility_DisplayArrayInTable(Fertiliser_SourceData.Fertiliser_Products_Data2(), FertiliserProducts[[#Headers],[Company]],31)</f>
        <v>0.17280000000000001</v>
      </c>
      <c r="S133" s="177" t="str" cm="1">
        <f t="array" ref="S133">Common_InputFunctions.Utility_DisplayArrayInTable(Fertiliser_SourceData.Fertiliser_Products_Data2(), FertiliserProducts[[#Headers],[Company]],31)</f>
        <v>Potassium sulphate</v>
      </c>
      <c r="T133" s="177" cm="1">
        <f t="array" ref="T133">Common_InputFunctions.Utility_DisplayArrayInTable(Fertiliser_SourceData.Fertiliser_Products_Data2(), FertiliserProducts[[#Headers],[Company]],31)</f>
        <v>0.24096400000000001</v>
      </c>
      <c r="U133" s="177" t="str" cm="1">
        <f t="array" ref="U133">Common_InputFunctions.Utility_DisplayArrayInTable(Fertiliser_SourceData.Fertiliser_Products_Data2(), FertiliserProducts[[#Headers],[Company]],31)</f>
        <v>Double superphosphate</v>
      </c>
      <c r="V133" s="177" cm="1">
        <f t="array" ref="V133">Common_InputFunctions.Utility_DisplayArrayInTable(Fertiliser_SourceData.Fertiliser_Products_Data2(), FertiliserProducts[[#Headers],[Company]],31)</f>
        <v>0.1</v>
      </c>
      <c r="W133" s="177" t="str" cm="1">
        <f t="array" ref="W133">Common_InputFunctions.Utility_DisplayArrayInTable(Fertiliser_SourceData.Fertiliser_Products_Data2(), FertiliserProducts[[#Headers],[Company]],31)</f>
        <v>Magnesium</v>
      </c>
      <c r="X133" s="177" cm="1">
        <f t="array" ref="X133">Common_InputFunctions.Utility_DisplayArrayInTable(Fertiliser_SourceData.Fertiliser_Products_Data2(), FertiliserProducts[[#Headers],[Company]],31)</f>
        <v>1.2E-2</v>
      </c>
      <c r="Y133" s="177" t="str" cm="1">
        <f t="array" ref="Y133">Common_InputFunctions.Utility_DisplayArrayInTable(Fertiliser_SourceData.Fertiliser_Products_Data2(), FertiliserProducts[[#Headers],[Company]],31)</f>
        <v>Zinc</v>
      </c>
      <c r="Z133" s="177" cm="1">
        <f t="array" ref="Z133">Common_InputFunctions.Utility_DisplayArrayInTable(Fertiliser_SourceData.Fertiliser_Products_Data2(), FertiliserProducts[[#Headers],[Company]],31)</f>
        <v>3.5999999999999999E-3</v>
      </c>
      <c r="AA133" s="177" t="str" cm="1">
        <f t="array" ref="AA133">Common_InputFunctions.Utility_DisplayArrayInTable(Fertiliser_SourceData.Fertiliser_Products_Data2(), FertiliserProducts[[#Headers],[Company]],31)</f>
        <v>Boron</v>
      </c>
      <c r="AB133" s="177" cm="1">
        <f t="array" ref="AB133">Common_InputFunctions.Utility_DisplayArrayInTable(Fertiliser_SourceData.Fertiliser_Products_Data2(), FertiliserProducts[[#Headers],[Company]],31)</f>
        <v>1E-3</v>
      </c>
      <c r="AC133" s="177" t="str" cm="1">
        <f t="array" ref="AC133">Common_InputFunctions.Utility_DisplayArrayInTable(Fertiliser_SourceData.Fertiliser_Products_Data2(), FertiliserProducts[[#Headers],[Company]],31)</f>
        <v>Glaze Extend G3 Flexi</v>
      </c>
      <c r="AD133" s="177" cm="1">
        <f t="array" ref="AD133">Common_InputFunctions.Utility_DisplayArrayInTable(Fertiliser_SourceData.Fertiliser_Products_Data2(), FertiliserProducts[[#Headers],[Company]],31)</f>
        <v>5.1900000000000002E-2</v>
      </c>
      <c r="AE133" s="177" t="str" cm="1">
        <f t="array" ref="AE133">Common_InputFunctions.Utility_DisplayArrayInTable(Fertiliser_SourceData.Fertiliser_Products_Data2(), FertiliserProducts[[#Headers],[Company]],31)</f>
        <v/>
      </c>
      <c r="AF133" s="177" t="str" cm="1">
        <f t="array" ref="AF133">Common_InputFunctions.Utility_DisplayArrayInTable(Fertiliser_SourceData.Fertiliser_Products_Data2(), FertiliserProducts[[#Headers],[Company]],31)</f>
        <v/>
      </c>
      <c r="AG133" s="177" t="str" cm="1">
        <f t="array" ref="AG133">Common_InputFunctions.Utility_DisplayArrayInTable(Fertiliser_SourceData.Fertiliser_Products_Data2(), FertiliserProducts[[#Headers],[Company]],31)</f>
        <v/>
      </c>
      <c r="AH133" s="177" t="str" cm="1">
        <f t="array" ref="AH133">Common_InputFunctions.Utility_DisplayArrayInTable(Fertiliser_SourceData.Fertiliser_Products_Data2(), FertiliserProducts[[#Headers],[Company]],31)</f>
        <v/>
      </c>
      <c r="AK133" s="1"/>
      <c r="AL133" s="1"/>
      <c r="AM133" s="1"/>
    </row>
    <row r="134" spans="4:39" ht="20" customHeight="1" x14ac:dyDescent="0.25">
      <c r="D134" s="177" t="str" cm="1">
        <f t="array" ref="D134">Common_InputFunctions.Utility_DisplayArrayInTable(Fertiliser_SourceData.Fertiliser_Products_Data2(), FertiliserProducts[[#Headers],[Company]],31)</f>
        <v>Impact Fertilisers</v>
      </c>
      <c r="E134" s="177" t="str" cm="1">
        <f t="array" ref="E134">Common_InputFunctions.Utility_DisplayArrayInTable(Fertiliser_SourceData.Fertiliser_Products_Data2(), FertiliserProducts[[#Headers],[Company]],31)</f>
        <v>Sulphate of ammonia (SOA)</v>
      </c>
      <c r="F134" s="177" t="str" cm="1">
        <f t="array" ref="F134">Common_InputFunctions.Utility_DisplayArrayInTable(Fertiliser_SourceData.Fertiliser_Products_Data2(), FertiliserProducts[[#Headers],[Company]],31)</f>
        <v>kg</v>
      </c>
      <c r="G134" s="177" cm="1">
        <f t="array" ref="G134">Common_InputFunctions.Utility_DisplayArrayInTable(Fertiliser_SourceData.Fertiliser_Products_Data2(), FertiliserProducts[[#Headers],[Company]],31)</f>
        <v>1</v>
      </c>
      <c r="H134" s="177" t="str" cm="1">
        <f t="array" ref="H134">Common_InputFunctions.Utility_DisplayArrayInTable(Fertiliser_SourceData.Fertiliser_Products_Data2(), FertiliserProducts[[#Headers],[Company]],31)</f>
        <v/>
      </c>
      <c r="I134" s="177" t="str" cm="1">
        <f t="array" ref="I134">Common_InputFunctions.Utility_DisplayArrayInTable(Fertiliser_SourceData.Fertiliser_Products_Data2(), FertiliserProducts[[#Headers],[Company]],31)</f>
        <v/>
      </c>
      <c r="J134" s="177" t="str" cm="1">
        <f t="array" ref="J134">Common_InputFunctions.Utility_DisplayArrayInTable(Fertiliser_SourceData.Fertiliser_Products_Data2(), FertiliserProducts[[#Headers],[Company]],31)</f>
        <v/>
      </c>
      <c r="K134" s="177" cm="1">
        <f t="array" ref="K134">Common_InputFunctions.Utility_DisplayArrayInTable(Fertiliser_SourceData.Fertiliser_Products_Data2(), FertiliserProducts[[#Headers],[Company]],31)</f>
        <v>21</v>
      </c>
      <c r="L134" s="177" t="str" cm="1">
        <f t="array" ref="L134">Common_InputFunctions.Utility_DisplayArrayInTable(Fertiliser_SourceData.Fertiliser_Products_Data2(), FertiliserProducts[[#Headers],[Company]],31)</f>
        <v/>
      </c>
      <c r="M134" s="177" t="str" cm="1">
        <f t="array" ref="M134">Common_InputFunctions.Utility_DisplayArrayInTable(Fertiliser_SourceData.Fertiliser_Products_Data2(), FertiliserProducts[[#Headers],[Company]],31)</f>
        <v/>
      </c>
      <c r="N134" s="177" cm="1">
        <f t="array" ref="N134">Common_InputFunctions.Utility_DisplayArrayInTable(Fertiliser_SourceData.Fertiliser_Products_Data2(), FertiliserProducts[[#Headers],[Company]],31)</f>
        <v>24</v>
      </c>
      <c r="O134" s="177" t="str" cm="1">
        <f t="array" ref="O134">Common_InputFunctions.Utility_DisplayArrayInTable(Fertiliser_SourceData.Fertiliser_Products_Data2(), FertiliserProducts[[#Headers],[Company]],31)</f>
        <v>Sulphate of ammonia (SOA)</v>
      </c>
      <c r="P134" s="177" cm="1">
        <f t="array" ref="P134">Common_InputFunctions.Utility_DisplayArrayInTable(Fertiliser_SourceData.Fertiliser_Products_Data2(), FertiliserProducts[[#Headers],[Company]],31)</f>
        <v>1</v>
      </c>
      <c r="Q134" s="177" t="str" cm="1">
        <f t="array" ref="Q134">Common_InputFunctions.Utility_DisplayArrayInTable(Fertiliser_SourceData.Fertiliser_Products_Data2(), FertiliserProducts[[#Headers],[Company]],31)</f>
        <v/>
      </c>
      <c r="R134" s="177" t="str" cm="1">
        <f t="array" ref="R134">Common_InputFunctions.Utility_DisplayArrayInTable(Fertiliser_SourceData.Fertiliser_Products_Data2(), FertiliserProducts[[#Headers],[Company]],31)</f>
        <v/>
      </c>
      <c r="S134" s="177" t="str" cm="1">
        <f t="array" ref="S134">Common_InputFunctions.Utility_DisplayArrayInTable(Fertiliser_SourceData.Fertiliser_Products_Data2(), FertiliserProducts[[#Headers],[Company]],31)</f>
        <v/>
      </c>
      <c r="T134" s="177" t="str" cm="1">
        <f t="array" ref="T134">Common_InputFunctions.Utility_DisplayArrayInTable(Fertiliser_SourceData.Fertiliser_Products_Data2(), FertiliserProducts[[#Headers],[Company]],31)</f>
        <v/>
      </c>
      <c r="U134" s="177" t="str" cm="1">
        <f t="array" ref="U134">Common_InputFunctions.Utility_DisplayArrayInTable(Fertiliser_SourceData.Fertiliser_Products_Data2(), FertiliserProducts[[#Headers],[Company]],31)</f>
        <v/>
      </c>
      <c r="V134" s="177" t="str" cm="1">
        <f t="array" ref="V134">Common_InputFunctions.Utility_DisplayArrayInTable(Fertiliser_SourceData.Fertiliser_Products_Data2(), FertiliserProducts[[#Headers],[Company]],31)</f>
        <v/>
      </c>
      <c r="W134" s="177" t="str" cm="1">
        <f t="array" ref="W134">Common_InputFunctions.Utility_DisplayArrayInTable(Fertiliser_SourceData.Fertiliser_Products_Data2(), FertiliserProducts[[#Headers],[Company]],31)</f>
        <v/>
      </c>
      <c r="X134" s="177" t="str" cm="1">
        <f t="array" ref="X134">Common_InputFunctions.Utility_DisplayArrayInTable(Fertiliser_SourceData.Fertiliser_Products_Data2(), FertiliserProducts[[#Headers],[Company]],31)</f>
        <v/>
      </c>
      <c r="Y134" s="177" t="str" cm="1">
        <f t="array" ref="Y134">Common_InputFunctions.Utility_DisplayArrayInTable(Fertiliser_SourceData.Fertiliser_Products_Data2(), FertiliserProducts[[#Headers],[Company]],31)</f>
        <v/>
      </c>
      <c r="Z134" s="177" t="str" cm="1">
        <f t="array" ref="Z134">Common_InputFunctions.Utility_DisplayArrayInTable(Fertiliser_SourceData.Fertiliser_Products_Data2(), FertiliserProducts[[#Headers],[Company]],31)</f>
        <v/>
      </c>
      <c r="AA134" s="177" t="str" cm="1">
        <f t="array" ref="AA134">Common_InputFunctions.Utility_DisplayArrayInTable(Fertiliser_SourceData.Fertiliser_Products_Data2(), FertiliserProducts[[#Headers],[Company]],31)</f>
        <v/>
      </c>
      <c r="AB134" s="177" t="str" cm="1">
        <f t="array" ref="AB134">Common_InputFunctions.Utility_DisplayArrayInTable(Fertiliser_SourceData.Fertiliser_Products_Data2(), FertiliserProducts[[#Headers],[Company]],31)</f>
        <v/>
      </c>
      <c r="AC134" s="177" t="str" cm="1">
        <f t="array" ref="AC134">Common_InputFunctions.Utility_DisplayArrayInTable(Fertiliser_SourceData.Fertiliser_Products_Data2(), FertiliserProducts[[#Headers],[Company]],31)</f>
        <v/>
      </c>
      <c r="AD134" s="177" t="str" cm="1">
        <f t="array" ref="AD134">Common_InputFunctions.Utility_DisplayArrayInTable(Fertiliser_SourceData.Fertiliser_Products_Data2(), FertiliserProducts[[#Headers],[Company]],31)</f>
        <v/>
      </c>
      <c r="AE134" s="177" t="str" cm="1">
        <f t="array" ref="AE134">Common_InputFunctions.Utility_DisplayArrayInTable(Fertiliser_SourceData.Fertiliser_Products_Data2(), FertiliserProducts[[#Headers],[Company]],31)</f>
        <v/>
      </c>
      <c r="AF134" s="177" t="str" cm="1">
        <f t="array" ref="AF134">Common_InputFunctions.Utility_DisplayArrayInTable(Fertiliser_SourceData.Fertiliser_Products_Data2(), FertiliserProducts[[#Headers],[Company]],31)</f>
        <v/>
      </c>
      <c r="AG134" s="177" t="str" cm="1">
        <f t="array" ref="AG134">Common_InputFunctions.Utility_DisplayArrayInTable(Fertiliser_SourceData.Fertiliser_Products_Data2(), FertiliserProducts[[#Headers],[Company]],31)</f>
        <v/>
      </c>
      <c r="AH134" s="177" t="str" cm="1">
        <f t="array" ref="AH134">Common_InputFunctions.Utility_DisplayArrayInTable(Fertiliser_SourceData.Fertiliser_Products_Data2(), FertiliserProducts[[#Headers],[Company]],31)</f>
        <v/>
      </c>
      <c r="AK134" s="1"/>
      <c r="AL134" s="1"/>
      <c r="AM134" s="1"/>
    </row>
    <row r="135" spans="4:39" ht="20" customHeight="1" x14ac:dyDescent="0.25">
      <c r="D135" s="177" t="str" cm="1">
        <f t="array" ref="D135">Common_InputFunctions.Utility_DisplayArrayInTable(Fertiliser_SourceData.Fertiliser_Products_Data2(), FertiliserProducts[[#Headers],[Company]],31)</f>
        <v>Impact Fertilisers</v>
      </c>
      <c r="E135" s="177" t="str" cm="1">
        <f t="array" ref="E135">Common_InputFunctions.Utility_DisplayArrayInTable(Fertiliser_SourceData.Fertiliser_Products_Data2(), FertiliserProducts[[#Headers],[Company]],31)</f>
        <v>Mono-Ammonium Phosphate (MAP)</v>
      </c>
      <c r="F135" s="177" t="str" cm="1">
        <f t="array" ref="F135">Common_InputFunctions.Utility_DisplayArrayInTable(Fertiliser_SourceData.Fertiliser_Products_Data2(), FertiliserProducts[[#Headers],[Company]],31)</f>
        <v>kg</v>
      </c>
      <c r="G135" s="177" cm="1">
        <f t="array" ref="G135">Common_InputFunctions.Utility_DisplayArrayInTable(Fertiliser_SourceData.Fertiliser_Products_Data2(), FertiliserProducts[[#Headers],[Company]],31)</f>
        <v>1</v>
      </c>
      <c r="H135" s="177" t="str" cm="1">
        <f t="array" ref="H135">Common_InputFunctions.Utility_DisplayArrayInTable(Fertiliser_SourceData.Fertiliser_Products_Data2(), FertiliserProducts[[#Headers],[Company]],31)</f>
        <v/>
      </c>
      <c r="I135" s="177" t="str" cm="1">
        <f t="array" ref="I135">Common_InputFunctions.Utility_DisplayArrayInTable(Fertiliser_SourceData.Fertiliser_Products_Data2(), FertiliserProducts[[#Headers],[Company]],31)</f>
        <v/>
      </c>
      <c r="J135" s="177" t="str" cm="1">
        <f t="array" ref="J135">Common_InputFunctions.Utility_DisplayArrayInTable(Fertiliser_SourceData.Fertiliser_Products_Data2(), FertiliserProducts[[#Headers],[Company]],31)</f>
        <v/>
      </c>
      <c r="K135" s="177" cm="1">
        <f t="array" ref="K135">Common_InputFunctions.Utility_DisplayArrayInTable(Fertiliser_SourceData.Fertiliser_Products_Data2(), FertiliserProducts[[#Headers],[Company]],31)</f>
        <v>10</v>
      </c>
      <c r="L135" s="177" cm="1">
        <f t="array" ref="L135">Common_InputFunctions.Utility_DisplayArrayInTable(Fertiliser_SourceData.Fertiliser_Products_Data2(), FertiliserProducts[[#Headers],[Company]],31)</f>
        <v>21.9</v>
      </c>
      <c r="M135" s="177" t="str" cm="1">
        <f t="array" ref="M135">Common_InputFunctions.Utility_DisplayArrayInTable(Fertiliser_SourceData.Fertiliser_Products_Data2(), FertiliserProducts[[#Headers],[Company]],31)</f>
        <v/>
      </c>
      <c r="N135" s="177" cm="1">
        <f t="array" ref="N135">Common_InputFunctions.Utility_DisplayArrayInTable(Fertiliser_SourceData.Fertiliser_Products_Data2(), FertiliserProducts[[#Headers],[Company]],31)</f>
        <v>1.5</v>
      </c>
      <c r="O135" s="177" t="str" cm="1">
        <f t="array" ref="O135">Common_InputFunctions.Utility_DisplayArrayInTable(Fertiliser_SourceData.Fertiliser_Products_Data2(), FertiliserProducts[[#Headers],[Company]],31)</f>
        <v>Monoammonium phosphate (MAP)</v>
      </c>
      <c r="P135" s="177" cm="1">
        <f t="array" ref="P135">Common_InputFunctions.Utility_DisplayArrayInTable(Fertiliser_SourceData.Fertiliser_Products_Data2(), FertiliserProducts[[#Headers],[Company]],31)</f>
        <v>1</v>
      </c>
      <c r="Q135" s="177" t="str" cm="1">
        <f t="array" ref="Q135">Common_InputFunctions.Utility_DisplayArrayInTable(Fertiliser_SourceData.Fertiliser_Products_Data2(), FertiliserProducts[[#Headers],[Company]],31)</f>
        <v/>
      </c>
      <c r="R135" s="177" t="str" cm="1">
        <f t="array" ref="R135">Common_InputFunctions.Utility_DisplayArrayInTable(Fertiliser_SourceData.Fertiliser_Products_Data2(), FertiliserProducts[[#Headers],[Company]],31)</f>
        <v/>
      </c>
      <c r="S135" s="177" t="str" cm="1">
        <f t="array" ref="S135">Common_InputFunctions.Utility_DisplayArrayInTable(Fertiliser_SourceData.Fertiliser_Products_Data2(), FertiliserProducts[[#Headers],[Company]],31)</f>
        <v/>
      </c>
      <c r="T135" s="177" t="str" cm="1">
        <f t="array" ref="T135">Common_InputFunctions.Utility_DisplayArrayInTable(Fertiliser_SourceData.Fertiliser_Products_Data2(), FertiliserProducts[[#Headers],[Company]],31)</f>
        <v/>
      </c>
      <c r="U135" s="177" t="str" cm="1">
        <f t="array" ref="U135">Common_InputFunctions.Utility_DisplayArrayInTable(Fertiliser_SourceData.Fertiliser_Products_Data2(), FertiliserProducts[[#Headers],[Company]],31)</f>
        <v/>
      </c>
      <c r="V135" s="177" t="str" cm="1">
        <f t="array" ref="V135">Common_InputFunctions.Utility_DisplayArrayInTable(Fertiliser_SourceData.Fertiliser_Products_Data2(), FertiliserProducts[[#Headers],[Company]],31)</f>
        <v/>
      </c>
      <c r="W135" s="177" t="str" cm="1">
        <f t="array" ref="W135">Common_InputFunctions.Utility_DisplayArrayInTable(Fertiliser_SourceData.Fertiliser_Products_Data2(), FertiliserProducts[[#Headers],[Company]],31)</f>
        <v/>
      </c>
      <c r="X135" s="177" t="str" cm="1">
        <f t="array" ref="X135">Common_InputFunctions.Utility_DisplayArrayInTable(Fertiliser_SourceData.Fertiliser_Products_Data2(), FertiliserProducts[[#Headers],[Company]],31)</f>
        <v/>
      </c>
      <c r="Y135" s="177" t="str" cm="1">
        <f t="array" ref="Y135">Common_InputFunctions.Utility_DisplayArrayInTable(Fertiliser_SourceData.Fertiliser_Products_Data2(), FertiliserProducts[[#Headers],[Company]],31)</f>
        <v/>
      </c>
      <c r="Z135" s="177" t="str" cm="1">
        <f t="array" ref="Z135">Common_InputFunctions.Utility_DisplayArrayInTable(Fertiliser_SourceData.Fertiliser_Products_Data2(), FertiliserProducts[[#Headers],[Company]],31)</f>
        <v/>
      </c>
      <c r="AA135" s="177" t="str" cm="1">
        <f t="array" ref="AA135">Common_InputFunctions.Utility_DisplayArrayInTable(Fertiliser_SourceData.Fertiliser_Products_Data2(), FertiliserProducts[[#Headers],[Company]],31)</f>
        <v/>
      </c>
      <c r="AB135" s="177" t="str" cm="1">
        <f t="array" ref="AB135">Common_InputFunctions.Utility_DisplayArrayInTable(Fertiliser_SourceData.Fertiliser_Products_Data2(), FertiliserProducts[[#Headers],[Company]],31)</f>
        <v/>
      </c>
      <c r="AC135" s="177" t="str" cm="1">
        <f t="array" ref="AC135">Common_InputFunctions.Utility_DisplayArrayInTable(Fertiliser_SourceData.Fertiliser_Products_Data2(), FertiliserProducts[[#Headers],[Company]],31)</f>
        <v/>
      </c>
      <c r="AD135" s="177" t="str" cm="1">
        <f t="array" ref="AD135">Common_InputFunctions.Utility_DisplayArrayInTable(Fertiliser_SourceData.Fertiliser_Products_Data2(), FertiliserProducts[[#Headers],[Company]],31)</f>
        <v/>
      </c>
      <c r="AE135" s="177" t="str" cm="1">
        <f t="array" ref="AE135">Common_InputFunctions.Utility_DisplayArrayInTable(Fertiliser_SourceData.Fertiliser_Products_Data2(), FertiliserProducts[[#Headers],[Company]],31)</f>
        <v/>
      </c>
      <c r="AF135" s="177" t="str" cm="1">
        <f t="array" ref="AF135">Common_InputFunctions.Utility_DisplayArrayInTable(Fertiliser_SourceData.Fertiliser_Products_Data2(), FertiliserProducts[[#Headers],[Company]],31)</f>
        <v/>
      </c>
      <c r="AG135" s="177" t="str" cm="1">
        <f t="array" ref="AG135">Common_InputFunctions.Utility_DisplayArrayInTable(Fertiliser_SourceData.Fertiliser_Products_Data2(), FertiliserProducts[[#Headers],[Company]],31)</f>
        <v/>
      </c>
      <c r="AH135" s="177" t="str" cm="1">
        <f t="array" ref="AH135">Common_InputFunctions.Utility_DisplayArrayInTable(Fertiliser_SourceData.Fertiliser_Products_Data2(), FertiliserProducts[[#Headers],[Company]],31)</f>
        <v/>
      </c>
      <c r="AK135" s="1"/>
      <c r="AL135" s="1"/>
      <c r="AM135" s="1"/>
    </row>
    <row r="136" spans="4:39" ht="20" customHeight="1" x14ac:dyDescent="0.25">
      <c r="D136" s="177" t="str" cm="1">
        <f t="array" ref="D136">Common_InputFunctions.Utility_DisplayArrayInTable(Fertiliser_SourceData.Fertiliser_Products_Data2(), FertiliserProducts[[#Headers],[Company]],31)</f>
        <v>Impact Fertilisers</v>
      </c>
      <c r="E136" s="177" t="str" cm="1">
        <f t="array" ref="E136">Common_InputFunctions.Utility_DisplayArrayInTable(Fertiliser_SourceData.Fertiliser_Products_Data2(), FertiliserProducts[[#Headers],[Company]],31)</f>
        <v>Urea</v>
      </c>
      <c r="F136" s="177" t="str" cm="1">
        <f t="array" ref="F136">Common_InputFunctions.Utility_DisplayArrayInTable(Fertiliser_SourceData.Fertiliser_Products_Data2(), FertiliserProducts[[#Headers],[Company]],31)</f>
        <v>kg</v>
      </c>
      <c r="G136" s="177" cm="1">
        <f t="array" ref="G136">Common_InputFunctions.Utility_DisplayArrayInTable(Fertiliser_SourceData.Fertiliser_Products_Data2(), FertiliserProducts[[#Headers],[Company]],31)</f>
        <v>1</v>
      </c>
      <c r="H136" s="177" t="str" cm="1">
        <f t="array" ref="H136">Common_InputFunctions.Utility_DisplayArrayInTable(Fertiliser_SourceData.Fertiliser_Products_Data2(), FertiliserProducts[[#Headers],[Company]],31)</f>
        <v/>
      </c>
      <c r="I136" s="177" t="str" cm="1">
        <f t="array" ref="I136">Common_InputFunctions.Utility_DisplayArrayInTable(Fertiliser_SourceData.Fertiliser_Products_Data2(), FertiliserProducts[[#Headers],[Company]],31)</f>
        <v/>
      </c>
      <c r="J136" s="177" t="str" cm="1">
        <f t="array" ref="J136">Common_InputFunctions.Utility_DisplayArrayInTable(Fertiliser_SourceData.Fertiliser_Products_Data2(), FertiliserProducts[[#Headers],[Company]],31)</f>
        <v/>
      </c>
      <c r="K136" s="177" cm="1">
        <f t="array" ref="K136">Common_InputFunctions.Utility_DisplayArrayInTable(Fertiliser_SourceData.Fertiliser_Products_Data2(), FertiliserProducts[[#Headers],[Company]],31)</f>
        <v>46</v>
      </c>
      <c r="L136" s="177" t="str" cm="1">
        <f t="array" ref="L136">Common_InputFunctions.Utility_DisplayArrayInTable(Fertiliser_SourceData.Fertiliser_Products_Data2(), FertiliserProducts[[#Headers],[Company]],31)</f>
        <v/>
      </c>
      <c r="M136" s="177" t="str" cm="1">
        <f t="array" ref="M136">Common_InputFunctions.Utility_DisplayArrayInTable(Fertiliser_SourceData.Fertiliser_Products_Data2(), FertiliserProducts[[#Headers],[Company]],31)</f>
        <v/>
      </c>
      <c r="N136" s="177" t="str" cm="1">
        <f t="array" ref="N136">Common_InputFunctions.Utility_DisplayArrayInTable(Fertiliser_SourceData.Fertiliser_Products_Data2(), FertiliserProducts[[#Headers],[Company]],31)</f>
        <v/>
      </c>
      <c r="O136" s="177" t="str" cm="1">
        <f t="array" ref="O136">Common_InputFunctions.Utility_DisplayArrayInTable(Fertiliser_SourceData.Fertiliser_Products_Data2(), FertiliserProducts[[#Headers],[Company]],31)</f>
        <v>Urea</v>
      </c>
      <c r="P136" s="177" cm="1">
        <f t="array" ref="P136">Common_InputFunctions.Utility_DisplayArrayInTable(Fertiliser_SourceData.Fertiliser_Products_Data2(), FertiliserProducts[[#Headers],[Company]],31)</f>
        <v>1</v>
      </c>
      <c r="Q136" s="177" t="str" cm="1">
        <f t="array" ref="Q136">Common_InputFunctions.Utility_DisplayArrayInTable(Fertiliser_SourceData.Fertiliser_Products_Data2(), FertiliserProducts[[#Headers],[Company]],31)</f>
        <v/>
      </c>
      <c r="R136" s="177" t="str" cm="1">
        <f t="array" ref="R136">Common_InputFunctions.Utility_DisplayArrayInTable(Fertiliser_SourceData.Fertiliser_Products_Data2(), FertiliserProducts[[#Headers],[Company]],31)</f>
        <v/>
      </c>
      <c r="S136" s="177" t="str" cm="1">
        <f t="array" ref="S136">Common_InputFunctions.Utility_DisplayArrayInTable(Fertiliser_SourceData.Fertiliser_Products_Data2(), FertiliserProducts[[#Headers],[Company]],31)</f>
        <v/>
      </c>
      <c r="T136" s="177" t="str" cm="1">
        <f t="array" ref="T136">Common_InputFunctions.Utility_DisplayArrayInTable(Fertiliser_SourceData.Fertiliser_Products_Data2(), FertiliserProducts[[#Headers],[Company]],31)</f>
        <v/>
      </c>
      <c r="U136" s="177" t="str" cm="1">
        <f t="array" ref="U136">Common_InputFunctions.Utility_DisplayArrayInTable(Fertiliser_SourceData.Fertiliser_Products_Data2(), FertiliserProducts[[#Headers],[Company]],31)</f>
        <v/>
      </c>
      <c r="V136" s="177" t="str" cm="1">
        <f t="array" ref="V136">Common_InputFunctions.Utility_DisplayArrayInTable(Fertiliser_SourceData.Fertiliser_Products_Data2(), FertiliserProducts[[#Headers],[Company]],31)</f>
        <v/>
      </c>
      <c r="W136" s="177" t="str" cm="1">
        <f t="array" ref="W136">Common_InputFunctions.Utility_DisplayArrayInTable(Fertiliser_SourceData.Fertiliser_Products_Data2(), FertiliserProducts[[#Headers],[Company]],31)</f>
        <v/>
      </c>
      <c r="X136" s="177" t="str" cm="1">
        <f t="array" ref="X136">Common_InputFunctions.Utility_DisplayArrayInTable(Fertiliser_SourceData.Fertiliser_Products_Data2(), FertiliserProducts[[#Headers],[Company]],31)</f>
        <v/>
      </c>
      <c r="Y136" s="177" t="str" cm="1">
        <f t="array" ref="Y136">Common_InputFunctions.Utility_DisplayArrayInTable(Fertiliser_SourceData.Fertiliser_Products_Data2(), FertiliserProducts[[#Headers],[Company]],31)</f>
        <v/>
      </c>
      <c r="Z136" s="177" t="str" cm="1">
        <f t="array" ref="Z136">Common_InputFunctions.Utility_DisplayArrayInTable(Fertiliser_SourceData.Fertiliser_Products_Data2(), FertiliserProducts[[#Headers],[Company]],31)</f>
        <v/>
      </c>
      <c r="AA136" s="177" t="str" cm="1">
        <f t="array" ref="AA136">Common_InputFunctions.Utility_DisplayArrayInTable(Fertiliser_SourceData.Fertiliser_Products_Data2(), FertiliserProducts[[#Headers],[Company]],31)</f>
        <v/>
      </c>
      <c r="AB136" s="177" t="str" cm="1">
        <f t="array" ref="AB136">Common_InputFunctions.Utility_DisplayArrayInTable(Fertiliser_SourceData.Fertiliser_Products_Data2(), FertiliserProducts[[#Headers],[Company]],31)</f>
        <v/>
      </c>
      <c r="AC136" s="177" t="str" cm="1">
        <f t="array" ref="AC136">Common_InputFunctions.Utility_DisplayArrayInTable(Fertiliser_SourceData.Fertiliser_Products_Data2(), FertiliserProducts[[#Headers],[Company]],31)</f>
        <v/>
      </c>
      <c r="AD136" s="177" t="str" cm="1">
        <f t="array" ref="AD136">Common_InputFunctions.Utility_DisplayArrayInTable(Fertiliser_SourceData.Fertiliser_Products_Data2(), FertiliserProducts[[#Headers],[Company]],31)</f>
        <v/>
      </c>
      <c r="AE136" s="177" t="str" cm="1">
        <f t="array" ref="AE136">Common_InputFunctions.Utility_DisplayArrayInTable(Fertiliser_SourceData.Fertiliser_Products_Data2(), FertiliserProducts[[#Headers],[Company]],31)</f>
        <v/>
      </c>
      <c r="AF136" s="177" t="str" cm="1">
        <f t="array" ref="AF136">Common_InputFunctions.Utility_DisplayArrayInTable(Fertiliser_SourceData.Fertiliser_Products_Data2(), FertiliserProducts[[#Headers],[Company]],31)</f>
        <v/>
      </c>
      <c r="AG136" s="177" t="str" cm="1">
        <f t="array" ref="AG136">Common_InputFunctions.Utility_DisplayArrayInTable(Fertiliser_SourceData.Fertiliser_Products_Data2(), FertiliserProducts[[#Headers],[Company]],31)</f>
        <v/>
      </c>
      <c r="AH136" s="177" t="str" cm="1">
        <f t="array" ref="AH136">Common_InputFunctions.Utility_DisplayArrayInTable(Fertiliser_SourceData.Fertiliser_Products_Data2(), FertiliserProducts[[#Headers],[Company]],31)</f>
        <v/>
      </c>
      <c r="AK136" s="1"/>
      <c r="AL136" s="1"/>
      <c r="AM136" s="1"/>
    </row>
    <row r="137" spans="4:39" ht="20" customHeight="1" x14ac:dyDescent="0.25">
      <c r="D137" s="177" t="str" cm="1">
        <f t="array" ref="D137">Common_InputFunctions.Utility_DisplayArrayInTable(Fertiliser_SourceData.Fertiliser_Products_Data2(), FertiliserProducts[[#Headers],[Company]],31)</f>
        <v>Koch Fertiliser Australia</v>
      </c>
      <c r="E137" s="177" t="str" cm="1">
        <f t="array" ref="E137">Common_InputFunctions.Utility_DisplayArrayInTable(Fertiliser_SourceData.Fertiliser_Products_Data2(), FertiliserProducts[[#Headers],[Company]],31)</f>
        <v>Muriate of potash (MOP)</v>
      </c>
      <c r="F137" s="177" t="str" cm="1">
        <f t="array" ref="F137">Common_InputFunctions.Utility_DisplayArrayInTable(Fertiliser_SourceData.Fertiliser_Products_Data2(), FertiliserProducts[[#Headers],[Company]],31)</f>
        <v>kg</v>
      </c>
      <c r="G137" s="177" cm="1">
        <f t="array" ref="G137">Common_InputFunctions.Utility_DisplayArrayInTable(Fertiliser_SourceData.Fertiliser_Products_Data2(), FertiliserProducts[[#Headers],[Company]],31)</f>
        <v>1</v>
      </c>
      <c r="H137" s="177" t="str" cm="1">
        <f t="array" ref="H137">Common_InputFunctions.Utility_DisplayArrayInTable(Fertiliser_SourceData.Fertiliser_Products_Data2(), FertiliserProducts[[#Headers],[Company]],31)</f>
        <v/>
      </c>
      <c r="I137" s="177" t="str" cm="1">
        <f t="array" ref="I137">Common_InputFunctions.Utility_DisplayArrayInTable(Fertiliser_SourceData.Fertiliser_Products_Data2(), FertiliserProducts[[#Headers],[Company]],31)</f>
        <v/>
      </c>
      <c r="J137" s="177" t="str" cm="1">
        <f t="array" ref="J137">Common_InputFunctions.Utility_DisplayArrayInTable(Fertiliser_SourceData.Fertiliser_Products_Data2(), FertiliserProducts[[#Headers],[Company]],31)</f>
        <v/>
      </c>
      <c r="K137" s="177" t="str" cm="1">
        <f t="array" ref="K137">Common_InputFunctions.Utility_DisplayArrayInTable(Fertiliser_SourceData.Fertiliser_Products_Data2(), FertiliserProducts[[#Headers],[Company]],31)</f>
        <v/>
      </c>
      <c r="L137" s="177" t="str" cm="1">
        <f t="array" ref="L137">Common_InputFunctions.Utility_DisplayArrayInTable(Fertiliser_SourceData.Fertiliser_Products_Data2(), FertiliserProducts[[#Headers],[Company]],31)</f>
        <v/>
      </c>
      <c r="M137" s="177" cm="1">
        <f t="array" ref="M137">Common_InputFunctions.Utility_DisplayArrayInTable(Fertiliser_SourceData.Fertiliser_Products_Data2(), FertiliserProducts[[#Headers],[Company]],31)</f>
        <v>50</v>
      </c>
      <c r="N137" s="177" t="str" cm="1">
        <f t="array" ref="N137">Common_InputFunctions.Utility_DisplayArrayInTable(Fertiliser_SourceData.Fertiliser_Products_Data2(), FertiliserProducts[[#Headers],[Company]],31)</f>
        <v/>
      </c>
      <c r="O137" s="177" t="str" cm="1">
        <f t="array" ref="O137">Common_InputFunctions.Utility_DisplayArrayInTable(Fertiliser_SourceData.Fertiliser_Products_Data2(), FertiliserProducts[[#Headers],[Company]],31)</f>
        <v>Muriate of potash (MOP)</v>
      </c>
      <c r="P137" s="177" cm="1">
        <f t="array" ref="P137">Common_InputFunctions.Utility_DisplayArrayInTable(Fertiliser_SourceData.Fertiliser_Products_Data2(), FertiliserProducts[[#Headers],[Company]],31)</f>
        <v>1</v>
      </c>
      <c r="Q137" s="177" t="str" cm="1">
        <f t="array" ref="Q137">Common_InputFunctions.Utility_DisplayArrayInTable(Fertiliser_SourceData.Fertiliser_Products_Data2(), FertiliserProducts[[#Headers],[Company]],31)</f>
        <v/>
      </c>
      <c r="R137" s="177" t="str" cm="1">
        <f t="array" ref="R137">Common_InputFunctions.Utility_DisplayArrayInTable(Fertiliser_SourceData.Fertiliser_Products_Data2(), FertiliserProducts[[#Headers],[Company]],31)</f>
        <v/>
      </c>
      <c r="S137" s="177" t="str" cm="1">
        <f t="array" ref="S137">Common_InputFunctions.Utility_DisplayArrayInTable(Fertiliser_SourceData.Fertiliser_Products_Data2(), FertiliserProducts[[#Headers],[Company]],31)</f>
        <v/>
      </c>
      <c r="T137" s="177" t="str" cm="1">
        <f t="array" ref="T137">Common_InputFunctions.Utility_DisplayArrayInTable(Fertiliser_SourceData.Fertiliser_Products_Data2(), FertiliserProducts[[#Headers],[Company]],31)</f>
        <v/>
      </c>
      <c r="U137" s="177" t="str" cm="1">
        <f t="array" ref="U137">Common_InputFunctions.Utility_DisplayArrayInTable(Fertiliser_SourceData.Fertiliser_Products_Data2(), FertiliserProducts[[#Headers],[Company]],31)</f>
        <v/>
      </c>
      <c r="V137" s="177" t="str" cm="1">
        <f t="array" ref="V137">Common_InputFunctions.Utility_DisplayArrayInTable(Fertiliser_SourceData.Fertiliser_Products_Data2(), FertiliserProducts[[#Headers],[Company]],31)</f>
        <v/>
      </c>
      <c r="W137" s="177" t="str" cm="1">
        <f t="array" ref="W137">Common_InputFunctions.Utility_DisplayArrayInTable(Fertiliser_SourceData.Fertiliser_Products_Data2(), FertiliserProducts[[#Headers],[Company]],31)</f>
        <v/>
      </c>
      <c r="X137" s="177" t="str" cm="1">
        <f t="array" ref="X137">Common_InputFunctions.Utility_DisplayArrayInTable(Fertiliser_SourceData.Fertiliser_Products_Data2(), FertiliserProducts[[#Headers],[Company]],31)</f>
        <v/>
      </c>
      <c r="Y137" s="177" t="str" cm="1">
        <f t="array" ref="Y137">Common_InputFunctions.Utility_DisplayArrayInTable(Fertiliser_SourceData.Fertiliser_Products_Data2(), FertiliserProducts[[#Headers],[Company]],31)</f>
        <v/>
      </c>
      <c r="Z137" s="177" t="str" cm="1">
        <f t="array" ref="Z137">Common_InputFunctions.Utility_DisplayArrayInTable(Fertiliser_SourceData.Fertiliser_Products_Data2(), FertiliserProducts[[#Headers],[Company]],31)</f>
        <v/>
      </c>
      <c r="AA137" s="177" t="str" cm="1">
        <f t="array" ref="AA137">Common_InputFunctions.Utility_DisplayArrayInTable(Fertiliser_SourceData.Fertiliser_Products_Data2(), FertiliserProducts[[#Headers],[Company]],31)</f>
        <v/>
      </c>
      <c r="AB137" s="177" t="str" cm="1">
        <f t="array" ref="AB137">Common_InputFunctions.Utility_DisplayArrayInTable(Fertiliser_SourceData.Fertiliser_Products_Data2(), FertiliserProducts[[#Headers],[Company]],31)</f>
        <v/>
      </c>
      <c r="AC137" s="177" t="str" cm="1">
        <f t="array" ref="AC137">Common_InputFunctions.Utility_DisplayArrayInTable(Fertiliser_SourceData.Fertiliser_Products_Data2(), FertiliserProducts[[#Headers],[Company]],31)</f>
        <v/>
      </c>
      <c r="AD137" s="177" t="str" cm="1">
        <f t="array" ref="AD137">Common_InputFunctions.Utility_DisplayArrayInTable(Fertiliser_SourceData.Fertiliser_Products_Data2(), FertiliserProducts[[#Headers],[Company]],31)</f>
        <v/>
      </c>
      <c r="AE137" s="177" t="str" cm="1">
        <f t="array" ref="AE137">Common_InputFunctions.Utility_DisplayArrayInTable(Fertiliser_SourceData.Fertiliser_Products_Data2(), FertiliserProducts[[#Headers],[Company]],31)</f>
        <v/>
      </c>
      <c r="AF137" s="177" t="str" cm="1">
        <f t="array" ref="AF137">Common_InputFunctions.Utility_DisplayArrayInTable(Fertiliser_SourceData.Fertiliser_Products_Data2(), FertiliserProducts[[#Headers],[Company]],31)</f>
        <v/>
      </c>
      <c r="AG137" s="177" t="str" cm="1">
        <f t="array" ref="AG137">Common_InputFunctions.Utility_DisplayArrayInTable(Fertiliser_SourceData.Fertiliser_Products_Data2(), FertiliserProducts[[#Headers],[Company]],31)</f>
        <v/>
      </c>
      <c r="AH137" s="177" t="str" cm="1">
        <f t="array" ref="AH137">Common_InputFunctions.Utility_DisplayArrayInTable(Fertiliser_SourceData.Fertiliser_Products_Data2(), FertiliserProducts[[#Headers],[Company]],31)</f>
        <v/>
      </c>
      <c r="AK137" s="1"/>
      <c r="AL137" s="1"/>
      <c r="AM137" s="1"/>
    </row>
    <row r="138" spans="4:39" ht="20" customHeight="1" x14ac:dyDescent="0.25">
      <c r="D138" s="177" t="str" cm="1">
        <f t="array" ref="D138">Common_InputFunctions.Utility_DisplayArrayInTable(Fertiliser_SourceData.Fertiliser_Products_Data2(), FertiliserProducts[[#Headers],[Company]],31)</f>
        <v>Risso-Chemical</v>
      </c>
      <c r="E138" s="177" t="str" cm="1">
        <f t="array" ref="E138">Common_InputFunctions.Utility_DisplayArrayInTable(Fertiliser_SourceData.Fertiliser_Products_Data2(), FertiliserProducts[[#Headers],[Company]],31)</f>
        <v>Urea Ammonium nitrate (UAN 32-0-0)</v>
      </c>
      <c r="F138" s="177" t="str" cm="1">
        <f t="array" ref="F138">Common_InputFunctions.Utility_DisplayArrayInTable(Fertiliser_SourceData.Fertiliser_Products_Data2(), FertiliserProducts[[#Headers],[Company]],31)</f>
        <v>L</v>
      </c>
      <c r="G138" s="177" cm="1">
        <f t="array" ref="G138">Common_InputFunctions.Utility_DisplayArrayInTable(Fertiliser_SourceData.Fertiliser_Products_Data2(), FertiliserProducts[[#Headers],[Company]],31)</f>
        <v>1.32</v>
      </c>
      <c r="H138" s="177" t="str" cm="1">
        <f t="array" ref="H138">Common_InputFunctions.Utility_DisplayArrayInTable(Fertiliser_SourceData.Fertiliser_Products_Data2(), FertiliserProducts[[#Headers],[Company]],31)</f>
        <v/>
      </c>
      <c r="I138" s="177" t="str" cm="1">
        <f t="array" ref="I138">Common_InputFunctions.Utility_DisplayArrayInTable(Fertiliser_SourceData.Fertiliser_Products_Data2(), FertiliserProducts[[#Headers],[Company]],31)</f>
        <v>China</v>
      </c>
      <c r="J138" s="177" t="str" cm="1">
        <f t="array" ref="J138">Common_InputFunctions.Utility_DisplayArrayInTable(Fertiliser_SourceData.Fertiliser_Products_Data2(), FertiliserProducts[[#Headers],[Company]],31)</f>
        <v>China</v>
      </c>
      <c r="K138" s="177" cm="1">
        <f t="array" ref="K138">Common_InputFunctions.Utility_DisplayArrayInTable(Fertiliser_SourceData.Fertiliser_Products_Data2(), FertiliserProducts[[#Headers],[Company]],31)</f>
        <v>32</v>
      </c>
      <c r="L138" s="177" t="str" cm="1">
        <f t="array" ref="L138">Common_InputFunctions.Utility_DisplayArrayInTable(Fertiliser_SourceData.Fertiliser_Products_Data2(), FertiliserProducts[[#Headers],[Company]],31)</f>
        <v/>
      </c>
      <c r="M138" s="177" t="str" cm="1">
        <f t="array" ref="M138">Common_InputFunctions.Utility_DisplayArrayInTable(Fertiliser_SourceData.Fertiliser_Products_Data2(), FertiliserProducts[[#Headers],[Company]],31)</f>
        <v/>
      </c>
      <c r="N138" s="177" t="str" cm="1">
        <f t="array" ref="N138">Common_InputFunctions.Utility_DisplayArrayInTable(Fertiliser_SourceData.Fertiliser_Products_Data2(), FertiliserProducts[[#Headers],[Company]],31)</f>
        <v/>
      </c>
      <c r="O138" s="177" t="str" cm="1">
        <f t="array" ref="O138">Common_InputFunctions.Utility_DisplayArrayInTable(Fertiliser_SourceData.Fertiliser_Products_Data2(), FertiliserProducts[[#Headers],[Company]],31)</f>
        <v>Urea-ammonium nitrate (UAN)</v>
      </c>
      <c r="P138" s="177" cm="1">
        <f t="array" ref="P138">Common_InputFunctions.Utility_DisplayArrayInTable(Fertiliser_SourceData.Fertiliser_Products_Data2(), FertiliserProducts[[#Headers],[Company]],31)</f>
        <v>1</v>
      </c>
      <c r="Q138" s="177" t="str" cm="1">
        <f t="array" ref="Q138">Common_InputFunctions.Utility_DisplayArrayInTable(Fertiliser_SourceData.Fertiliser_Products_Data2(), FertiliserProducts[[#Headers],[Company]],31)</f>
        <v/>
      </c>
      <c r="R138" s="177" t="str" cm="1">
        <f t="array" ref="R138">Common_InputFunctions.Utility_DisplayArrayInTable(Fertiliser_SourceData.Fertiliser_Products_Data2(), FertiliserProducts[[#Headers],[Company]],31)</f>
        <v/>
      </c>
      <c r="S138" s="177" t="str" cm="1">
        <f t="array" ref="S138">Common_InputFunctions.Utility_DisplayArrayInTable(Fertiliser_SourceData.Fertiliser_Products_Data2(), FertiliserProducts[[#Headers],[Company]],31)</f>
        <v/>
      </c>
      <c r="T138" s="177" t="str" cm="1">
        <f t="array" ref="T138">Common_InputFunctions.Utility_DisplayArrayInTable(Fertiliser_SourceData.Fertiliser_Products_Data2(), FertiliserProducts[[#Headers],[Company]],31)</f>
        <v/>
      </c>
      <c r="U138" s="177" t="str" cm="1">
        <f t="array" ref="U138">Common_InputFunctions.Utility_DisplayArrayInTable(Fertiliser_SourceData.Fertiliser_Products_Data2(), FertiliserProducts[[#Headers],[Company]],31)</f>
        <v/>
      </c>
      <c r="V138" s="177" t="str" cm="1">
        <f t="array" ref="V138">Common_InputFunctions.Utility_DisplayArrayInTable(Fertiliser_SourceData.Fertiliser_Products_Data2(), FertiliserProducts[[#Headers],[Company]],31)</f>
        <v/>
      </c>
      <c r="W138" s="177" t="str" cm="1">
        <f t="array" ref="W138">Common_InputFunctions.Utility_DisplayArrayInTable(Fertiliser_SourceData.Fertiliser_Products_Data2(), FertiliserProducts[[#Headers],[Company]],31)</f>
        <v/>
      </c>
      <c r="X138" s="177" t="str" cm="1">
        <f t="array" ref="X138">Common_InputFunctions.Utility_DisplayArrayInTable(Fertiliser_SourceData.Fertiliser_Products_Data2(), FertiliserProducts[[#Headers],[Company]],31)</f>
        <v/>
      </c>
      <c r="Y138" s="177" t="str" cm="1">
        <f t="array" ref="Y138">Common_InputFunctions.Utility_DisplayArrayInTable(Fertiliser_SourceData.Fertiliser_Products_Data2(), FertiliserProducts[[#Headers],[Company]],31)</f>
        <v/>
      </c>
      <c r="Z138" s="177" t="str" cm="1">
        <f t="array" ref="Z138">Common_InputFunctions.Utility_DisplayArrayInTable(Fertiliser_SourceData.Fertiliser_Products_Data2(), FertiliserProducts[[#Headers],[Company]],31)</f>
        <v/>
      </c>
      <c r="AA138" s="177" t="str" cm="1">
        <f t="array" ref="AA138">Common_InputFunctions.Utility_DisplayArrayInTable(Fertiliser_SourceData.Fertiliser_Products_Data2(), FertiliserProducts[[#Headers],[Company]],31)</f>
        <v/>
      </c>
      <c r="AB138" s="177" t="str" cm="1">
        <f t="array" ref="AB138">Common_InputFunctions.Utility_DisplayArrayInTable(Fertiliser_SourceData.Fertiliser_Products_Data2(), FertiliserProducts[[#Headers],[Company]],31)</f>
        <v/>
      </c>
      <c r="AC138" s="177" t="str" cm="1">
        <f t="array" ref="AC138">Common_InputFunctions.Utility_DisplayArrayInTable(Fertiliser_SourceData.Fertiliser_Products_Data2(), FertiliserProducts[[#Headers],[Company]],31)</f>
        <v/>
      </c>
      <c r="AD138" s="177" t="str" cm="1">
        <f t="array" ref="AD138">Common_InputFunctions.Utility_DisplayArrayInTable(Fertiliser_SourceData.Fertiliser_Products_Data2(), FertiliserProducts[[#Headers],[Company]],31)</f>
        <v/>
      </c>
      <c r="AE138" s="177" t="str" cm="1">
        <f t="array" ref="AE138">Common_InputFunctions.Utility_DisplayArrayInTable(Fertiliser_SourceData.Fertiliser_Products_Data2(), FertiliserProducts[[#Headers],[Company]],31)</f>
        <v/>
      </c>
      <c r="AF138" s="177" t="str" cm="1">
        <f t="array" ref="AF138">Common_InputFunctions.Utility_DisplayArrayInTable(Fertiliser_SourceData.Fertiliser_Products_Data2(), FertiliserProducts[[#Headers],[Company]],31)</f>
        <v/>
      </c>
      <c r="AG138" s="177" t="str" cm="1">
        <f t="array" ref="AG138">Common_InputFunctions.Utility_DisplayArrayInTable(Fertiliser_SourceData.Fertiliser_Products_Data2(), FertiliserProducts[[#Headers],[Company]],31)</f>
        <v/>
      </c>
      <c r="AH138" s="177" t="str" cm="1">
        <f t="array" ref="AH138">Common_InputFunctions.Utility_DisplayArrayInTable(Fertiliser_SourceData.Fertiliser_Products_Data2(), FertiliserProducts[[#Headers],[Company]],31)</f>
        <v/>
      </c>
      <c r="AK138" s="1"/>
      <c r="AL138" s="1"/>
      <c r="AM138" s="1"/>
    </row>
    <row r="139" spans="4:39" ht="20" customHeight="1" x14ac:dyDescent="0.25">
      <c r="D139" s="177" t="str" cm="1">
        <f t="array" ref="D139">Common_InputFunctions.Utility_DisplayArrayInTable(Fertiliser_SourceData.Fertiliser_Products_Data2(), FertiliserProducts[[#Headers],[Company]],31)</f>
        <v>Risso-Chemical</v>
      </c>
      <c r="E139" s="177" t="str" cm="1">
        <f t="array" ref="E139">Common_InputFunctions.Utility_DisplayArrayInTable(Fertiliser_SourceData.Fertiliser_Products_Data2(), FertiliserProducts[[#Headers],[Company]],31)</f>
        <v>Polypeptide Urea</v>
      </c>
      <c r="F139" s="177" t="str" cm="1">
        <f t="array" ref="F139">Common_InputFunctions.Utility_DisplayArrayInTable(Fertiliser_SourceData.Fertiliser_Products_Data2(), FertiliserProducts[[#Headers],[Company]],31)</f>
        <v>kg</v>
      </c>
      <c r="G139" s="177" cm="1">
        <f t="array" ref="G139">Common_InputFunctions.Utility_DisplayArrayInTable(Fertiliser_SourceData.Fertiliser_Products_Data2(), FertiliserProducts[[#Headers],[Company]],31)</f>
        <v>1</v>
      </c>
      <c r="H139" s="177" t="str" cm="1">
        <f t="array" ref="H139">Common_InputFunctions.Utility_DisplayArrayInTable(Fertiliser_SourceData.Fertiliser_Products_Data2(), FertiliserProducts[[#Headers],[Company]],31)</f>
        <v/>
      </c>
      <c r="I139" s="177" t="str" cm="1">
        <f t="array" ref="I139">Common_InputFunctions.Utility_DisplayArrayInTable(Fertiliser_SourceData.Fertiliser_Products_Data2(), FertiliserProducts[[#Headers],[Company]],31)</f>
        <v>China</v>
      </c>
      <c r="J139" s="177" t="str" cm="1">
        <f t="array" ref="J139">Common_InputFunctions.Utility_DisplayArrayInTable(Fertiliser_SourceData.Fertiliser_Products_Data2(), FertiliserProducts[[#Headers],[Company]],31)</f>
        <v/>
      </c>
      <c r="K139" s="177" cm="1">
        <f t="array" ref="K139">Common_InputFunctions.Utility_DisplayArrayInTable(Fertiliser_SourceData.Fertiliser_Products_Data2(), FertiliserProducts[[#Headers],[Company]],31)</f>
        <v>46</v>
      </c>
      <c r="L139" s="177" t="str" cm="1">
        <f t="array" ref="L139">Common_InputFunctions.Utility_DisplayArrayInTable(Fertiliser_SourceData.Fertiliser_Products_Data2(), FertiliserProducts[[#Headers],[Company]],31)</f>
        <v/>
      </c>
      <c r="M139" s="177" t="str" cm="1">
        <f t="array" ref="M139">Common_InputFunctions.Utility_DisplayArrayInTable(Fertiliser_SourceData.Fertiliser_Products_Data2(), FertiliserProducts[[#Headers],[Company]],31)</f>
        <v/>
      </c>
      <c r="N139" s="177" t="str" cm="1">
        <f t="array" ref="N139">Common_InputFunctions.Utility_DisplayArrayInTable(Fertiliser_SourceData.Fertiliser_Products_Data2(), FertiliserProducts[[#Headers],[Company]],31)</f>
        <v/>
      </c>
      <c r="O139" s="177" t="str" cm="1">
        <f t="array" ref="O139">Common_InputFunctions.Utility_DisplayArrayInTable(Fertiliser_SourceData.Fertiliser_Products_Data2(), FertiliserProducts[[#Headers],[Company]],31)</f>
        <v>Urea</v>
      </c>
      <c r="P139" s="177" cm="1">
        <f t="array" ref="P139">Common_InputFunctions.Utility_DisplayArrayInTable(Fertiliser_SourceData.Fertiliser_Products_Data2(), FertiliserProducts[[#Headers],[Company]],31)</f>
        <v>1</v>
      </c>
      <c r="Q139" s="177" t="str" cm="1">
        <f t="array" ref="Q139">Common_InputFunctions.Utility_DisplayArrayInTable(Fertiliser_SourceData.Fertiliser_Products_Data2(), FertiliserProducts[[#Headers],[Company]],31)</f>
        <v>Polypeptide (amino acids)</v>
      </c>
      <c r="R139" s="177" cm="1">
        <f t="array" ref="R139">Common_InputFunctions.Utility_DisplayArrayInTable(Fertiliser_SourceData.Fertiliser_Products_Data2(), FertiliserProducts[[#Headers],[Company]],31)</f>
        <v>0</v>
      </c>
      <c r="S139" s="177" t="str" cm="1">
        <f t="array" ref="S139">Common_InputFunctions.Utility_DisplayArrayInTable(Fertiliser_SourceData.Fertiliser_Products_Data2(), FertiliserProducts[[#Headers],[Company]],31)</f>
        <v/>
      </c>
      <c r="T139" s="177" t="str" cm="1">
        <f t="array" ref="T139">Common_InputFunctions.Utility_DisplayArrayInTable(Fertiliser_SourceData.Fertiliser_Products_Data2(), FertiliserProducts[[#Headers],[Company]],31)</f>
        <v/>
      </c>
      <c r="U139" s="177" t="str" cm="1">
        <f t="array" ref="U139">Common_InputFunctions.Utility_DisplayArrayInTable(Fertiliser_SourceData.Fertiliser_Products_Data2(), FertiliserProducts[[#Headers],[Company]],31)</f>
        <v/>
      </c>
      <c r="V139" s="177" t="str" cm="1">
        <f t="array" ref="V139">Common_InputFunctions.Utility_DisplayArrayInTable(Fertiliser_SourceData.Fertiliser_Products_Data2(), FertiliserProducts[[#Headers],[Company]],31)</f>
        <v/>
      </c>
      <c r="W139" s="177" t="str" cm="1">
        <f t="array" ref="W139">Common_InputFunctions.Utility_DisplayArrayInTable(Fertiliser_SourceData.Fertiliser_Products_Data2(), FertiliserProducts[[#Headers],[Company]],31)</f>
        <v/>
      </c>
      <c r="X139" s="177" t="str" cm="1">
        <f t="array" ref="X139">Common_InputFunctions.Utility_DisplayArrayInTable(Fertiliser_SourceData.Fertiliser_Products_Data2(), FertiliserProducts[[#Headers],[Company]],31)</f>
        <v/>
      </c>
      <c r="Y139" s="177" t="str" cm="1">
        <f t="array" ref="Y139">Common_InputFunctions.Utility_DisplayArrayInTable(Fertiliser_SourceData.Fertiliser_Products_Data2(), FertiliserProducts[[#Headers],[Company]],31)</f>
        <v/>
      </c>
      <c r="Z139" s="177" t="str" cm="1">
        <f t="array" ref="Z139">Common_InputFunctions.Utility_DisplayArrayInTable(Fertiliser_SourceData.Fertiliser_Products_Data2(), FertiliserProducts[[#Headers],[Company]],31)</f>
        <v/>
      </c>
      <c r="AA139" s="177" t="str" cm="1">
        <f t="array" ref="AA139">Common_InputFunctions.Utility_DisplayArrayInTable(Fertiliser_SourceData.Fertiliser_Products_Data2(), FertiliserProducts[[#Headers],[Company]],31)</f>
        <v/>
      </c>
      <c r="AB139" s="177" t="str" cm="1">
        <f t="array" ref="AB139">Common_InputFunctions.Utility_DisplayArrayInTable(Fertiliser_SourceData.Fertiliser_Products_Data2(), FertiliserProducts[[#Headers],[Company]],31)</f>
        <v/>
      </c>
      <c r="AC139" s="177" t="str" cm="1">
        <f t="array" ref="AC139">Common_InputFunctions.Utility_DisplayArrayInTable(Fertiliser_SourceData.Fertiliser_Products_Data2(), FertiliserProducts[[#Headers],[Company]],31)</f>
        <v/>
      </c>
      <c r="AD139" s="177" t="str" cm="1">
        <f t="array" ref="AD139">Common_InputFunctions.Utility_DisplayArrayInTable(Fertiliser_SourceData.Fertiliser_Products_Data2(), FertiliserProducts[[#Headers],[Company]],31)</f>
        <v/>
      </c>
      <c r="AE139" s="177" t="str" cm="1">
        <f t="array" ref="AE139">Common_InputFunctions.Utility_DisplayArrayInTable(Fertiliser_SourceData.Fertiliser_Products_Data2(), FertiliserProducts[[#Headers],[Company]],31)</f>
        <v/>
      </c>
      <c r="AF139" s="177" t="str" cm="1">
        <f t="array" ref="AF139">Common_InputFunctions.Utility_DisplayArrayInTable(Fertiliser_SourceData.Fertiliser_Products_Data2(), FertiliserProducts[[#Headers],[Company]],31)</f>
        <v/>
      </c>
      <c r="AG139" s="177" t="str" cm="1">
        <f t="array" ref="AG139">Common_InputFunctions.Utility_DisplayArrayInTable(Fertiliser_SourceData.Fertiliser_Products_Data2(), FertiliserProducts[[#Headers],[Company]],31)</f>
        <v/>
      </c>
      <c r="AH139" s="177" t="str" cm="1">
        <f t="array" ref="AH139">Common_InputFunctions.Utility_DisplayArrayInTable(Fertiliser_SourceData.Fertiliser_Products_Data2(), FertiliserProducts[[#Headers],[Company]],31)</f>
        <v/>
      </c>
      <c r="AK139" s="1"/>
      <c r="AL139" s="1"/>
      <c r="AM139" s="1"/>
    </row>
    <row r="140" spans="4:39" ht="20" customHeight="1" x14ac:dyDescent="0.25">
      <c r="D140" s="177" t="str" cm="1">
        <f t="array" ref="D140">Common_InputFunctions.Utility_DisplayArrayInTable(Fertiliser_SourceData.Fertiliser_Products_Data2(), FertiliserProducts[[#Headers],[Company]],31)</f>
        <v>Yara Australia</v>
      </c>
      <c r="E140" s="177" t="str" cm="1">
        <f t="array" ref="E140">Common_InputFunctions.Utility_DisplayArrayInTable(Fertiliser_SourceData.Fertiliser_Products_Data2(), FertiliserProducts[[#Headers],[Company]],31)</f>
        <v>YaraTera CALCINIT</v>
      </c>
      <c r="F140" s="177" t="str" cm="1">
        <f t="array" ref="F140">Common_InputFunctions.Utility_DisplayArrayInTable(Fertiliser_SourceData.Fertiliser_Products_Data2(), FertiliserProducts[[#Headers],[Company]],31)</f>
        <v>kg</v>
      </c>
      <c r="G140" s="177" cm="1">
        <f t="array" ref="G140">Common_InputFunctions.Utility_DisplayArrayInTable(Fertiliser_SourceData.Fertiliser_Products_Data2(), FertiliserProducts[[#Headers],[Company]],31)</f>
        <v>1</v>
      </c>
      <c r="H140" s="177" t="str" cm="1">
        <f t="array" ref="H140">Common_InputFunctions.Utility_DisplayArrayInTable(Fertiliser_SourceData.Fertiliser_Products_Data2(), FertiliserProducts[[#Headers],[Company]],31)</f>
        <v/>
      </c>
      <c r="I140" s="177" t="str" cm="1">
        <f t="array" ref="I140">Common_InputFunctions.Utility_DisplayArrayInTable(Fertiliser_SourceData.Fertiliser_Products_Data2(), FertiliserProducts[[#Headers],[Company]],31)</f>
        <v/>
      </c>
      <c r="J140" s="177" t="str" cm="1">
        <f t="array" ref="J140">Common_InputFunctions.Utility_DisplayArrayInTable(Fertiliser_SourceData.Fertiliser_Products_Data2(), FertiliserProducts[[#Headers],[Company]],31)</f>
        <v/>
      </c>
      <c r="K140" s="177" cm="1">
        <f t="array" ref="K140">Common_InputFunctions.Utility_DisplayArrayInTable(Fertiliser_SourceData.Fertiliser_Products_Data2(), FertiliserProducts[[#Headers],[Company]],31)</f>
        <v>15.5</v>
      </c>
      <c r="L140" s="177" t="str" cm="1">
        <f t="array" ref="L140">Common_InputFunctions.Utility_DisplayArrayInTable(Fertiliser_SourceData.Fertiliser_Products_Data2(), FertiliserProducts[[#Headers],[Company]],31)</f>
        <v/>
      </c>
      <c r="M140" s="177" t="str" cm="1">
        <f t="array" ref="M140">Common_InputFunctions.Utility_DisplayArrayInTable(Fertiliser_SourceData.Fertiliser_Products_Data2(), FertiliserProducts[[#Headers],[Company]],31)</f>
        <v/>
      </c>
      <c r="N140" s="177" t="str" cm="1">
        <f t="array" ref="N140">Common_InputFunctions.Utility_DisplayArrayInTable(Fertiliser_SourceData.Fertiliser_Products_Data2(), FertiliserProducts[[#Headers],[Company]],31)</f>
        <v/>
      </c>
      <c r="O140" s="177" t="str" cm="1">
        <f t="array" ref="O140">Common_InputFunctions.Utility_DisplayArrayInTable(Fertiliser_SourceData.Fertiliser_Products_Data2(), FertiliserProducts[[#Headers],[Company]],31)</f>
        <v>Calcium nitrate</v>
      </c>
      <c r="P140" s="177" cm="1">
        <f t="array" ref="P140">Common_InputFunctions.Utility_DisplayArrayInTable(Fertiliser_SourceData.Fertiliser_Products_Data2(), FertiliserProducts[[#Headers],[Company]],31)</f>
        <v>1</v>
      </c>
      <c r="Q140" s="177" t="str" cm="1">
        <f t="array" ref="Q140">Common_InputFunctions.Utility_DisplayArrayInTable(Fertiliser_SourceData.Fertiliser_Products_Data2(), FertiliserProducts[[#Headers],[Company]],31)</f>
        <v/>
      </c>
      <c r="R140" s="177" t="str" cm="1">
        <f t="array" ref="R140">Common_InputFunctions.Utility_DisplayArrayInTable(Fertiliser_SourceData.Fertiliser_Products_Data2(), FertiliserProducts[[#Headers],[Company]],31)</f>
        <v/>
      </c>
      <c r="S140" s="177" t="str" cm="1">
        <f t="array" ref="S140">Common_InputFunctions.Utility_DisplayArrayInTable(Fertiliser_SourceData.Fertiliser_Products_Data2(), FertiliserProducts[[#Headers],[Company]],31)</f>
        <v/>
      </c>
      <c r="T140" s="177" t="str" cm="1">
        <f t="array" ref="T140">Common_InputFunctions.Utility_DisplayArrayInTable(Fertiliser_SourceData.Fertiliser_Products_Data2(), FertiliserProducts[[#Headers],[Company]],31)</f>
        <v/>
      </c>
      <c r="U140" s="177" t="str" cm="1">
        <f t="array" ref="U140">Common_InputFunctions.Utility_DisplayArrayInTable(Fertiliser_SourceData.Fertiliser_Products_Data2(), FertiliserProducts[[#Headers],[Company]],31)</f>
        <v/>
      </c>
      <c r="V140" s="177" t="str" cm="1">
        <f t="array" ref="V140">Common_InputFunctions.Utility_DisplayArrayInTable(Fertiliser_SourceData.Fertiliser_Products_Data2(), FertiliserProducts[[#Headers],[Company]],31)</f>
        <v/>
      </c>
      <c r="W140" s="177" t="str" cm="1">
        <f t="array" ref="W140">Common_InputFunctions.Utility_DisplayArrayInTable(Fertiliser_SourceData.Fertiliser_Products_Data2(), FertiliserProducts[[#Headers],[Company]],31)</f>
        <v/>
      </c>
      <c r="X140" s="177" t="str" cm="1">
        <f t="array" ref="X140">Common_InputFunctions.Utility_DisplayArrayInTable(Fertiliser_SourceData.Fertiliser_Products_Data2(), FertiliserProducts[[#Headers],[Company]],31)</f>
        <v/>
      </c>
      <c r="Y140" s="177" t="str" cm="1">
        <f t="array" ref="Y140">Common_InputFunctions.Utility_DisplayArrayInTable(Fertiliser_SourceData.Fertiliser_Products_Data2(), FertiliserProducts[[#Headers],[Company]],31)</f>
        <v/>
      </c>
      <c r="Z140" s="177" t="str" cm="1">
        <f t="array" ref="Z140">Common_InputFunctions.Utility_DisplayArrayInTable(Fertiliser_SourceData.Fertiliser_Products_Data2(), FertiliserProducts[[#Headers],[Company]],31)</f>
        <v/>
      </c>
      <c r="AA140" s="177" t="str" cm="1">
        <f t="array" ref="AA140">Common_InputFunctions.Utility_DisplayArrayInTable(Fertiliser_SourceData.Fertiliser_Products_Data2(), FertiliserProducts[[#Headers],[Company]],31)</f>
        <v/>
      </c>
      <c r="AB140" s="177" t="str" cm="1">
        <f t="array" ref="AB140">Common_InputFunctions.Utility_DisplayArrayInTable(Fertiliser_SourceData.Fertiliser_Products_Data2(), FertiliserProducts[[#Headers],[Company]],31)</f>
        <v/>
      </c>
      <c r="AC140" s="177" t="str" cm="1">
        <f t="array" ref="AC140">Common_InputFunctions.Utility_DisplayArrayInTable(Fertiliser_SourceData.Fertiliser_Products_Data2(), FertiliserProducts[[#Headers],[Company]],31)</f>
        <v/>
      </c>
      <c r="AD140" s="177" t="str" cm="1">
        <f t="array" ref="AD140">Common_InputFunctions.Utility_DisplayArrayInTable(Fertiliser_SourceData.Fertiliser_Products_Data2(), FertiliserProducts[[#Headers],[Company]],31)</f>
        <v/>
      </c>
      <c r="AE140" s="177" t="str" cm="1">
        <f t="array" ref="AE140">Common_InputFunctions.Utility_DisplayArrayInTable(Fertiliser_SourceData.Fertiliser_Products_Data2(), FertiliserProducts[[#Headers],[Company]],31)</f>
        <v/>
      </c>
      <c r="AF140" s="177" t="str" cm="1">
        <f t="array" ref="AF140">Common_InputFunctions.Utility_DisplayArrayInTable(Fertiliser_SourceData.Fertiliser_Products_Data2(), FertiliserProducts[[#Headers],[Company]],31)</f>
        <v/>
      </c>
      <c r="AG140" s="177" t="str" cm="1">
        <f t="array" ref="AG140">Common_InputFunctions.Utility_DisplayArrayInTable(Fertiliser_SourceData.Fertiliser_Products_Data2(), FertiliserProducts[[#Headers],[Company]],31)</f>
        <v/>
      </c>
      <c r="AH140" s="177" t="str" cm="1">
        <f t="array" ref="AH140">Common_InputFunctions.Utility_DisplayArrayInTable(Fertiliser_SourceData.Fertiliser_Products_Data2(), FertiliserProducts[[#Headers],[Company]],31)</f>
        <v/>
      </c>
      <c r="AK140" s="1"/>
      <c r="AL140" s="1"/>
      <c r="AM140" s="1"/>
    </row>
    <row r="141" spans="4:39" ht="20" customHeight="1" x14ac:dyDescent="0.25">
      <c r="D141" s="177" t="str" cm="1">
        <f t="array" ref="D141">Common_InputFunctions.Utility_DisplayArrayInTable(Fertiliser_SourceData.Fertiliser_Products_Data2(), FertiliserProducts[[#Headers],[Company]],31)</f>
        <v>Yara Australia</v>
      </c>
      <c r="E141" s="177" t="str" cm="1">
        <f t="array" ref="E141">Common_InputFunctions.Utility_DisplayArrayInTable(Fertiliser_SourceData.Fertiliser_Products_Data2(), FertiliserProducts[[#Headers],[Company]],31)</f>
        <v>YaraLiva NITRABOR</v>
      </c>
      <c r="F141" s="177" t="str" cm="1">
        <f t="array" ref="F141">Common_InputFunctions.Utility_DisplayArrayInTable(Fertiliser_SourceData.Fertiliser_Products_Data2(), FertiliserProducts[[#Headers],[Company]],31)</f>
        <v>kg</v>
      </c>
      <c r="G141" s="177" cm="1">
        <f t="array" ref="G141">Common_InputFunctions.Utility_DisplayArrayInTable(Fertiliser_SourceData.Fertiliser_Products_Data2(), FertiliserProducts[[#Headers],[Company]],31)</f>
        <v>1</v>
      </c>
      <c r="H141" s="177" t="str" cm="1">
        <f t="array" ref="H141">Common_InputFunctions.Utility_DisplayArrayInTable(Fertiliser_SourceData.Fertiliser_Products_Data2(), FertiliserProducts[[#Headers],[Company]],31)</f>
        <v/>
      </c>
      <c r="I141" s="177" t="str" cm="1">
        <f t="array" ref="I141">Common_InputFunctions.Utility_DisplayArrayInTable(Fertiliser_SourceData.Fertiliser_Products_Data2(), FertiliserProducts[[#Headers],[Company]],31)</f>
        <v/>
      </c>
      <c r="J141" s="177" t="str" cm="1">
        <f t="array" ref="J141">Common_InputFunctions.Utility_DisplayArrayInTable(Fertiliser_SourceData.Fertiliser_Products_Data2(), FertiliserProducts[[#Headers],[Company]],31)</f>
        <v/>
      </c>
      <c r="K141" s="177" cm="1">
        <f t="array" ref="K141">Common_InputFunctions.Utility_DisplayArrayInTable(Fertiliser_SourceData.Fertiliser_Products_Data2(), FertiliserProducts[[#Headers],[Company]],31)</f>
        <v>15.4</v>
      </c>
      <c r="L141" s="177" t="str" cm="1">
        <f t="array" ref="L141">Common_InputFunctions.Utility_DisplayArrayInTable(Fertiliser_SourceData.Fertiliser_Products_Data2(), FertiliserProducts[[#Headers],[Company]],31)</f>
        <v/>
      </c>
      <c r="M141" s="177" t="str" cm="1">
        <f t="array" ref="M141">Common_InputFunctions.Utility_DisplayArrayInTable(Fertiliser_SourceData.Fertiliser_Products_Data2(), FertiliserProducts[[#Headers],[Company]],31)</f>
        <v/>
      </c>
      <c r="N141" s="177" t="str" cm="1">
        <f t="array" ref="N141">Common_InputFunctions.Utility_DisplayArrayInTable(Fertiliser_SourceData.Fertiliser_Products_Data2(), FertiliserProducts[[#Headers],[Company]],31)</f>
        <v/>
      </c>
      <c r="O141" s="177" t="str" cm="1">
        <f t="array" ref="O141">Common_InputFunctions.Utility_DisplayArrayInTable(Fertiliser_SourceData.Fertiliser_Products_Data2(), FertiliserProducts[[#Headers],[Company]],31)</f>
        <v>Calcium nitrate</v>
      </c>
      <c r="P141" s="177" cm="1">
        <f t="array" ref="P141">Common_InputFunctions.Utility_DisplayArrayInTable(Fertiliser_SourceData.Fertiliser_Products_Data2(), FertiliserProducts[[#Headers],[Company]],31)</f>
        <v>0.99354799999999999</v>
      </c>
      <c r="Q141" s="177" t="str" cm="1">
        <f t="array" ref="Q141">Common_InputFunctions.Utility_DisplayArrayInTable(Fertiliser_SourceData.Fertiliser_Products_Data2(), FertiliserProducts[[#Headers],[Company]],31)</f>
        <v>Boron</v>
      </c>
      <c r="R141" s="177" cm="1">
        <f t="array" ref="R141">Common_InputFunctions.Utility_DisplayArrayInTable(Fertiliser_SourceData.Fertiliser_Products_Data2(), FertiliserProducts[[#Headers],[Company]],31)</f>
        <v>3.0000000000000001E-3</v>
      </c>
      <c r="S141" s="177" t="str" cm="1">
        <f t="array" ref="S141">Common_InputFunctions.Utility_DisplayArrayInTable(Fertiliser_SourceData.Fertiliser_Products_Data2(), FertiliserProducts[[#Headers],[Company]],31)</f>
        <v/>
      </c>
      <c r="T141" s="177" t="str" cm="1">
        <f t="array" ref="T141">Common_InputFunctions.Utility_DisplayArrayInTable(Fertiliser_SourceData.Fertiliser_Products_Data2(), FertiliserProducts[[#Headers],[Company]],31)</f>
        <v/>
      </c>
      <c r="U141" s="177" t="str" cm="1">
        <f t="array" ref="U141">Common_InputFunctions.Utility_DisplayArrayInTable(Fertiliser_SourceData.Fertiliser_Products_Data2(), FertiliserProducts[[#Headers],[Company]],31)</f>
        <v/>
      </c>
      <c r="V141" s="177" t="str" cm="1">
        <f t="array" ref="V141">Common_InputFunctions.Utility_DisplayArrayInTable(Fertiliser_SourceData.Fertiliser_Products_Data2(), FertiliserProducts[[#Headers],[Company]],31)</f>
        <v/>
      </c>
      <c r="W141" s="177" t="str" cm="1">
        <f t="array" ref="W141">Common_InputFunctions.Utility_DisplayArrayInTable(Fertiliser_SourceData.Fertiliser_Products_Data2(), FertiliserProducts[[#Headers],[Company]],31)</f>
        <v/>
      </c>
      <c r="X141" s="177" t="str" cm="1">
        <f t="array" ref="X141">Common_InputFunctions.Utility_DisplayArrayInTable(Fertiliser_SourceData.Fertiliser_Products_Data2(), FertiliserProducts[[#Headers],[Company]],31)</f>
        <v/>
      </c>
      <c r="Y141" s="177" t="str" cm="1">
        <f t="array" ref="Y141">Common_InputFunctions.Utility_DisplayArrayInTable(Fertiliser_SourceData.Fertiliser_Products_Data2(), FertiliserProducts[[#Headers],[Company]],31)</f>
        <v/>
      </c>
      <c r="Z141" s="177" t="str" cm="1">
        <f t="array" ref="Z141">Common_InputFunctions.Utility_DisplayArrayInTable(Fertiliser_SourceData.Fertiliser_Products_Data2(), FertiliserProducts[[#Headers],[Company]],31)</f>
        <v/>
      </c>
      <c r="AA141" s="177" t="str" cm="1">
        <f t="array" ref="AA141">Common_InputFunctions.Utility_DisplayArrayInTable(Fertiliser_SourceData.Fertiliser_Products_Data2(), FertiliserProducts[[#Headers],[Company]],31)</f>
        <v/>
      </c>
      <c r="AB141" s="177" t="str" cm="1">
        <f t="array" ref="AB141">Common_InputFunctions.Utility_DisplayArrayInTable(Fertiliser_SourceData.Fertiliser_Products_Data2(), FertiliserProducts[[#Headers],[Company]],31)</f>
        <v/>
      </c>
      <c r="AC141" s="177" t="str" cm="1">
        <f t="array" ref="AC141">Common_InputFunctions.Utility_DisplayArrayInTable(Fertiliser_SourceData.Fertiliser_Products_Data2(), FertiliserProducts[[#Headers],[Company]],31)</f>
        <v/>
      </c>
      <c r="AD141" s="177" t="str" cm="1">
        <f t="array" ref="AD141">Common_InputFunctions.Utility_DisplayArrayInTable(Fertiliser_SourceData.Fertiliser_Products_Data2(), FertiliserProducts[[#Headers],[Company]],31)</f>
        <v/>
      </c>
      <c r="AE141" s="177" t="str" cm="1">
        <f t="array" ref="AE141">Common_InputFunctions.Utility_DisplayArrayInTable(Fertiliser_SourceData.Fertiliser_Products_Data2(), FertiliserProducts[[#Headers],[Company]],31)</f>
        <v/>
      </c>
      <c r="AF141" s="177" t="str" cm="1">
        <f t="array" ref="AF141">Common_InputFunctions.Utility_DisplayArrayInTable(Fertiliser_SourceData.Fertiliser_Products_Data2(), FertiliserProducts[[#Headers],[Company]],31)</f>
        <v/>
      </c>
      <c r="AG141" s="177" t="str" cm="1">
        <f t="array" ref="AG141">Common_InputFunctions.Utility_DisplayArrayInTable(Fertiliser_SourceData.Fertiliser_Products_Data2(), FertiliserProducts[[#Headers],[Company]],31)</f>
        <v/>
      </c>
      <c r="AH141" s="177" t="str" cm="1">
        <f t="array" ref="AH141">Common_InputFunctions.Utility_DisplayArrayInTable(Fertiliser_SourceData.Fertiliser_Products_Data2(), FertiliserProducts[[#Headers],[Company]],31)</f>
        <v/>
      </c>
      <c r="AK141" s="1"/>
      <c r="AL141" s="1"/>
      <c r="AM141" s="1"/>
    </row>
    <row r="142" spans="4:39" ht="20" customHeight="1" x14ac:dyDescent="0.25">
      <c r="D142" s="177" t="str" cm="1">
        <f t="array" ref="D142">Common_InputFunctions.Utility_DisplayArrayInTable(Fertiliser_SourceData.Fertiliser_Products_Data2(), FertiliserProducts[[#Headers],[Company]],31)</f>
        <v>Yara Australia</v>
      </c>
      <c r="E142" s="177" t="str" cm="1">
        <f t="array" ref="E142">Common_InputFunctions.Utility_DisplayArrayInTable(Fertiliser_SourceData.Fertiliser_Products_Data2(), FertiliserProducts[[#Headers],[Company]],31)</f>
        <v>YaraMila COMPLEX</v>
      </c>
      <c r="F142" s="177" t="str" cm="1">
        <f t="array" ref="F142">Common_InputFunctions.Utility_DisplayArrayInTable(Fertiliser_SourceData.Fertiliser_Products_Data2(), FertiliserProducts[[#Headers],[Company]],31)</f>
        <v>kg</v>
      </c>
      <c r="G142" s="177" cm="1">
        <f t="array" ref="G142">Common_InputFunctions.Utility_DisplayArrayInTable(Fertiliser_SourceData.Fertiliser_Products_Data2(), FertiliserProducts[[#Headers],[Company]],31)</f>
        <v>1</v>
      </c>
      <c r="H142" s="177" t="str" cm="1">
        <f t="array" ref="H142">Common_InputFunctions.Utility_DisplayArrayInTable(Fertiliser_SourceData.Fertiliser_Products_Data2(), FertiliserProducts[[#Headers],[Company]],31)</f>
        <v/>
      </c>
      <c r="I142" s="177" t="str" cm="1">
        <f t="array" ref="I142">Common_InputFunctions.Utility_DisplayArrayInTable(Fertiliser_SourceData.Fertiliser_Products_Data2(), FertiliserProducts[[#Headers],[Company]],31)</f>
        <v/>
      </c>
      <c r="J142" s="177" t="str" cm="1">
        <f t="array" ref="J142">Common_InputFunctions.Utility_DisplayArrayInTable(Fertiliser_SourceData.Fertiliser_Products_Data2(), FertiliserProducts[[#Headers],[Company]],31)</f>
        <v/>
      </c>
      <c r="K142" s="177" cm="1">
        <f t="array" ref="K142">Common_InputFunctions.Utility_DisplayArrayInTable(Fertiliser_SourceData.Fertiliser_Products_Data2(), FertiliserProducts[[#Headers],[Company]],31)</f>
        <v>12</v>
      </c>
      <c r="L142" s="177" cm="1">
        <f t="array" ref="L142">Common_InputFunctions.Utility_DisplayArrayInTable(Fertiliser_SourceData.Fertiliser_Products_Data2(), FertiliserProducts[[#Headers],[Company]],31)</f>
        <v>5</v>
      </c>
      <c r="M142" s="177" cm="1">
        <f t="array" ref="M142">Common_InputFunctions.Utility_DisplayArrayInTable(Fertiliser_SourceData.Fertiliser_Products_Data2(), FertiliserProducts[[#Headers],[Company]],31)</f>
        <v>15</v>
      </c>
      <c r="N142" s="177" cm="1">
        <f t="array" ref="N142">Common_InputFunctions.Utility_DisplayArrayInTable(Fertiliser_SourceData.Fertiliser_Products_Data2(), FertiliserProducts[[#Headers],[Company]],31)</f>
        <v>8</v>
      </c>
      <c r="O142" s="177" t="str" cm="1">
        <f t="array" ref="O142">Common_InputFunctions.Utility_DisplayArrayInTable(Fertiliser_SourceData.Fertiliser_Products_Data2(), FertiliserProducts[[#Headers],[Company]],31)</f>
        <v>Nitrogen - Nitrate</v>
      </c>
      <c r="P142" s="177" cm="1">
        <f t="array" ref="P142">Common_InputFunctions.Utility_DisplayArrayInTable(Fertiliser_SourceData.Fertiliser_Products_Data2(), FertiliserProducts[[#Headers],[Company]],31)</f>
        <v>0.05</v>
      </c>
      <c r="Q142" s="177" t="str" cm="1">
        <f t="array" ref="Q142">Common_InputFunctions.Utility_DisplayArrayInTable(Fertiliser_SourceData.Fertiliser_Products_Data2(), FertiliserProducts[[#Headers],[Company]],31)</f>
        <v>Nitrogen - Ammoniacal</v>
      </c>
      <c r="R142" s="177" cm="1">
        <f t="array" ref="R142">Common_InputFunctions.Utility_DisplayArrayInTable(Fertiliser_SourceData.Fertiliser_Products_Data2(), FertiliserProducts[[#Headers],[Company]],31)</f>
        <v>7.0000000000000007E-2</v>
      </c>
      <c r="S142" s="177" t="str" cm="1">
        <f t="array" ref="S142">Common_InputFunctions.Utility_DisplayArrayInTable(Fertiliser_SourceData.Fertiliser_Products_Data2(), FertiliserProducts[[#Headers],[Company]],31)</f>
        <v>Phosphorus - Generic</v>
      </c>
      <c r="T142" s="177" cm="1">
        <f t="array" ref="T142">Common_InputFunctions.Utility_DisplayArrayInTable(Fertiliser_SourceData.Fertiliser_Products_Data2(), FertiliserProducts[[#Headers],[Company]],31)</f>
        <v>0.05</v>
      </c>
      <c r="U142" s="177" t="str" cm="1">
        <f t="array" ref="U142">Common_InputFunctions.Utility_DisplayArrayInTable(Fertiliser_SourceData.Fertiliser_Products_Data2(), FertiliserProducts[[#Headers],[Company]],31)</f>
        <v>Potassium - Generic</v>
      </c>
      <c r="V142" s="177" cm="1">
        <f t="array" ref="V142">Common_InputFunctions.Utility_DisplayArrayInTable(Fertiliser_SourceData.Fertiliser_Products_Data2(), FertiliserProducts[[#Headers],[Company]],31)</f>
        <v>0.15</v>
      </c>
      <c r="W142" s="177" t="str" cm="1">
        <f t="array" ref="W142">Common_InputFunctions.Utility_DisplayArrayInTable(Fertiliser_SourceData.Fertiliser_Products_Data2(), FertiliserProducts[[#Headers],[Company]],31)</f>
        <v>Sulfur - Generic</v>
      </c>
      <c r="X142" s="177" cm="1">
        <f t="array" ref="X142">Common_InputFunctions.Utility_DisplayArrayInTable(Fertiliser_SourceData.Fertiliser_Products_Data2(), FertiliserProducts[[#Headers],[Company]],31)</f>
        <v>0.08</v>
      </c>
      <c r="Y142" s="177" t="str" cm="1">
        <f t="array" ref="Y142">Common_InputFunctions.Utility_DisplayArrayInTable(Fertiliser_SourceData.Fertiliser_Products_Data2(), FertiliserProducts[[#Headers],[Company]],31)</f>
        <v>Magnesium</v>
      </c>
      <c r="Z142" s="177" cm="1">
        <f t="array" ref="Z142">Common_InputFunctions.Utility_DisplayArrayInTable(Fertiliser_SourceData.Fertiliser_Products_Data2(), FertiliserProducts[[#Headers],[Company]],31)</f>
        <v>1.6E-2</v>
      </c>
      <c r="AA142" s="177" t="str" cm="1">
        <f t="array" ref="AA142">Common_InputFunctions.Utility_DisplayArrayInTable(Fertiliser_SourceData.Fertiliser_Products_Data2(), FertiliserProducts[[#Headers],[Company]],31)</f>
        <v>Zinc</v>
      </c>
      <c r="AB142" s="177" cm="1">
        <f t="array" ref="AB142">Common_InputFunctions.Utility_DisplayArrayInTable(Fertiliser_SourceData.Fertiliser_Products_Data2(), FertiliserProducts[[#Headers],[Company]],31)</f>
        <v>2.0000000000000001E-4</v>
      </c>
      <c r="AC142" s="177" t="str" cm="1">
        <f t="array" ref="AC142">Common_InputFunctions.Utility_DisplayArrayInTable(Fertiliser_SourceData.Fertiliser_Products_Data2(), FertiliserProducts[[#Headers],[Company]],31)</f>
        <v>Boron</v>
      </c>
      <c r="AD142" s="177" cm="1">
        <f t="array" ref="AD142">Common_InputFunctions.Utility_DisplayArrayInTable(Fertiliser_SourceData.Fertiliser_Products_Data2(), FertiliserProducts[[#Headers],[Company]],31)</f>
        <v>1.4999999999999999E-4</v>
      </c>
      <c r="AE142" s="177" t="str" cm="1">
        <f t="array" ref="AE142">Common_InputFunctions.Utility_DisplayArrayInTable(Fertiliser_SourceData.Fertiliser_Products_Data2(), FertiliserProducts[[#Headers],[Company]],31)</f>
        <v/>
      </c>
      <c r="AF142" s="177" t="str" cm="1">
        <f t="array" ref="AF142">Common_InputFunctions.Utility_DisplayArrayInTable(Fertiliser_SourceData.Fertiliser_Products_Data2(), FertiliserProducts[[#Headers],[Company]],31)</f>
        <v/>
      </c>
      <c r="AG142" s="177" t="str" cm="1">
        <f t="array" ref="AG142">Common_InputFunctions.Utility_DisplayArrayInTable(Fertiliser_SourceData.Fertiliser_Products_Data2(), FertiliserProducts[[#Headers],[Company]],31)</f>
        <v/>
      </c>
      <c r="AH142" s="177" t="str" cm="1">
        <f t="array" ref="AH142">Common_InputFunctions.Utility_DisplayArrayInTable(Fertiliser_SourceData.Fertiliser_Products_Data2(), FertiliserProducts[[#Headers],[Company]],31)</f>
        <v/>
      </c>
      <c r="AK142" s="1"/>
      <c r="AL142" s="1"/>
      <c r="AM142" s="1"/>
    </row>
    <row r="143" spans="4:39" ht="20" customHeight="1" x14ac:dyDescent="0.25">
      <c r="D143" s="177" t="str" cm="1">
        <f t="array" ref="D143">Common_InputFunctions.Utility_DisplayArrayInTable(Fertiliser_SourceData.Fertiliser_Products_Data2(), FertiliserProducts[[#Headers],[Company]],31)</f>
        <v>Yara Australia</v>
      </c>
      <c r="E143" s="177" t="str" cm="1">
        <f t="array" ref="E143">Common_InputFunctions.Utility_DisplayArrayInTable(Fertiliser_SourceData.Fertiliser_Products_Data2(), FertiliserProducts[[#Headers],[Company]],31)</f>
        <v>YaraRega 9-0-30 (14)</v>
      </c>
      <c r="F143" s="177" t="str" cm="1">
        <f t="array" ref="F143">Common_InputFunctions.Utility_DisplayArrayInTable(Fertiliser_SourceData.Fertiliser_Products_Data2(), FertiliserProducts[[#Headers],[Company]],31)</f>
        <v>kg</v>
      </c>
      <c r="G143" s="177" cm="1">
        <f t="array" ref="G143">Common_InputFunctions.Utility_DisplayArrayInTable(Fertiliser_SourceData.Fertiliser_Products_Data2(), FertiliserProducts[[#Headers],[Company]],31)</f>
        <v>1</v>
      </c>
      <c r="H143" s="177" t="str" cm="1">
        <f t="array" ref="H143">Common_InputFunctions.Utility_DisplayArrayInTable(Fertiliser_SourceData.Fertiliser_Products_Data2(), FertiliserProducts[[#Headers],[Company]],31)</f>
        <v/>
      </c>
      <c r="I143" s="177" t="str" cm="1">
        <f t="array" ref="I143">Common_InputFunctions.Utility_DisplayArrayInTable(Fertiliser_SourceData.Fertiliser_Products_Data2(), FertiliserProducts[[#Headers],[Company]],31)</f>
        <v/>
      </c>
      <c r="J143" s="177" t="str" cm="1">
        <f t="array" ref="J143">Common_InputFunctions.Utility_DisplayArrayInTable(Fertiliser_SourceData.Fertiliser_Products_Data2(), FertiliserProducts[[#Headers],[Company]],31)</f>
        <v/>
      </c>
      <c r="K143" s="177" cm="1">
        <f t="array" ref="K143">Common_InputFunctions.Utility_DisplayArrayInTable(Fertiliser_SourceData.Fertiliser_Products_Data2(), FertiliserProducts[[#Headers],[Company]],31)</f>
        <v>9</v>
      </c>
      <c r="L143" s="177" t="str" cm="1">
        <f t="array" ref="L143">Common_InputFunctions.Utility_DisplayArrayInTable(Fertiliser_SourceData.Fertiliser_Products_Data2(), FertiliserProducts[[#Headers],[Company]],31)</f>
        <v/>
      </c>
      <c r="M143" s="177" cm="1">
        <f t="array" ref="M143">Common_InputFunctions.Utility_DisplayArrayInTable(Fertiliser_SourceData.Fertiliser_Products_Data2(), FertiliserProducts[[#Headers],[Company]],31)</f>
        <v>30</v>
      </c>
      <c r="N143" s="177" cm="1">
        <f t="array" ref="N143">Common_InputFunctions.Utility_DisplayArrayInTable(Fertiliser_SourceData.Fertiliser_Products_Data2(), FertiliserProducts[[#Headers],[Company]],31)</f>
        <v>14</v>
      </c>
      <c r="O143" s="177" t="str" cm="1">
        <f t="array" ref="O143">Common_InputFunctions.Utility_DisplayArrayInTable(Fertiliser_SourceData.Fertiliser_Products_Data2(), FertiliserProducts[[#Headers],[Company]],31)</f>
        <v>Potassium - Generic</v>
      </c>
      <c r="P143" s="177" cm="1">
        <f t="array" ref="P143">Common_InputFunctions.Utility_DisplayArrayInTable(Fertiliser_SourceData.Fertiliser_Products_Data2(), FertiliserProducts[[#Headers],[Company]],31)</f>
        <v>0.3</v>
      </c>
      <c r="Q143" s="177" t="str" cm="1">
        <f t="array" ref="Q143">Common_InputFunctions.Utility_DisplayArrayInTable(Fertiliser_SourceData.Fertiliser_Products_Data2(), FertiliserProducts[[#Headers],[Company]],31)</f>
        <v>Sulfur - Generic</v>
      </c>
      <c r="R143" s="177" cm="1">
        <f t="array" ref="R143">Common_InputFunctions.Utility_DisplayArrayInTable(Fertiliser_SourceData.Fertiliser_Products_Data2(), FertiliserProducts[[#Headers],[Company]],31)</f>
        <v>0.14000000000000001</v>
      </c>
      <c r="S143" s="177" t="str" cm="1">
        <f t="array" ref="S143">Common_InputFunctions.Utility_DisplayArrayInTable(Fertiliser_SourceData.Fertiliser_Products_Data2(), FertiliserProducts[[#Headers],[Company]],31)</f>
        <v>Nitrogen - Nitrate</v>
      </c>
      <c r="T143" s="177" cm="1">
        <f t="array" ref="T143">Common_InputFunctions.Utility_DisplayArrayInTable(Fertiliser_SourceData.Fertiliser_Products_Data2(), FertiliserProducts[[#Headers],[Company]],31)</f>
        <v>4.4999999999999998E-2</v>
      </c>
      <c r="U143" s="177" t="str" cm="1">
        <f t="array" ref="U143">Common_InputFunctions.Utility_DisplayArrayInTable(Fertiliser_SourceData.Fertiliser_Products_Data2(), FertiliserProducts[[#Headers],[Company]],31)</f>
        <v>Nitrogen - Ammoniacal</v>
      </c>
      <c r="V143" s="177" cm="1">
        <f t="array" ref="V143">Common_InputFunctions.Utility_DisplayArrayInTable(Fertiliser_SourceData.Fertiliser_Products_Data2(), FertiliserProducts[[#Headers],[Company]],31)</f>
        <v>4.4999999999999998E-2</v>
      </c>
      <c r="W143" s="177" t="str" cm="1">
        <f t="array" ref="W143">Common_InputFunctions.Utility_DisplayArrayInTable(Fertiliser_SourceData.Fertiliser_Products_Data2(), FertiliserProducts[[#Headers],[Company]],31)</f>
        <v/>
      </c>
      <c r="X143" s="177" t="str" cm="1">
        <f t="array" ref="X143">Common_InputFunctions.Utility_DisplayArrayInTable(Fertiliser_SourceData.Fertiliser_Products_Data2(), FertiliserProducts[[#Headers],[Company]],31)</f>
        <v/>
      </c>
      <c r="Y143" s="177" t="str" cm="1">
        <f t="array" ref="Y143">Common_InputFunctions.Utility_DisplayArrayInTable(Fertiliser_SourceData.Fertiliser_Products_Data2(), FertiliserProducts[[#Headers],[Company]],31)</f>
        <v/>
      </c>
      <c r="Z143" s="177" t="str" cm="1">
        <f t="array" ref="Z143">Common_InputFunctions.Utility_DisplayArrayInTable(Fertiliser_SourceData.Fertiliser_Products_Data2(), FertiliserProducts[[#Headers],[Company]],31)</f>
        <v/>
      </c>
      <c r="AA143" s="177" t="str" cm="1">
        <f t="array" ref="AA143">Common_InputFunctions.Utility_DisplayArrayInTable(Fertiliser_SourceData.Fertiliser_Products_Data2(), FertiliserProducts[[#Headers],[Company]],31)</f>
        <v/>
      </c>
      <c r="AB143" s="177" t="str" cm="1">
        <f t="array" ref="AB143">Common_InputFunctions.Utility_DisplayArrayInTable(Fertiliser_SourceData.Fertiliser_Products_Data2(), FertiliserProducts[[#Headers],[Company]],31)</f>
        <v/>
      </c>
      <c r="AC143" s="177" t="str" cm="1">
        <f t="array" ref="AC143">Common_InputFunctions.Utility_DisplayArrayInTable(Fertiliser_SourceData.Fertiliser_Products_Data2(), FertiliserProducts[[#Headers],[Company]],31)</f>
        <v/>
      </c>
      <c r="AD143" s="177" t="str" cm="1">
        <f t="array" ref="AD143">Common_InputFunctions.Utility_DisplayArrayInTable(Fertiliser_SourceData.Fertiliser_Products_Data2(), FertiliserProducts[[#Headers],[Company]],31)</f>
        <v/>
      </c>
      <c r="AE143" s="177" t="str" cm="1">
        <f t="array" ref="AE143">Common_InputFunctions.Utility_DisplayArrayInTable(Fertiliser_SourceData.Fertiliser_Products_Data2(), FertiliserProducts[[#Headers],[Company]],31)</f>
        <v/>
      </c>
      <c r="AF143" s="177" t="str" cm="1">
        <f t="array" ref="AF143">Common_InputFunctions.Utility_DisplayArrayInTable(Fertiliser_SourceData.Fertiliser_Products_Data2(), FertiliserProducts[[#Headers],[Company]],31)</f>
        <v/>
      </c>
      <c r="AG143" s="177" t="str" cm="1">
        <f t="array" ref="AG143">Common_InputFunctions.Utility_DisplayArrayInTable(Fertiliser_SourceData.Fertiliser_Products_Data2(), FertiliserProducts[[#Headers],[Company]],31)</f>
        <v/>
      </c>
      <c r="AH143" s="177" t="str" cm="1">
        <f t="array" ref="AH143">Common_InputFunctions.Utility_DisplayArrayInTable(Fertiliser_SourceData.Fertiliser_Products_Data2(), FertiliserProducts[[#Headers],[Company]],31)</f>
        <v/>
      </c>
      <c r="AK143" s="1"/>
      <c r="AL143" s="1"/>
      <c r="AM143" s="1"/>
    </row>
    <row r="144" spans="4:39" ht="20" customHeight="1" x14ac:dyDescent="0.25">
      <c r="D144" s="177" t="str" cm="1">
        <f t="array" ref="D144">Common_InputFunctions.Utility_DisplayArrayInTable(Fertiliser_SourceData.Fertiliser_Products_Data2(), FertiliserProducts[[#Headers],[Company]],31)</f>
        <v>Yara Australia</v>
      </c>
      <c r="E144" s="177" t="str" cm="1">
        <f t="array" ref="E144">Common_InputFunctions.Utility_DisplayArrayInTable(Fertiliser_SourceData.Fertiliser_Products_Data2(), FertiliserProducts[[#Headers],[Company]],31)</f>
        <v>YaraRega 13-2-21</v>
      </c>
      <c r="F144" s="177" t="str" cm="1">
        <f t="array" ref="F144">Common_InputFunctions.Utility_DisplayArrayInTable(Fertiliser_SourceData.Fertiliser_Products_Data2(), FertiliserProducts[[#Headers],[Company]],31)</f>
        <v>kg</v>
      </c>
      <c r="G144" s="177" cm="1">
        <f t="array" ref="G144">Common_InputFunctions.Utility_DisplayArrayInTable(Fertiliser_SourceData.Fertiliser_Products_Data2(), FertiliserProducts[[#Headers],[Company]],31)</f>
        <v>1</v>
      </c>
      <c r="H144" s="177" t="str" cm="1">
        <f t="array" ref="H144">Common_InputFunctions.Utility_DisplayArrayInTable(Fertiliser_SourceData.Fertiliser_Products_Data2(), FertiliserProducts[[#Headers],[Company]],31)</f>
        <v/>
      </c>
      <c r="I144" s="177" t="str" cm="1">
        <f t="array" ref="I144">Common_InputFunctions.Utility_DisplayArrayInTable(Fertiliser_SourceData.Fertiliser_Products_Data2(), FertiliserProducts[[#Headers],[Company]],31)</f>
        <v/>
      </c>
      <c r="J144" s="177" t="str" cm="1">
        <f t="array" ref="J144">Common_InputFunctions.Utility_DisplayArrayInTable(Fertiliser_SourceData.Fertiliser_Products_Data2(), FertiliserProducts[[#Headers],[Company]],31)</f>
        <v/>
      </c>
      <c r="K144" s="177" cm="1">
        <f t="array" ref="K144">Common_InputFunctions.Utility_DisplayArrayInTable(Fertiliser_SourceData.Fertiliser_Products_Data2(), FertiliserProducts[[#Headers],[Company]],31)</f>
        <v>13</v>
      </c>
      <c r="L144" s="177" cm="1">
        <f t="array" ref="L144">Common_InputFunctions.Utility_DisplayArrayInTable(Fertiliser_SourceData.Fertiliser_Products_Data2(), FertiliserProducts[[#Headers],[Company]],31)</f>
        <v>1.75</v>
      </c>
      <c r="M144" s="177" cm="1">
        <f t="array" ref="M144">Common_InputFunctions.Utility_DisplayArrayInTable(Fertiliser_SourceData.Fertiliser_Products_Data2(), FertiliserProducts[[#Headers],[Company]],31)</f>
        <v>21</v>
      </c>
      <c r="N144" s="177" cm="1">
        <f t="array" ref="N144">Common_InputFunctions.Utility_DisplayArrayInTable(Fertiliser_SourceData.Fertiliser_Products_Data2(), FertiliserProducts[[#Headers],[Company]],31)</f>
        <v>10.8</v>
      </c>
      <c r="O144" s="177" t="str" cm="1">
        <f t="array" ref="O144">Common_InputFunctions.Utility_DisplayArrayInTable(Fertiliser_SourceData.Fertiliser_Products_Data2(), FertiliserProducts[[#Headers],[Company]],31)</f>
        <v>Potassium - Generic</v>
      </c>
      <c r="P144" s="177" cm="1">
        <f t="array" ref="P144">Common_InputFunctions.Utility_DisplayArrayInTable(Fertiliser_SourceData.Fertiliser_Products_Data2(), FertiliserProducts[[#Headers],[Company]],31)</f>
        <v>0.21</v>
      </c>
      <c r="Q144" s="177" t="str" cm="1">
        <f t="array" ref="Q144">Common_InputFunctions.Utility_DisplayArrayInTable(Fertiliser_SourceData.Fertiliser_Products_Data2(), FertiliserProducts[[#Headers],[Company]],31)</f>
        <v>Sulfur - Generic</v>
      </c>
      <c r="R144" s="177" cm="1">
        <f t="array" ref="R144">Common_InputFunctions.Utility_DisplayArrayInTable(Fertiliser_SourceData.Fertiliser_Products_Data2(), FertiliserProducts[[#Headers],[Company]],31)</f>
        <v>0.108</v>
      </c>
      <c r="S144" s="177" t="str" cm="1">
        <f t="array" ref="S144">Common_InputFunctions.Utility_DisplayArrayInTable(Fertiliser_SourceData.Fertiliser_Products_Data2(), FertiliserProducts[[#Headers],[Company]],31)</f>
        <v>Nitrogen - Ammoniacal</v>
      </c>
      <c r="T144" s="177" cm="1">
        <f t="array" ref="T144">Common_InputFunctions.Utility_DisplayArrayInTable(Fertiliser_SourceData.Fertiliser_Products_Data2(), FertiliserProducts[[#Headers],[Company]],31)</f>
        <v>7.6999999999999999E-2</v>
      </c>
      <c r="U144" s="177" t="str" cm="1">
        <f t="array" ref="U144">Common_InputFunctions.Utility_DisplayArrayInTable(Fertiliser_SourceData.Fertiliser_Products_Data2(), FertiliserProducts[[#Headers],[Company]],31)</f>
        <v>Nitrogen - Nitrate</v>
      </c>
      <c r="V144" s="177" cm="1">
        <f t="array" ref="V144">Common_InputFunctions.Utility_DisplayArrayInTable(Fertiliser_SourceData.Fertiliser_Products_Data2(), FertiliserProducts[[#Headers],[Company]],31)</f>
        <v>5.2999999999999999E-2</v>
      </c>
      <c r="W144" s="177" t="str" cm="1">
        <f t="array" ref="W144">Common_InputFunctions.Utility_DisplayArrayInTable(Fertiliser_SourceData.Fertiliser_Products_Data2(), FertiliserProducts[[#Headers],[Company]],31)</f>
        <v>Phosphorus - Generic</v>
      </c>
      <c r="X144" s="177" cm="1">
        <f t="array" ref="X144">Common_InputFunctions.Utility_DisplayArrayInTable(Fertiliser_SourceData.Fertiliser_Products_Data2(), FertiliserProducts[[#Headers],[Company]],31)</f>
        <v>1.7500000000000002E-2</v>
      </c>
      <c r="Y144" s="177" t="str" cm="1">
        <f t="array" ref="Y144">Common_InputFunctions.Utility_DisplayArrayInTable(Fertiliser_SourceData.Fertiliser_Products_Data2(), FertiliserProducts[[#Headers],[Company]],31)</f>
        <v>Magnesium</v>
      </c>
      <c r="Z144" s="177" cm="1">
        <f t="array" ref="Z144">Common_InputFunctions.Utility_DisplayArrayInTable(Fertiliser_SourceData.Fertiliser_Products_Data2(), FertiliserProducts[[#Headers],[Company]],31)</f>
        <v>4.0000000000000001E-3</v>
      </c>
      <c r="AA144" s="177" t="str" cm="1">
        <f t="array" ref="AA144">Common_InputFunctions.Utility_DisplayArrayInTable(Fertiliser_SourceData.Fertiliser_Products_Data2(), FertiliserProducts[[#Headers],[Company]],31)</f>
        <v>Zinc</v>
      </c>
      <c r="AB144" s="177" cm="1">
        <f t="array" ref="AB144">Common_InputFunctions.Utility_DisplayArrayInTable(Fertiliser_SourceData.Fertiliser_Products_Data2(), FertiliserProducts[[#Headers],[Company]],31)</f>
        <v>8.0000000000000004E-4</v>
      </c>
      <c r="AC144" s="177" t="str" cm="1">
        <f t="array" ref="AC144">Common_InputFunctions.Utility_DisplayArrayInTable(Fertiliser_SourceData.Fertiliser_Products_Data2(), FertiliserProducts[[#Headers],[Company]],31)</f>
        <v>Boron</v>
      </c>
      <c r="AD144" s="177" cm="1">
        <f t="array" ref="AD144">Common_InputFunctions.Utility_DisplayArrayInTable(Fertiliser_SourceData.Fertiliser_Products_Data2(), FertiliserProducts[[#Headers],[Company]],31)</f>
        <v>8.0000000000000004E-4</v>
      </c>
      <c r="AE144" s="177" t="str" cm="1">
        <f t="array" ref="AE144">Common_InputFunctions.Utility_DisplayArrayInTable(Fertiliser_SourceData.Fertiliser_Products_Data2(), FertiliserProducts[[#Headers],[Company]],31)</f>
        <v/>
      </c>
      <c r="AF144" s="177" t="str" cm="1">
        <f t="array" ref="AF144">Common_InputFunctions.Utility_DisplayArrayInTable(Fertiliser_SourceData.Fertiliser_Products_Data2(), FertiliserProducts[[#Headers],[Company]],31)</f>
        <v/>
      </c>
      <c r="AG144" s="177" t="str" cm="1">
        <f t="array" ref="AG144">Common_InputFunctions.Utility_DisplayArrayInTable(Fertiliser_SourceData.Fertiliser_Products_Data2(), FertiliserProducts[[#Headers],[Company]],31)</f>
        <v/>
      </c>
      <c r="AH144" s="177" t="str" cm="1">
        <f t="array" ref="AH144">Common_InputFunctions.Utility_DisplayArrayInTable(Fertiliser_SourceData.Fertiliser_Products_Data2(), FertiliserProducts[[#Headers],[Company]],31)</f>
        <v/>
      </c>
      <c r="AK144" s="1"/>
      <c r="AL144" s="1"/>
      <c r="AM144" s="1"/>
    </row>
    <row r="145" spans="4:39" ht="20" customHeight="1" x14ac:dyDescent="0.25">
      <c r="D145" s="177" t="str" cm="1">
        <f t="array" ref="D145">Common_InputFunctions.Utility_DisplayArrayInTable(Fertiliser_SourceData.Fertiliser_Products_Data2(), FertiliserProducts[[#Headers],[Company]],31)</f>
        <v>Yara Australia</v>
      </c>
      <c r="E145" s="177" t="str" cm="1">
        <f t="array" ref="E145">Common_InputFunctions.Utility_DisplayArrayInTable(Fertiliser_SourceData.Fertiliser_Products_Data2(), FertiliserProducts[[#Headers],[Company]],31)</f>
        <v>YaraRega 15-7-13 (7S)</v>
      </c>
      <c r="F145" s="177" t="str" cm="1">
        <f t="array" ref="F145">Common_InputFunctions.Utility_DisplayArrayInTable(Fertiliser_SourceData.Fertiliser_Products_Data2(), FertiliserProducts[[#Headers],[Company]],31)</f>
        <v>kg</v>
      </c>
      <c r="G145" s="177" cm="1">
        <f t="array" ref="G145">Common_InputFunctions.Utility_DisplayArrayInTable(Fertiliser_SourceData.Fertiliser_Products_Data2(), FertiliserProducts[[#Headers],[Company]],31)</f>
        <v>1</v>
      </c>
      <c r="H145" s="177" t="str" cm="1">
        <f t="array" ref="H145">Common_InputFunctions.Utility_DisplayArrayInTable(Fertiliser_SourceData.Fertiliser_Products_Data2(), FertiliserProducts[[#Headers],[Company]],31)</f>
        <v/>
      </c>
      <c r="I145" s="177" t="str" cm="1">
        <f t="array" ref="I145">Common_InputFunctions.Utility_DisplayArrayInTable(Fertiliser_SourceData.Fertiliser_Products_Data2(), FertiliserProducts[[#Headers],[Company]],31)</f>
        <v/>
      </c>
      <c r="J145" s="177" t="str" cm="1">
        <f t="array" ref="J145">Common_InputFunctions.Utility_DisplayArrayInTable(Fertiliser_SourceData.Fertiliser_Products_Data2(), FertiliserProducts[[#Headers],[Company]],31)</f>
        <v/>
      </c>
      <c r="K145" s="177" cm="1">
        <f t="array" ref="K145">Common_InputFunctions.Utility_DisplayArrayInTable(Fertiliser_SourceData.Fertiliser_Products_Data2(), FertiliserProducts[[#Headers],[Company]],31)</f>
        <v>15</v>
      </c>
      <c r="L145" s="177" cm="1">
        <f t="array" ref="L145">Common_InputFunctions.Utility_DisplayArrayInTable(Fertiliser_SourceData.Fertiliser_Products_Data2(), FertiliserProducts[[#Headers],[Company]],31)</f>
        <v>6.5</v>
      </c>
      <c r="M145" s="177" cm="1">
        <f t="array" ref="M145">Common_InputFunctions.Utility_DisplayArrayInTable(Fertiliser_SourceData.Fertiliser_Products_Data2(), FertiliserProducts[[#Headers],[Company]],31)</f>
        <v>12.5</v>
      </c>
      <c r="N145" s="177" cm="1">
        <f t="array" ref="N145">Common_InputFunctions.Utility_DisplayArrayInTable(Fertiliser_SourceData.Fertiliser_Products_Data2(), FertiliserProducts[[#Headers],[Company]],31)</f>
        <v>7.2</v>
      </c>
      <c r="O145" s="177" t="str" cm="1">
        <f t="array" ref="O145">Common_InputFunctions.Utility_DisplayArrayInTable(Fertiliser_SourceData.Fertiliser_Products_Data2(), FertiliserProducts[[#Headers],[Company]],31)</f>
        <v>Nitrogen - Nitrate</v>
      </c>
      <c r="P145" s="177" cm="1">
        <f t="array" ref="P145">Common_InputFunctions.Utility_DisplayArrayInTable(Fertiliser_SourceData.Fertiliser_Products_Data2(), FertiliserProducts[[#Headers],[Company]],31)</f>
        <v>9.5000000000000001E-2</v>
      </c>
      <c r="Q145" s="177" t="str" cm="1">
        <f t="array" ref="Q145">Common_InputFunctions.Utility_DisplayArrayInTable(Fertiliser_SourceData.Fertiliser_Products_Data2(), FertiliserProducts[[#Headers],[Company]],31)</f>
        <v>Potassium - Generic</v>
      </c>
      <c r="R145" s="177" cm="1">
        <f t="array" ref="R145">Common_InputFunctions.Utility_DisplayArrayInTable(Fertiliser_SourceData.Fertiliser_Products_Data2(), FertiliserProducts[[#Headers],[Company]],31)</f>
        <v>0.125</v>
      </c>
      <c r="S145" s="177" t="str" cm="1">
        <f t="array" ref="S145">Common_InputFunctions.Utility_DisplayArrayInTable(Fertiliser_SourceData.Fertiliser_Products_Data2(), FertiliserProducts[[#Headers],[Company]],31)</f>
        <v>Sulfur - Generic</v>
      </c>
      <c r="T145" s="177" cm="1">
        <f t="array" ref="T145">Common_InputFunctions.Utility_DisplayArrayInTable(Fertiliser_SourceData.Fertiliser_Products_Data2(), FertiliserProducts[[#Headers],[Company]],31)</f>
        <v>7.1999999999999995E-2</v>
      </c>
      <c r="U145" s="177" t="str" cm="1">
        <f t="array" ref="U145">Common_InputFunctions.Utility_DisplayArrayInTable(Fertiliser_SourceData.Fertiliser_Products_Data2(), FertiliserProducts[[#Headers],[Company]],31)</f>
        <v>Phosphorus - Generic</v>
      </c>
      <c r="V145" s="177" cm="1">
        <f t="array" ref="V145">Common_InputFunctions.Utility_DisplayArrayInTable(Fertiliser_SourceData.Fertiliser_Products_Data2(), FertiliserProducts[[#Headers],[Company]],31)</f>
        <v>6.5000000000000002E-2</v>
      </c>
      <c r="W145" s="177" t="str" cm="1">
        <f t="array" ref="W145">Common_InputFunctions.Utility_DisplayArrayInTable(Fertiliser_SourceData.Fertiliser_Products_Data2(), FertiliserProducts[[#Headers],[Company]],31)</f>
        <v>Nitrogen - Ammoniacal</v>
      </c>
      <c r="X145" s="177" cm="1">
        <f t="array" ref="X145">Common_InputFunctions.Utility_DisplayArrayInTable(Fertiliser_SourceData.Fertiliser_Products_Data2(), FertiliserProducts[[#Headers],[Company]],31)</f>
        <v>5.5E-2</v>
      </c>
      <c r="Y145" s="177" t="str" cm="1">
        <f t="array" ref="Y145">Common_InputFunctions.Utility_DisplayArrayInTable(Fertiliser_SourceData.Fertiliser_Products_Data2(), FertiliserProducts[[#Headers],[Company]],31)</f>
        <v>Magnesium</v>
      </c>
      <c r="Z145" s="177" cm="1">
        <f t="array" ref="Z145">Common_InputFunctions.Utility_DisplayArrayInTable(Fertiliser_SourceData.Fertiliser_Products_Data2(), FertiliserProducts[[#Headers],[Company]],31)</f>
        <v>6.6E-3</v>
      </c>
      <c r="AA145" s="177" t="str" cm="1">
        <f t="array" ref="AA145">Common_InputFunctions.Utility_DisplayArrayInTable(Fertiliser_SourceData.Fertiliser_Products_Data2(), FertiliserProducts[[#Headers],[Company]],31)</f>
        <v>Boron</v>
      </c>
      <c r="AB145" s="177" cm="1">
        <f t="array" ref="AB145">Common_InputFunctions.Utility_DisplayArrayInTable(Fertiliser_SourceData.Fertiliser_Products_Data2(), FertiliserProducts[[#Headers],[Company]],31)</f>
        <v>1E-3</v>
      </c>
      <c r="AC145" s="177" t="str" cm="1">
        <f t="array" ref="AC145">Common_InputFunctions.Utility_DisplayArrayInTable(Fertiliser_SourceData.Fertiliser_Products_Data2(), FertiliserProducts[[#Headers],[Company]],31)</f>
        <v>Zinc</v>
      </c>
      <c r="AD145" s="177" cm="1">
        <f t="array" ref="AD145">Common_InputFunctions.Utility_DisplayArrayInTable(Fertiliser_SourceData.Fertiliser_Products_Data2(), FertiliserProducts[[#Headers],[Company]],31)</f>
        <v>5.9999999999999995E-4</v>
      </c>
      <c r="AE145" s="177" t="str" cm="1">
        <f t="array" ref="AE145">Common_InputFunctions.Utility_DisplayArrayInTable(Fertiliser_SourceData.Fertiliser_Products_Data2(), FertiliserProducts[[#Headers],[Company]],31)</f>
        <v/>
      </c>
      <c r="AF145" s="177" t="str" cm="1">
        <f t="array" ref="AF145">Common_InputFunctions.Utility_DisplayArrayInTable(Fertiliser_SourceData.Fertiliser_Products_Data2(), FertiliserProducts[[#Headers],[Company]],31)</f>
        <v/>
      </c>
      <c r="AG145" s="177" t="str" cm="1">
        <f t="array" ref="AG145">Common_InputFunctions.Utility_DisplayArrayInTable(Fertiliser_SourceData.Fertiliser_Products_Data2(), FertiliserProducts[[#Headers],[Company]],31)</f>
        <v/>
      </c>
      <c r="AH145" s="177" t="str" cm="1">
        <f t="array" ref="AH145">Common_InputFunctions.Utility_DisplayArrayInTable(Fertiliser_SourceData.Fertiliser_Products_Data2(), FertiliserProducts[[#Headers],[Company]],31)</f>
        <v/>
      </c>
      <c r="AK145" s="1"/>
      <c r="AL145" s="1"/>
      <c r="AM145" s="1"/>
    </row>
    <row r="146" spans="4:39" ht="20" customHeight="1" x14ac:dyDescent="0.25">
      <c r="D146" s="177" t="str" cm="1">
        <f t="array" ref="D146">Common_InputFunctions.Utility_DisplayArrayInTable(Fertiliser_SourceData.Fertiliser_Products_Data2(), FertiliserProducts[[#Headers],[Company]],31)</f>
        <v>Yara Australia</v>
      </c>
      <c r="E146" s="177" t="str" cm="1">
        <f t="array" ref="E146">Common_InputFunctions.Utility_DisplayArrayInTable(Fertiliser_SourceData.Fertiliser_Products_Data2(), FertiliserProducts[[#Headers],[Company]],31)</f>
        <v>YaraTera CALCINIT B</v>
      </c>
      <c r="F146" s="177" t="str" cm="1">
        <f t="array" ref="F146">Common_InputFunctions.Utility_DisplayArrayInTable(Fertiliser_SourceData.Fertiliser_Products_Data2(), FertiliserProducts[[#Headers],[Company]],31)</f>
        <v>kg</v>
      </c>
      <c r="G146" s="177" cm="1">
        <f t="array" ref="G146">Common_InputFunctions.Utility_DisplayArrayInTable(Fertiliser_SourceData.Fertiliser_Products_Data2(), FertiliserProducts[[#Headers],[Company]],31)</f>
        <v>1</v>
      </c>
      <c r="H146" s="177" t="str" cm="1">
        <f t="array" ref="H146">Common_InputFunctions.Utility_DisplayArrayInTable(Fertiliser_SourceData.Fertiliser_Products_Data2(), FertiliserProducts[[#Headers],[Company]],31)</f>
        <v/>
      </c>
      <c r="I146" s="177" t="str" cm="1">
        <f t="array" ref="I146">Common_InputFunctions.Utility_DisplayArrayInTable(Fertiliser_SourceData.Fertiliser_Products_Data2(), FertiliserProducts[[#Headers],[Company]],31)</f>
        <v/>
      </c>
      <c r="J146" s="177" t="str" cm="1">
        <f t="array" ref="J146">Common_InputFunctions.Utility_DisplayArrayInTable(Fertiliser_SourceData.Fertiliser_Products_Data2(), FertiliserProducts[[#Headers],[Company]],31)</f>
        <v/>
      </c>
      <c r="K146" s="177" cm="1">
        <f t="array" ref="K146">Common_InputFunctions.Utility_DisplayArrayInTable(Fertiliser_SourceData.Fertiliser_Products_Data2(), FertiliserProducts[[#Headers],[Company]],31)</f>
        <v>15.5</v>
      </c>
      <c r="L146" s="177" t="str" cm="1">
        <f t="array" ref="L146">Common_InputFunctions.Utility_DisplayArrayInTable(Fertiliser_SourceData.Fertiliser_Products_Data2(), FertiliserProducts[[#Headers],[Company]],31)</f>
        <v/>
      </c>
      <c r="M146" s="177" t="str" cm="1">
        <f t="array" ref="M146">Common_InputFunctions.Utility_DisplayArrayInTable(Fertiliser_SourceData.Fertiliser_Products_Data2(), FertiliserProducts[[#Headers],[Company]],31)</f>
        <v/>
      </c>
      <c r="N146" s="177" t="str" cm="1">
        <f t="array" ref="N146">Common_InputFunctions.Utility_DisplayArrayInTable(Fertiliser_SourceData.Fertiliser_Products_Data2(), FertiliserProducts[[#Headers],[Company]],31)</f>
        <v/>
      </c>
      <c r="O146" s="177" t="str" cm="1">
        <f t="array" ref="O146">Common_InputFunctions.Utility_DisplayArrayInTable(Fertiliser_SourceData.Fertiliser_Products_Data2(), FertiliserProducts[[#Headers],[Company]],31)</f>
        <v>Calcium nitrate</v>
      </c>
      <c r="P146" s="177" cm="1">
        <f t="array" ref="P146">Common_InputFunctions.Utility_DisplayArrayInTable(Fertiliser_SourceData.Fertiliser_Products_Data2(), FertiliserProducts[[#Headers],[Company]],31)</f>
        <v>1</v>
      </c>
      <c r="Q146" s="177" t="str" cm="1">
        <f t="array" ref="Q146">Common_InputFunctions.Utility_DisplayArrayInTable(Fertiliser_SourceData.Fertiliser_Products_Data2(), FertiliserProducts[[#Headers],[Company]],31)</f>
        <v>Boron</v>
      </c>
      <c r="R146" s="177" cm="1">
        <f t="array" ref="R146">Common_InputFunctions.Utility_DisplayArrayInTable(Fertiliser_SourceData.Fertiliser_Products_Data2(), FertiliserProducts[[#Headers],[Company]],31)</f>
        <v>1E-3</v>
      </c>
      <c r="S146" s="177" t="str" cm="1">
        <f t="array" ref="S146">Common_InputFunctions.Utility_DisplayArrayInTable(Fertiliser_SourceData.Fertiliser_Products_Data2(), FertiliserProducts[[#Headers],[Company]],31)</f>
        <v/>
      </c>
      <c r="T146" s="177" t="str" cm="1">
        <f t="array" ref="T146">Common_InputFunctions.Utility_DisplayArrayInTable(Fertiliser_SourceData.Fertiliser_Products_Data2(), FertiliserProducts[[#Headers],[Company]],31)</f>
        <v/>
      </c>
      <c r="U146" s="177" t="str" cm="1">
        <f t="array" ref="U146">Common_InputFunctions.Utility_DisplayArrayInTable(Fertiliser_SourceData.Fertiliser_Products_Data2(), FertiliserProducts[[#Headers],[Company]],31)</f>
        <v/>
      </c>
      <c r="V146" s="177" t="str" cm="1">
        <f t="array" ref="V146">Common_InputFunctions.Utility_DisplayArrayInTable(Fertiliser_SourceData.Fertiliser_Products_Data2(), FertiliserProducts[[#Headers],[Company]],31)</f>
        <v/>
      </c>
      <c r="W146" s="177" t="str" cm="1">
        <f t="array" ref="W146">Common_InputFunctions.Utility_DisplayArrayInTable(Fertiliser_SourceData.Fertiliser_Products_Data2(), FertiliserProducts[[#Headers],[Company]],31)</f>
        <v/>
      </c>
      <c r="X146" s="177" t="str" cm="1">
        <f t="array" ref="X146">Common_InputFunctions.Utility_DisplayArrayInTable(Fertiliser_SourceData.Fertiliser_Products_Data2(), FertiliserProducts[[#Headers],[Company]],31)</f>
        <v/>
      </c>
      <c r="Y146" s="177" t="str" cm="1">
        <f t="array" ref="Y146">Common_InputFunctions.Utility_DisplayArrayInTable(Fertiliser_SourceData.Fertiliser_Products_Data2(), FertiliserProducts[[#Headers],[Company]],31)</f>
        <v/>
      </c>
      <c r="Z146" s="177" t="str" cm="1">
        <f t="array" ref="Z146">Common_InputFunctions.Utility_DisplayArrayInTable(Fertiliser_SourceData.Fertiliser_Products_Data2(), FertiliserProducts[[#Headers],[Company]],31)</f>
        <v/>
      </c>
      <c r="AA146" s="177" t="str" cm="1">
        <f t="array" ref="AA146">Common_InputFunctions.Utility_DisplayArrayInTable(Fertiliser_SourceData.Fertiliser_Products_Data2(), FertiliserProducts[[#Headers],[Company]],31)</f>
        <v/>
      </c>
      <c r="AB146" s="177" t="str" cm="1">
        <f t="array" ref="AB146">Common_InputFunctions.Utility_DisplayArrayInTable(Fertiliser_SourceData.Fertiliser_Products_Data2(), FertiliserProducts[[#Headers],[Company]],31)</f>
        <v/>
      </c>
      <c r="AC146" s="177" t="str" cm="1">
        <f t="array" ref="AC146">Common_InputFunctions.Utility_DisplayArrayInTable(Fertiliser_SourceData.Fertiliser_Products_Data2(), FertiliserProducts[[#Headers],[Company]],31)</f>
        <v/>
      </c>
      <c r="AD146" s="177" t="str" cm="1">
        <f t="array" ref="AD146">Common_InputFunctions.Utility_DisplayArrayInTable(Fertiliser_SourceData.Fertiliser_Products_Data2(), FertiliserProducts[[#Headers],[Company]],31)</f>
        <v/>
      </c>
      <c r="AE146" s="177" t="str" cm="1">
        <f t="array" ref="AE146">Common_InputFunctions.Utility_DisplayArrayInTable(Fertiliser_SourceData.Fertiliser_Products_Data2(), FertiliserProducts[[#Headers],[Company]],31)</f>
        <v/>
      </c>
      <c r="AF146" s="177" t="str" cm="1">
        <f t="array" ref="AF146">Common_InputFunctions.Utility_DisplayArrayInTable(Fertiliser_SourceData.Fertiliser_Products_Data2(), FertiliserProducts[[#Headers],[Company]],31)</f>
        <v/>
      </c>
      <c r="AG146" s="177" t="str" cm="1">
        <f t="array" ref="AG146">Common_InputFunctions.Utility_DisplayArrayInTable(Fertiliser_SourceData.Fertiliser_Products_Data2(), FertiliserProducts[[#Headers],[Company]],31)</f>
        <v/>
      </c>
      <c r="AH146" s="177" t="str" cm="1">
        <f t="array" ref="AH146">Common_InputFunctions.Utility_DisplayArrayInTable(Fertiliser_SourceData.Fertiliser_Products_Data2(), FertiliserProducts[[#Headers],[Company]],31)</f>
        <v/>
      </c>
      <c r="AK146" s="1"/>
      <c r="AL146" s="1"/>
      <c r="AM146" s="1"/>
    </row>
    <row r="147" spans="4:39" ht="20" customHeight="1" x14ac:dyDescent="0.25">
      <c r="D147" s="177" t="str" cm="1">
        <f t="array" ref="D147">Common_InputFunctions.Utility_DisplayArrayInTable(Fertiliser_SourceData.Fertiliser_Products_Data2(), FertiliserProducts[[#Headers],[Company]],31)</f>
        <v>Yara Australia</v>
      </c>
      <c r="E147" s="177" t="str" cm="1">
        <f t="array" ref="E147">Common_InputFunctions.Utility_DisplayArrayInTable(Fertiliser_SourceData.Fertiliser_Products_Data2(), FertiliserProducts[[#Headers],[Company]],31)</f>
        <v>YaraTera KRISTA MAP</v>
      </c>
      <c r="F147" s="177" t="str" cm="1">
        <f t="array" ref="F147">Common_InputFunctions.Utility_DisplayArrayInTable(Fertiliser_SourceData.Fertiliser_Products_Data2(), FertiliserProducts[[#Headers],[Company]],31)</f>
        <v>kg</v>
      </c>
      <c r="G147" s="177" cm="1">
        <f t="array" ref="G147">Common_InputFunctions.Utility_DisplayArrayInTable(Fertiliser_SourceData.Fertiliser_Products_Data2(), FertiliserProducts[[#Headers],[Company]],31)</f>
        <v>1</v>
      </c>
      <c r="H147" s="177" t="str" cm="1">
        <f t="array" ref="H147">Common_InputFunctions.Utility_DisplayArrayInTable(Fertiliser_SourceData.Fertiliser_Products_Data2(), FertiliserProducts[[#Headers],[Company]],31)</f>
        <v/>
      </c>
      <c r="I147" s="177" t="str" cm="1">
        <f t="array" ref="I147">Common_InputFunctions.Utility_DisplayArrayInTable(Fertiliser_SourceData.Fertiliser_Products_Data2(), FertiliserProducts[[#Headers],[Company]],31)</f>
        <v/>
      </c>
      <c r="J147" s="177" t="str" cm="1">
        <f t="array" ref="J147">Common_InputFunctions.Utility_DisplayArrayInTable(Fertiliser_SourceData.Fertiliser_Products_Data2(), FertiliserProducts[[#Headers],[Company]],31)</f>
        <v/>
      </c>
      <c r="K147" s="177" cm="1">
        <f t="array" ref="K147">Common_InputFunctions.Utility_DisplayArrayInTable(Fertiliser_SourceData.Fertiliser_Products_Data2(), FertiliserProducts[[#Headers],[Company]],31)</f>
        <v>10</v>
      </c>
      <c r="L147" s="177" cm="1">
        <f t="array" ref="L147">Common_InputFunctions.Utility_DisplayArrayInTable(Fertiliser_SourceData.Fertiliser_Products_Data2(), FertiliserProducts[[#Headers],[Company]],31)</f>
        <v>21.9</v>
      </c>
      <c r="M147" s="177" t="str" cm="1">
        <f t="array" ref="M147">Common_InputFunctions.Utility_DisplayArrayInTable(Fertiliser_SourceData.Fertiliser_Products_Data2(), FertiliserProducts[[#Headers],[Company]],31)</f>
        <v/>
      </c>
      <c r="N147" s="177" t="str" cm="1">
        <f t="array" ref="N147">Common_InputFunctions.Utility_DisplayArrayInTable(Fertiliser_SourceData.Fertiliser_Products_Data2(), FertiliserProducts[[#Headers],[Company]],31)</f>
        <v/>
      </c>
      <c r="O147" s="177" t="str" cm="1">
        <f t="array" ref="O147">Common_InputFunctions.Utility_DisplayArrayInTable(Fertiliser_SourceData.Fertiliser_Products_Data2(), FertiliserProducts[[#Headers],[Company]],31)</f>
        <v>Monoammonium phosphate (MAP)</v>
      </c>
      <c r="P147" s="177" cm="1">
        <f t="array" ref="P147">Common_InputFunctions.Utility_DisplayArrayInTable(Fertiliser_SourceData.Fertiliser_Products_Data2(), FertiliserProducts[[#Headers],[Company]],31)</f>
        <v>1</v>
      </c>
      <c r="Q147" s="177" t="str" cm="1">
        <f t="array" ref="Q147">Common_InputFunctions.Utility_DisplayArrayInTable(Fertiliser_SourceData.Fertiliser_Products_Data2(), FertiliserProducts[[#Headers],[Company]],31)</f>
        <v/>
      </c>
      <c r="R147" s="177" t="str" cm="1">
        <f t="array" ref="R147">Common_InputFunctions.Utility_DisplayArrayInTable(Fertiliser_SourceData.Fertiliser_Products_Data2(), FertiliserProducts[[#Headers],[Company]],31)</f>
        <v/>
      </c>
      <c r="S147" s="177" t="str" cm="1">
        <f t="array" ref="S147">Common_InputFunctions.Utility_DisplayArrayInTable(Fertiliser_SourceData.Fertiliser_Products_Data2(), FertiliserProducts[[#Headers],[Company]],31)</f>
        <v/>
      </c>
      <c r="T147" s="177" t="str" cm="1">
        <f t="array" ref="T147">Common_InputFunctions.Utility_DisplayArrayInTable(Fertiliser_SourceData.Fertiliser_Products_Data2(), FertiliserProducts[[#Headers],[Company]],31)</f>
        <v/>
      </c>
      <c r="U147" s="177" t="str" cm="1">
        <f t="array" ref="U147">Common_InputFunctions.Utility_DisplayArrayInTable(Fertiliser_SourceData.Fertiliser_Products_Data2(), FertiliserProducts[[#Headers],[Company]],31)</f>
        <v/>
      </c>
      <c r="V147" s="177" t="str" cm="1">
        <f t="array" ref="V147">Common_InputFunctions.Utility_DisplayArrayInTable(Fertiliser_SourceData.Fertiliser_Products_Data2(), FertiliserProducts[[#Headers],[Company]],31)</f>
        <v/>
      </c>
      <c r="W147" s="177" t="str" cm="1">
        <f t="array" ref="W147">Common_InputFunctions.Utility_DisplayArrayInTable(Fertiliser_SourceData.Fertiliser_Products_Data2(), FertiliserProducts[[#Headers],[Company]],31)</f>
        <v/>
      </c>
      <c r="X147" s="177" t="str" cm="1">
        <f t="array" ref="X147">Common_InputFunctions.Utility_DisplayArrayInTable(Fertiliser_SourceData.Fertiliser_Products_Data2(), FertiliserProducts[[#Headers],[Company]],31)</f>
        <v/>
      </c>
      <c r="Y147" s="177" t="str" cm="1">
        <f t="array" ref="Y147">Common_InputFunctions.Utility_DisplayArrayInTable(Fertiliser_SourceData.Fertiliser_Products_Data2(), FertiliserProducts[[#Headers],[Company]],31)</f>
        <v/>
      </c>
      <c r="Z147" s="177" t="str" cm="1">
        <f t="array" ref="Z147">Common_InputFunctions.Utility_DisplayArrayInTable(Fertiliser_SourceData.Fertiliser_Products_Data2(), FertiliserProducts[[#Headers],[Company]],31)</f>
        <v/>
      </c>
      <c r="AA147" s="177" t="str" cm="1">
        <f t="array" ref="AA147">Common_InputFunctions.Utility_DisplayArrayInTable(Fertiliser_SourceData.Fertiliser_Products_Data2(), FertiliserProducts[[#Headers],[Company]],31)</f>
        <v/>
      </c>
      <c r="AB147" s="177" t="str" cm="1">
        <f t="array" ref="AB147">Common_InputFunctions.Utility_DisplayArrayInTable(Fertiliser_SourceData.Fertiliser_Products_Data2(), FertiliserProducts[[#Headers],[Company]],31)</f>
        <v/>
      </c>
      <c r="AC147" s="177" t="str" cm="1">
        <f t="array" ref="AC147">Common_InputFunctions.Utility_DisplayArrayInTable(Fertiliser_SourceData.Fertiliser_Products_Data2(), FertiliserProducts[[#Headers],[Company]],31)</f>
        <v/>
      </c>
      <c r="AD147" s="177" t="str" cm="1">
        <f t="array" ref="AD147">Common_InputFunctions.Utility_DisplayArrayInTable(Fertiliser_SourceData.Fertiliser_Products_Data2(), FertiliserProducts[[#Headers],[Company]],31)</f>
        <v/>
      </c>
      <c r="AE147" s="177" t="str" cm="1">
        <f t="array" ref="AE147">Common_InputFunctions.Utility_DisplayArrayInTable(Fertiliser_SourceData.Fertiliser_Products_Data2(), FertiliserProducts[[#Headers],[Company]],31)</f>
        <v/>
      </c>
      <c r="AF147" s="177" t="str" cm="1">
        <f t="array" ref="AF147">Common_InputFunctions.Utility_DisplayArrayInTable(Fertiliser_SourceData.Fertiliser_Products_Data2(), FertiliserProducts[[#Headers],[Company]],31)</f>
        <v/>
      </c>
      <c r="AG147" s="177" t="str" cm="1">
        <f t="array" ref="AG147">Common_InputFunctions.Utility_DisplayArrayInTable(Fertiliser_SourceData.Fertiliser_Products_Data2(), FertiliserProducts[[#Headers],[Company]],31)</f>
        <v/>
      </c>
      <c r="AH147" s="177" t="str" cm="1">
        <f t="array" ref="AH147">Common_InputFunctions.Utility_DisplayArrayInTable(Fertiliser_SourceData.Fertiliser_Products_Data2(), FertiliserProducts[[#Headers],[Company]],31)</f>
        <v/>
      </c>
      <c r="AK147" s="1"/>
      <c r="AL147" s="1"/>
      <c r="AM147" s="1"/>
    </row>
    <row r="148" spans="4:39" ht="20" customHeight="1" x14ac:dyDescent="0.25">
      <c r="D148" s="177" t="str" cm="1">
        <f t="array" ref="D148">Common_InputFunctions.Utility_DisplayArrayInTable(Fertiliser_SourceData.Fertiliser_Products_Data2(), FertiliserProducts[[#Headers],[Company]],31)</f>
        <v>Yara Australia</v>
      </c>
      <c r="E148" s="177" t="str" cm="1">
        <f t="array" ref="E148">Common_InputFunctions.Utility_DisplayArrayInTable(Fertiliser_SourceData.Fertiliser_Products_Data2(), FertiliserProducts[[#Headers],[Company]],31)</f>
        <v>YaraTera KRISTALON RED</v>
      </c>
      <c r="F148" s="177" t="str" cm="1">
        <f t="array" ref="F148">Common_InputFunctions.Utility_DisplayArrayInTable(Fertiliser_SourceData.Fertiliser_Products_Data2(), FertiliserProducts[[#Headers],[Company]],31)</f>
        <v>kg</v>
      </c>
      <c r="G148" s="177" cm="1">
        <f t="array" ref="G148">Common_InputFunctions.Utility_DisplayArrayInTable(Fertiliser_SourceData.Fertiliser_Products_Data2(), FertiliserProducts[[#Headers],[Company]],31)</f>
        <v>1</v>
      </c>
      <c r="H148" s="177" t="str" cm="1">
        <f t="array" ref="H148">Common_InputFunctions.Utility_DisplayArrayInTable(Fertiliser_SourceData.Fertiliser_Products_Data2(), FertiliserProducts[[#Headers],[Company]],31)</f>
        <v/>
      </c>
      <c r="I148" s="177" t="str" cm="1">
        <f t="array" ref="I148">Common_InputFunctions.Utility_DisplayArrayInTable(Fertiliser_SourceData.Fertiliser_Products_Data2(), FertiliserProducts[[#Headers],[Company]],31)</f>
        <v/>
      </c>
      <c r="J148" s="177" t="str" cm="1">
        <f t="array" ref="J148">Common_InputFunctions.Utility_DisplayArrayInTable(Fertiliser_SourceData.Fertiliser_Products_Data2(), FertiliserProducts[[#Headers],[Company]],31)</f>
        <v/>
      </c>
      <c r="K148" s="177" cm="1">
        <f t="array" ref="K148">Common_InputFunctions.Utility_DisplayArrayInTable(Fertiliser_SourceData.Fertiliser_Products_Data2(), FertiliserProducts[[#Headers],[Company]],31)</f>
        <v>12</v>
      </c>
      <c r="L148" s="177" cm="1">
        <f t="array" ref="L148">Common_InputFunctions.Utility_DisplayArrayInTable(Fertiliser_SourceData.Fertiliser_Products_Data2(), FertiliserProducts[[#Headers],[Company]],31)</f>
        <v>5.2</v>
      </c>
      <c r="M148" s="177" cm="1">
        <f t="array" ref="M148">Common_InputFunctions.Utility_DisplayArrayInTable(Fertiliser_SourceData.Fertiliser_Products_Data2(), FertiliserProducts[[#Headers],[Company]],31)</f>
        <v>29.9</v>
      </c>
      <c r="N148" s="177" cm="1">
        <f t="array" ref="N148">Common_InputFunctions.Utility_DisplayArrayInTable(Fertiliser_SourceData.Fertiliser_Products_Data2(), FertiliserProducts[[#Headers],[Company]],31)</f>
        <v>1</v>
      </c>
      <c r="O148" s="177" t="str" cm="1">
        <f t="array" ref="O148">Common_InputFunctions.Utility_DisplayArrayInTable(Fertiliser_SourceData.Fertiliser_Products_Data2(), FertiliserProducts[[#Headers],[Company]],31)</f>
        <v>Potassium - Generic</v>
      </c>
      <c r="P148" s="177" cm="1">
        <f t="array" ref="P148">Common_InputFunctions.Utility_DisplayArrayInTable(Fertiliser_SourceData.Fertiliser_Products_Data2(), FertiliserProducts[[#Headers],[Company]],31)</f>
        <v>0.29899999999999999</v>
      </c>
      <c r="Q148" s="177" t="str" cm="1">
        <f t="array" ref="Q148">Common_InputFunctions.Utility_DisplayArrayInTable(Fertiliser_SourceData.Fertiliser_Products_Data2(), FertiliserProducts[[#Headers],[Company]],31)</f>
        <v>Nitrogen - Nitrate</v>
      </c>
      <c r="R148" s="177" cm="1">
        <f t="array" ref="R148">Common_InputFunctions.Utility_DisplayArrayInTable(Fertiliser_SourceData.Fertiliser_Products_Data2(), FertiliserProducts[[#Headers],[Company]],31)</f>
        <v>0.10100000000000001</v>
      </c>
      <c r="S148" s="177" t="str" cm="1">
        <f t="array" ref="S148">Common_InputFunctions.Utility_DisplayArrayInTable(Fertiliser_SourceData.Fertiliser_Products_Data2(), FertiliserProducts[[#Headers],[Company]],31)</f>
        <v>Phosphorus - Generic</v>
      </c>
      <c r="T148" s="177" cm="1">
        <f t="array" ref="T148">Common_InputFunctions.Utility_DisplayArrayInTable(Fertiliser_SourceData.Fertiliser_Products_Data2(), FertiliserProducts[[#Headers],[Company]],31)</f>
        <v>5.1999999999999998E-2</v>
      </c>
      <c r="U148" s="177" t="str" cm="1">
        <f t="array" ref="U148">Common_InputFunctions.Utility_DisplayArrayInTable(Fertiliser_SourceData.Fertiliser_Products_Data2(), FertiliserProducts[[#Headers],[Company]],31)</f>
        <v>Nitrogen - Ammoniacal</v>
      </c>
      <c r="V148" s="177" cm="1">
        <f t="array" ref="V148">Common_InputFunctions.Utility_DisplayArrayInTable(Fertiliser_SourceData.Fertiliser_Products_Data2(), FertiliserProducts[[#Headers],[Company]],31)</f>
        <v>1.9E-2</v>
      </c>
      <c r="W148" s="177" t="str" cm="1">
        <f t="array" ref="W148">Common_InputFunctions.Utility_DisplayArrayInTable(Fertiliser_SourceData.Fertiliser_Products_Data2(), FertiliserProducts[[#Headers],[Company]],31)</f>
        <v>Sulfur - Generic</v>
      </c>
      <c r="X148" s="177" cm="1">
        <f t="array" ref="X148">Common_InputFunctions.Utility_DisplayArrayInTable(Fertiliser_SourceData.Fertiliser_Products_Data2(), FertiliserProducts[[#Headers],[Company]],31)</f>
        <v>0.01</v>
      </c>
      <c r="Y148" s="177" t="str" cm="1">
        <f t="array" ref="Y148">Common_InputFunctions.Utility_DisplayArrayInTable(Fertiliser_SourceData.Fertiliser_Products_Data2(), FertiliserProducts[[#Headers],[Company]],31)</f>
        <v>Magnesium</v>
      </c>
      <c r="Z148" s="177" cm="1">
        <f t="array" ref="Z148">Common_InputFunctions.Utility_DisplayArrayInTable(Fertiliser_SourceData.Fertiliser_Products_Data2(), FertiliserProducts[[#Headers],[Company]],31)</f>
        <v>6.0000000000000001E-3</v>
      </c>
      <c r="AA148" s="177" t="str" cm="1">
        <f t="array" ref="AA148">Common_InputFunctions.Utility_DisplayArrayInTable(Fertiliser_SourceData.Fertiliser_Products_Data2(), FertiliserProducts[[#Headers],[Company]],31)</f>
        <v>Iron</v>
      </c>
      <c r="AB148" s="177" cm="1">
        <f t="array" ref="AB148">Common_InputFunctions.Utility_DisplayArrayInTable(Fertiliser_SourceData.Fertiliser_Products_Data2(), FertiliserProducts[[#Headers],[Company]],31)</f>
        <v>6.9999999999999999E-4</v>
      </c>
      <c r="AC148" s="177" t="str" cm="1">
        <f t="array" ref="AC148">Common_InputFunctions.Utility_DisplayArrayInTable(Fertiliser_SourceData.Fertiliser_Products_Data2(), FertiliserProducts[[#Headers],[Company]],31)</f>
        <v>Manganese</v>
      </c>
      <c r="AD148" s="177" cm="1">
        <f t="array" ref="AD148">Common_InputFunctions.Utility_DisplayArrayInTable(Fertiliser_SourceData.Fertiliser_Products_Data2(), FertiliserProducts[[#Headers],[Company]],31)</f>
        <v>4.0000000000000002E-4</v>
      </c>
      <c r="AE148" s="177" t="str" cm="1">
        <f t="array" ref="AE148">Common_InputFunctions.Utility_DisplayArrayInTable(Fertiliser_SourceData.Fertiliser_Products_Data2(), FertiliserProducts[[#Headers],[Company]],31)</f>
        <v>Zinc</v>
      </c>
      <c r="AF148" s="177" cm="1">
        <f t="array" ref="AF148">Common_InputFunctions.Utility_DisplayArrayInTable(Fertiliser_SourceData.Fertiliser_Products_Data2(), FertiliserProducts[[#Headers],[Company]],31)</f>
        <v>2.5000000000000001E-4</v>
      </c>
      <c r="AG148" s="177" t="str" cm="1">
        <f t="array" ref="AG148">Common_InputFunctions.Utility_DisplayArrayInTable(Fertiliser_SourceData.Fertiliser_Products_Data2(), FertiliserProducts[[#Headers],[Company]],31)</f>
        <v>Boron</v>
      </c>
      <c r="AH148" s="177" cm="1">
        <f t="array" ref="AH148">Common_InputFunctions.Utility_DisplayArrayInTable(Fertiliser_SourceData.Fertiliser_Products_Data2(), FertiliserProducts[[#Headers],[Company]],31)</f>
        <v>2.5000000000000001E-4</v>
      </c>
      <c r="AK148" s="1"/>
      <c r="AL148" s="1"/>
      <c r="AM148" s="1"/>
    </row>
    <row r="149" spans="4:39" ht="20" customHeight="1" x14ac:dyDescent="0.25">
      <c r="D149" s="177" t="str" cm="1">
        <f t="array" ref="D149">Common_InputFunctions.Utility_DisplayArrayInTable(Fertiliser_SourceData.Fertiliser_Products_Data2(), FertiliserProducts[[#Headers],[Company]],31)</f>
        <v>Yara Australia</v>
      </c>
      <c r="E149" s="177" t="str" cm="1">
        <f t="array" ref="E149">Common_InputFunctions.Utility_DisplayArrayInTable(Fertiliser_SourceData.Fertiliser_Products_Data2(), FertiliserProducts[[#Headers],[Company]],31)</f>
        <v>YaraTera KRISTALON SPECIAL</v>
      </c>
      <c r="F149" s="177" t="str" cm="1">
        <f t="array" ref="F149">Common_InputFunctions.Utility_DisplayArrayInTable(Fertiliser_SourceData.Fertiliser_Products_Data2(), FertiliserProducts[[#Headers],[Company]],31)</f>
        <v>kg</v>
      </c>
      <c r="G149" s="177" cm="1">
        <f t="array" ref="G149">Common_InputFunctions.Utility_DisplayArrayInTable(Fertiliser_SourceData.Fertiliser_Products_Data2(), FertiliserProducts[[#Headers],[Company]],31)</f>
        <v>1</v>
      </c>
      <c r="H149" s="177" t="str" cm="1">
        <f t="array" ref="H149">Common_InputFunctions.Utility_DisplayArrayInTable(Fertiliser_SourceData.Fertiliser_Products_Data2(), FertiliserProducts[[#Headers],[Company]],31)</f>
        <v/>
      </c>
      <c r="I149" s="177" t="str" cm="1">
        <f t="array" ref="I149">Common_InputFunctions.Utility_DisplayArrayInTable(Fertiliser_SourceData.Fertiliser_Products_Data2(), FertiliserProducts[[#Headers],[Company]],31)</f>
        <v/>
      </c>
      <c r="J149" s="177" t="str" cm="1">
        <f t="array" ref="J149">Common_InputFunctions.Utility_DisplayArrayInTable(Fertiliser_SourceData.Fertiliser_Products_Data2(), FertiliserProducts[[#Headers],[Company]],31)</f>
        <v/>
      </c>
      <c r="K149" s="177" cm="1">
        <f t="array" ref="K149">Common_InputFunctions.Utility_DisplayArrayInTable(Fertiliser_SourceData.Fertiliser_Products_Data2(), FertiliserProducts[[#Headers],[Company]],31)</f>
        <v>18</v>
      </c>
      <c r="L149" s="177" cm="1">
        <f t="array" ref="L149">Common_InputFunctions.Utility_DisplayArrayInTable(Fertiliser_SourceData.Fertiliser_Products_Data2(), FertiliserProducts[[#Headers],[Company]],31)</f>
        <v>7.9</v>
      </c>
      <c r="M149" s="177" cm="1">
        <f t="array" ref="M149">Common_InputFunctions.Utility_DisplayArrayInTable(Fertiliser_SourceData.Fertiliser_Products_Data2(), FertiliserProducts[[#Headers],[Company]],31)</f>
        <v>14.9</v>
      </c>
      <c r="N149" s="177" cm="1">
        <f t="array" ref="N149">Common_InputFunctions.Utility_DisplayArrayInTable(Fertiliser_SourceData.Fertiliser_Products_Data2(), FertiliserProducts[[#Headers],[Company]],31)</f>
        <v>2</v>
      </c>
      <c r="O149" s="177" t="str" cm="1">
        <f t="array" ref="O149">Common_InputFunctions.Utility_DisplayArrayInTable(Fertiliser_SourceData.Fertiliser_Products_Data2(), FertiliserProducts[[#Headers],[Company]],31)</f>
        <v>Potassium - Generic</v>
      </c>
      <c r="P149" s="177" cm="1">
        <f t="array" ref="P149">Common_InputFunctions.Utility_DisplayArrayInTable(Fertiliser_SourceData.Fertiliser_Products_Data2(), FertiliserProducts[[#Headers],[Company]],31)</f>
        <v>0.14899999999999999</v>
      </c>
      <c r="Q149" s="177" t="str" cm="1">
        <f t="array" ref="Q149">Common_InputFunctions.Utility_DisplayArrayInTable(Fertiliser_SourceData.Fertiliser_Products_Data2(), FertiliserProducts[[#Headers],[Company]],31)</f>
        <v>Urea</v>
      </c>
      <c r="R149" s="177" cm="1">
        <f t="array" ref="R149">Common_InputFunctions.Utility_DisplayArrayInTable(Fertiliser_SourceData.Fertiliser_Products_Data2(), FertiliserProducts[[#Headers],[Company]],31)</f>
        <v>0.21304300000000001</v>
      </c>
      <c r="S149" s="177" t="str" cm="1">
        <f t="array" ref="S149">Common_InputFunctions.Utility_DisplayArrayInTable(Fertiliser_SourceData.Fertiliser_Products_Data2(), FertiliserProducts[[#Headers],[Company]],31)</f>
        <v>Phosphorus - Generic</v>
      </c>
      <c r="T149" s="177" cm="1">
        <f t="array" ref="T149">Common_InputFunctions.Utility_DisplayArrayInTable(Fertiliser_SourceData.Fertiliser_Products_Data2(), FertiliserProducts[[#Headers],[Company]],31)</f>
        <v>7.9000000000000001E-2</v>
      </c>
      <c r="U149" s="177" t="str" cm="1">
        <f t="array" ref="U149">Common_InputFunctions.Utility_DisplayArrayInTable(Fertiliser_SourceData.Fertiliser_Products_Data2(), FertiliserProducts[[#Headers],[Company]],31)</f>
        <v>Nitrogen - Nitrate</v>
      </c>
      <c r="V149" s="177" cm="1">
        <f t="array" ref="V149">Common_InputFunctions.Utility_DisplayArrayInTable(Fertiliser_SourceData.Fertiliser_Products_Data2(), FertiliserProducts[[#Headers],[Company]],31)</f>
        <v>4.9000000000000002E-2</v>
      </c>
      <c r="W149" s="177" t="str" cm="1">
        <f t="array" ref="W149">Common_InputFunctions.Utility_DisplayArrayInTable(Fertiliser_SourceData.Fertiliser_Products_Data2(), FertiliserProducts[[#Headers],[Company]],31)</f>
        <v>Nitrogen - Ammoniacal</v>
      </c>
      <c r="X149" s="177" cm="1">
        <f t="array" ref="X149">Common_InputFunctions.Utility_DisplayArrayInTable(Fertiliser_SourceData.Fertiliser_Products_Data2(), FertiliserProducts[[#Headers],[Company]],31)</f>
        <v>3.3000000000000002E-2</v>
      </c>
      <c r="Y149" s="177" t="str" cm="1">
        <f t="array" ref="Y149">Common_InputFunctions.Utility_DisplayArrayInTable(Fertiliser_SourceData.Fertiliser_Products_Data2(), FertiliserProducts[[#Headers],[Company]],31)</f>
        <v>Sulfur - Generic</v>
      </c>
      <c r="Z149" s="177" cm="1">
        <f t="array" ref="Z149">Common_InputFunctions.Utility_DisplayArrayInTable(Fertiliser_SourceData.Fertiliser_Products_Data2(), FertiliserProducts[[#Headers],[Company]],31)</f>
        <v>0.02</v>
      </c>
      <c r="AA149" s="177" t="str" cm="1">
        <f t="array" ref="AA149">Common_InputFunctions.Utility_DisplayArrayInTable(Fertiliser_SourceData.Fertiliser_Products_Data2(), FertiliserProducts[[#Headers],[Company]],31)</f>
        <v>Magnesium</v>
      </c>
      <c r="AB149" s="177" cm="1">
        <f t="array" ref="AB149">Common_InputFunctions.Utility_DisplayArrayInTable(Fertiliser_SourceData.Fertiliser_Products_Data2(), FertiliserProducts[[#Headers],[Company]],31)</f>
        <v>1.7999999999999999E-2</v>
      </c>
      <c r="AC149" s="177" t="str" cm="1">
        <f t="array" ref="AC149">Common_InputFunctions.Utility_DisplayArrayInTable(Fertiliser_SourceData.Fertiliser_Products_Data2(), FertiliserProducts[[#Headers],[Company]],31)</f>
        <v>Iron</v>
      </c>
      <c r="AD149" s="177" cm="1">
        <f t="array" ref="AD149">Common_InputFunctions.Utility_DisplayArrayInTable(Fertiliser_SourceData.Fertiliser_Products_Data2(), FertiliserProducts[[#Headers],[Company]],31)</f>
        <v>6.9999999999999999E-4</v>
      </c>
      <c r="AE149" s="177" t="str" cm="1">
        <f t="array" ref="AE149">Common_InputFunctions.Utility_DisplayArrayInTable(Fertiliser_SourceData.Fertiliser_Products_Data2(), FertiliserProducts[[#Headers],[Company]],31)</f>
        <v>Manganese</v>
      </c>
      <c r="AF149" s="177" cm="1">
        <f t="array" ref="AF149">Common_InputFunctions.Utility_DisplayArrayInTable(Fertiliser_SourceData.Fertiliser_Products_Data2(), FertiliserProducts[[#Headers],[Company]],31)</f>
        <v>4.0000000000000002E-4</v>
      </c>
      <c r="AG149" s="177" t="str" cm="1">
        <f t="array" ref="AG149">Common_InputFunctions.Utility_DisplayArrayInTable(Fertiliser_SourceData.Fertiliser_Products_Data2(), FertiliserProducts[[#Headers],[Company]],31)</f>
        <v>Zinc</v>
      </c>
      <c r="AH149" s="177" cm="1">
        <f t="array" ref="AH149">Common_InputFunctions.Utility_DisplayArrayInTable(Fertiliser_SourceData.Fertiliser_Products_Data2(), FertiliserProducts[[#Headers],[Company]],31)</f>
        <v>2.5000000000000001E-4</v>
      </c>
      <c r="AK149" s="1"/>
      <c r="AL149" s="1"/>
      <c r="AM149" s="1"/>
    </row>
    <row r="150" spans="4:39" ht="20" customHeight="1" x14ac:dyDescent="0.25">
      <c r="D150" s="177" t="str" cm="1">
        <f t="array" ref="D150">Common_InputFunctions.Utility_DisplayArrayInTable(Fertiliser_SourceData.Fertiliser_Products_Data3(), FertiliserProducts[[#Headers],[Company]],61)</f>
        <v>Yara Australia</v>
      </c>
      <c r="E150" s="177" t="str" cm="1">
        <f t="array" ref="E150">Common_InputFunctions.Utility_DisplayArrayInTable(Fertiliser_SourceData.Fertiliser_Products_Data3(), FertiliserProducts[[#Headers],[Company]],61)</f>
        <v>YaraMila 21-7-3(4)</v>
      </c>
      <c r="F150" s="177" t="str" cm="1">
        <f t="array" ref="F150">Common_InputFunctions.Utility_DisplayArrayInTable(Fertiliser_SourceData.Fertiliser_Products_Data3(), FertiliserProducts[[#Headers],[Company]],61)</f>
        <v>kg</v>
      </c>
      <c r="G150" s="177" cm="1">
        <f t="array" ref="G150">Common_InputFunctions.Utility_DisplayArrayInTable(Fertiliser_SourceData.Fertiliser_Products_Data3(), FertiliserProducts[[#Headers],[Company]],61)</f>
        <v>1</v>
      </c>
      <c r="H150" s="177" t="str" cm="1">
        <f t="array" ref="H150">Common_InputFunctions.Utility_DisplayArrayInTable(Fertiliser_SourceData.Fertiliser_Products_Data3(), FertiliserProducts[[#Headers],[Company]],61)</f>
        <v/>
      </c>
      <c r="I150" s="177" t="str" cm="1">
        <f t="array" ref="I150">Common_InputFunctions.Utility_DisplayArrayInTable(Fertiliser_SourceData.Fertiliser_Products_Data3(), FertiliserProducts[[#Headers],[Company]],61)</f>
        <v/>
      </c>
      <c r="J150" s="177" t="str" cm="1">
        <f t="array" ref="J150">Common_InputFunctions.Utility_DisplayArrayInTable(Fertiliser_SourceData.Fertiliser_Products_Data3(), FertiliserProducts[[#Headers],[Company]],61)</f>
        <v/>
      </c>
      <c r="K150" s="177" cm="1">
        <f t="array" ref="K150">Common_InputFunctions.Utility_DisplayArrayInTable(Fertiliser_SourceData.Fertiliser_Products_Data3(), FertiliserProducts[[#Headers],[Company]],61)</f>
        <v>21</v>
      </c>
      <c r="L150" s="177" cm="1">
        <f t="array" ref="L150">Common_InputFunctions.Utility_DisplayArrayInTable(Fertiliser_SourceData.Fertiliser_Products_Data3(), FertiliserProducts[[#Headers],[Company]],61)</f>
        <v>7.4</v>
      </c>
      <c r="M150" s="177" cm="1">
        <f t="array" ref="M150">Common_InputFunctions.Utility_DisplayArrayInTable(Fertiliser_SourceData.Fertiliser_Products_Data3(), FertiliserProducts[[#Headers],[Company]],61)</f>
        <v>2.5</v>
      </c>
      <c r="N150" s="177" cm="1">
        <f t="array" ref="N150">Common_InputFunctions.Utility_DisplayArrayInTable(Fertiliser_SourceData.Fertiliser_Products_Data3(), FertiliserProducts[[#Headers],[Company]],61)</f>
        <v>4</v>
      </c>
      <c r="O150" s="177" t="str" cm="1">
        <f t="array" ref="O150">Common_InputFunctions.Utility_DisplayArrayInTable(Fertiliser_SourceData.Fertiliser_Products_Data3(), FertiliserProducts[[#Headers],[Company]],61)</f>
        <v>Nitrogen - Nitrate</v>
      </c>
      <c r="P150" s="177" cm="1">
        <f t="array" ref="P150">Common_InputFunctions.Utility_DisplayArrayInTable(Fertiliser_SourceData.Fertiliser_Products_Data3(), FertiliserProducts[[#Headers],[Company]],61)</f>
        <v>0.105</v>
      </c>
      <c r="Q150" s="177" t="str" cm="1">
        <f t="array" ref="Q150">Common_InputFunctions.Utility_DisplayArrayInTable(Fertiliser_SourceData.Fertiliser_Products_Data3(), FertiliserProducts[[#Headers],[Company]],61)</f>
        <v>Nitrogen - Ammoniacal</v>
      </c>
      <c r="R150" s="177" cm="1">
        <f t="array" ref="R150">Common_InputFunctions.Utility_DisplayArrayInTable(Fertiliser_SourceData.Fertiliser_Products_Data3(), FertiliserProducts[[#Headers],[Company]],61)</f>
        <v>0.105</v>
      </c>
      <c r="S150" s="177" t="str" cm="1">
        <f t="array" ref="S150">Common_InputFunctions.Utility_DisplayArrayInTable(Fertiliser_SourceData.Fertiliser_Products_Data3(), FertiliserProducts[[#Headers],[Company]],61)</f>
        <v>Phosphorus - Generic</v>
      </c>
      <c r="T150" s="177" cm="1">
        <f t="array" ref="T150">Common_InputFunctions.Utility_DisplayArrayInTable(Fertiliser_SourceData.Fertiliser_Products_Data3(), FertiliserProducts[[#Headers],[Company]],61)</f>
        <v>7.3999999999999996E-2</v>
      </c>
      <c r="U150" s="177" t="str" cm="1">
        <f t="array" ref="U150">Common_InputFunctions.Utility_DisplayArrayInTable(Fertiliser_SourceData.Fertiliser_Products_Data3(), FertiliserProducts[[#Headers],[Company]],61)</f>
        <v>Sulfur - Generic</v>
      </c>
      <c r="V150" s="177" cm="1">
        <f t="array" ref="V150">Common_InputFunctions.Utility_DisplayArrayInTable(Fertiliser_SourceData.Fertiliser_Products_Data3(), FertiliserProducts[[#Headers],[Company]],61)</f>
        <v>0.04</v>
      </c>
      <c r="W150" s="177" t="str" cm="1">
        <f t="array" ref="W150">Common_InputFunctions.Utility_DisplayArrayInTable(Fertiliser_SourceData.Fertiliser_Products_Data3(), FertiliserProducts[[#Headers],[Company]],61)</f>
        <v>Potassium - Generic</v>
      </c>
      <c r="X150" s="177" cm="1">
        <f t="array" ref="X150">Common_InputFunctions.Utility_DisplayArrayInTable(Fertiliser_SourceData.Fertiliser_Products_Data3(), FertiliserProducts[[#Headers],[Company]],61)</f>
        <v>2.5000000000000001E-2</v>
      </c>
      <c r="Y150" s="177" t="str" cm="1">
        <f t="array" ref="Y150">Common_InputFunctions.Utility_DisplayArrayInTable(Fertiliser_SourceData.Fertiliser_Products_Data3(), FertiliserProducts[[#Headers],[Company]],61)</f>
        <v>Magnesium</v>
      </c>
      <c r="Z150" s="177" cm="1">
        <f t="array" ref="Z150">Common_InputFunctions.Utility_DisplayArrayInTable(Fertiliser_SourceData.Fertiliser_Products_Data3(), FertiliserProducts[[#Headers],[Company]],61)</f>
        <v>4.0000000000000001E-3</v>
      </c>
      <c r="AA150" s="177" t="str" cm="1">
        <f t="array" ref="AA150">Common_InputFunctions.Utility_DisplayArrayInTable(Fertiliser_SourceData.Fertiliser_Products_Data3(), FertiliserProducts[[#Headers],[Company]],61)</f>
        <v>Zinc</v>
      </c>
      <c r="AB150" s="177" cm="1">
        <f t="array" ref="AB150">Common_InputFunctions.Utility_DisplayArrayInTable(Fertiliser_SourceData.Fertiliser_Products_Data3(), FertiliserProducts[[#Headers],[Company]],61)</f>
        <v>1.5E-3</v>
      </c>
      <c r="AC150" s="177" t="str" cm="1">
        <f t="array" ref="AC150">Common_InputFunctions.Utility_DisplayArrayInTable(Fertiliser_SourceData.Fertiliser_Products_Data3(), FertiliserProducts[[#Headers],[Company]],61)</f>
        <v/>
      </c>
      <c r="AD150" s="177" t="str" cm="1">
        <f t="array" ref="AD150">Common_InputFunctions.Utility_DisplayArrayInTable(Fertiliser_SourceData.Fertiliser_Products_Data3(), FertiliserProducts[[#Headers],[Company]],61)</f>
        <v/>
      </c>
      <c r="AE150" s="177" t="str" cm="1">
        <f t="array" ref="AE150">Common_InputFunctions.Utility_DisplayArrayInTable(Fertiliser_SourceData.Fertiliser_Products_Data3(), FertiliserProducts[[#Headers],[Company]],61)</f>
        <v/>
      </c>
      <c r="AF150" s="177" t="str" cm="1">
        <f t="array" ref="AF150">Common_InputFunctions.Utility_DisplayArrayInTable(Fertiliser_SourceData.Fertiliser_Products_Data3(), FertiliserProducts[[#Headers],[Company]],61)</f>
        <v/>
      </c>
      <c r="AG150" s="177" t="str" cm="1">
        <f t="array" ref="AG150">Common_InputFunctions.Utility_DisplayArrayInTable(Fertiliser_SourceData.Fertiliser_Products_Data3(), FertiliserProducts[[#Headers],[Company]],61)</f>
        <v/>
      </c>
      <c r="AH150" s="177" t="str" cm="1">
        <f t="array" ref="AH150">Common_InputFunctions.Utility_DisplayArrayInTable(Fertiliser_SourceData.Fertiliser_Products_Data3(), FertiliserProducts[[#Headers],[Company]],61)</f>
        <v/>
      </c>
      <c r="AK150" s="1"/>
      <c r="AL150" s="1"/>
      <c r="AM150" s="1"/>
    </row>
    <row r="151" spans="4:39" ht="20" customHeight="1" x14ac:dyDescent="0.25">
      <c r="D151" s="177" t="str" cm="1">
        <f t="array" ref="D151">Common_InputFunctions.Utility_DisplayArrayInTable(Fertiliser_SourceData.Fertiliser_Products_Data3(), FertiliserProducts[[#Headers],[Company]],61)</f>
        <v>Yara Australia</v>
      </c>
      <c r="E151" s="177" t="str" cm="1">
        <f t="array" ref="E151">Common_InputFunctions.Utility_DisplayArrayInTable(Fertiliser_SourceData.Fertiliser_Products_Data3(), FertiliserProducts[[#Headers],[Company]],61)</f>
        <v>YaraTera KRISTALON SCARLET</v>
      </c>
      <c r="F151" s="177" t="str" cm="1">
        <f t="array" ref="F151">Common_InputFunctions.Utility_DisplayArrayInTable(Fertiliser_SourceData.Fertiliser_Products_Data3(), FertiliserProducts[[#Headers],[Company]],61)</f>
        <v>kg</v>
      </c>
      <c r="G151" s="177" cm="1">
        <f t="array" ref="G151">Common_InputFunctions.Utility_DisplayArrayInTable(Fertiliser_SourceData.Fertiliser_Products_Data3(), FertiliserProducts[[#Headers],[Company]],61)</f>
        <v>1</v>
      </c>
      <c r="H151" s="177" t="str" cm="1">
        <f t="array" ref="H151">Common_InputFunctions.Utility_DisplayArrayInTable(Fertiliser_SourceData.Fertiliser_Products_Data3(), FertiliserProducts[[#Headers],[Company]],61)</f>
        <v/>
      </c>
      <c r="I151" s="177" t="str" cm="1">
        <f t="array" ref="I151">Common_InputFunctions.Utility_DisplayArrayInTable(Fertiliser_SourceData.Fertiliser_Products_Data3(), FertiliserProducts[[#Headers],[Company]],61)</f>
        <v/>
      </c>
      <c r="J151" s="177" t="str" cm="1">
        <f t="array" ref="J151">Common_InputFunctions.Utility_DisplayArrayInTable(Fertiliser_SourceData.Fertiliser_Products_Data3(), FertiliserProducts[[#Headers],[Company]],61)</f>
        <v/>
      </c>
      <c r="K151" s="177" cm="1">
        <f t="array" ref="K151">Common_InputFunctions.Utility_DisplayArrayInTable(Fertiliser_SourceData.Fertiliser_Products_Data3(), FertiliserProducts[[#Headers],[Company]],61)</f>
        <v>7.5</v>
      </c>
      <c r="L151" s="177" t="str" cm="1">
        <f t="array" ref="L151">Common_InputFunctions.Utility_DisplayArrayInTable(Fertiliser_SourceData.Fertiliser_Products_Data3(), FertiliserProducts[[#Headers],[Company]],61)</f>
        <v/>
      </c>
      <c r="M151" s="177" cm="1">
        <f t="array" ref="M151">Common_InputFunctions.Utility_DisplayArrayInTable(Fertiliser_SourceData.Fertiliser_Products_Data3(), FertiliserProducts[[#Headers],[Company]],61)</f>
        <v>29.9</v>
      </c>
      <c r="N151" s="177" cm="1">
        <f t="array" ref="N151">Common_InputFunctions.Utility_DisplayArrayInTable(Fertiliser_SourceData.Fertiliser_Products_Data3(), FertiliserProducts[[#Headers],[Company]],61)</f>
        <v>4</v>
      </c>
      <c r="O151" s="177" t="str" cm="1">
        <f t="array" ref="O151">Common_InputFunctions.Utility_DisplayArrayInTable(Fertiliser_SourceData.Fertiliser_Products_Data3(), FertiliserProducts[[#Headers],[Company]],61)</f>
        <v>Potassium - Generic</v>
      </c>
      <c r="P151" s="177" cm="1">
        <f t="array" ref="P151">Common_InputFunctions.Utility_DisplayArrayInTable(Fertiliser_SourceData.Fertiliser_Products_Data3(), FertiliserProducts[[#Headers],[Company]],61)</f>
        <v>0.29899999999999999</v>
      </c>
      <c r="Q151" s="177" t="str" cm="1">
        <f t="array" ref="Q151">Common_InputFunctions.Utility_DisplayArrayInTable(Fertiliser_SourceData.Fertiliser_Products_Data3(), FertiliserProducts[[#Headers],[Company]],61)</f>
        <v>Nitrogen - Nitrate</v>
      </c>
      <c r="R151" s="177" cm="1">
        <f t="array" ref="R151">Common_InputFunctions.Utility_DisplayArrayInTable(Fertiliser_SourceData.Fertiliser_Products_Data3(), FertiliserProducts[[#Headers],[Company]],61)</f>
        <v>5.1999999999999998E-2</v>
      </c>
      <c r="S151" s="177" t="str" cm="1">
        <f t="array" ref="S151">Common_InputFunctions.Utility_DisplayArrayInTable(Fertiliser_SourceData.Fertiliser_Products_Data3(), FertiliserProducts[[#Headers],[Company]],61)</f>
        <v>Sulfur - Generic</v>
      </c>
      <c r="T151" s="177" cm="1">
        <f t="array" ref="T151">Common_InputFunctions.Utility_DisplayArrayInTable(Fertiliser_SourceData.Fertiliser_Products_Data3(), FertiliserProducts[[#Headers],[Company]],61)</f>
        <v>0.04</v>
      </c>
      <c r="U151" s="177" t="str" cm="1">
        <f t="array" ref="U151">Common_InputFunctions.Utility_DisplayArrayInTable(Fertiliser_SourceData.Fertiliser_Products_Data3(), FertiliserProducts[[#Headers],[Company]],61)</f>
        <v>Magnesium</v>
      </c>
      <c r="V151" s="177" cm="1">
        <f t="array" ref="V151">Common_InputFunctions.Utility_DisplayArrayInTable(Fertiliser_SourceData.Fertiliser_Products_Data3(), FertiliserProducts[[#Headers],[Company]],61)</f>
        <v>2.7E-2</v>
      </c>
      <c r="W151" s="177" t="str" cm="1">
        <f t="array" ref="W151">Common_InputFunctions.Utility_DisplayArrayInTable(Fertiliser_SourceData.Fertiliser_Products_Data3(), FertiliserProducts[[#Headers],[Company]],61)</f>
        <v>Nitrogen - Ammoniacal</v>
      </c>
      <c r="X151" s="177" cm="1">
        <f t="array" ref="X151">Common_InputFunctions.Utility_DisplayArrayInTable(Fertiliser_SourceData.Fertiliser_Products_Data3(), FertiliserProducts[[#Headers],[Company]],61)</f>
        <v>2.3E-2</v>
      </c>
      <c r="Y151" s="177" t="str" cm="1">
        <f t="array" ref="Y151">Common_InputFunctions.Utility_DisplayArrayInTable(Fertiliser_SourceData.Fertiliser_Products_Data3(), FertiliserProducts[[#Headers],[Company]],61)</f>
        <v/>
      </c>
      <c r="Z151" s="177" t="str" cm="1">
        <f t="array" ref="Z151">Common_InputFunctions.Utility_DisplayArrayInTable(Fertiliser_SourceData.Fertiliser_Products_Data3(), FertiliserProducts[[#Headers],[Company]],61)</f>
        <v/>
      </c>
      <c r="AA151" s="177" t="str" cm="1">
        <f t="array" ref="AA151">Common_InputFunctions.Utility_DisplayArrayInTable(Fertiliser_SourceData.Fertiliser_Products_Data3(), FertiliserProducts[[#Headers],[Company]],61)</f>
        <v/>
      </c>
      <c r="AB151" s="177" t="str" cm="1">
        <f t="array" ref="AB151">Common_InputFunctions.Utility_DisplayArrayInTable(Fertiliser_SourceData.Fertiliser_Products_Data3(), FertiliserProducts[[#Headers],[Company]],61)</f>
        <v/>
      </c>
      <c r="AC151" s="177" t="str" cm="1">
        <f t="array" ref="AC151">Common_InputFunctions.Utility_DisplayArrayInTable(Fertiliser_SourceData.Fertiliser_Products_Data3(), FertiliserProducts[[#Headers],[Company]],61)</f>
        <v/>
      </c>
      <c r="AD151" s="177" t="str" cm="1">
        <f t="array" ref="AD151">Common_InputFunctions.Utility_DisplayArrayInTable(Fertiliser_SourceData.Fertiliser_Products_Data3(), FertiliserProducts[[#Headers],[Company]],61)</f>
        <v/>
      </c>
      <c r="AE151" s="177" t="str" cm="1">
        <f t="array" ref="AE151">Common_InputFunctions.Utility_DisplayArrayInTable(Fertiliser_SourceData.Fertiliser_Products_Data3(), FertiliserProducts[[#Headers],[Company]],61)</f>
        <v/>
      </c>
      <c r="AF151" s="177" t="str" cm="1">
        <f t="array" ref="AF151">Common_InputFunctions.Utility_DisplayArrayInTable(Fertiliser_SourceData.Fertiliser_Products_Data3(), FertiliserProducts[[#Headers],[Company]],61)</f>
        <v/>
      </c>
      <c r="AG151" s="177" t="str" cm="1">
        <f t="array" ref="AG151">Common_InputFunctions.Utility_DisplayArrayInTable(Fertiliser_SourceData.Fertiliser_Products_Data3(), FertiliserProducts[[#Headers],[Company]],61)</f>
        <v/>
      </c>
      <c r="AH151" s="177" t="str" cm="1">
        <f t="array" ref="AH151">Common_InputFunctions.Utility_DisplayArrayInTable(Fertiliser_SourceData.Fertiliser_Products_Data3(), FertiliserProducts[[#Headers],[Company]],61)</f>
        <v/>
      </c>
      <c r="AK151" s="1"/>
      <c r="AL151" s="1"/>
      <c r="AM151" s="1"/>
    </row>
    <row r="152" spans="4:39" ht="20" customHeight="1" x14ac:dyDescent="0.25">
      <c r="D152" s="177" t="str" cm="1">
        <f t="array" ref="D152">Common_InputFunctions.Utility_DisplayArrayInTable(Fertiliser_SourceData.Fertiliser_Products_Data3(), FertiliserProducts[[#Headers],[Company]],61)</f>
        <v>Campbells fertilisers Australia</v>
      </c>
      <c r="E152" s="177" t="str" cm="1">
        <f t="array" ref="E152">Common_InputFunctions.Utility_DisplayArrayInTable(Fertiliser_SourceData.Fertiliser_Products_Data3(), FertiliserProducts[[#Headers],[Company]],61)</f>
        <v>Solu-MAP</v>
      </c>
      <c r="F152" s="177" t="str" cm="1">
        <f t="array" ref="F152">Common_InputFunctions.Utility_DisplayArrayInTable(Fertiliser_SourceData.Fertiliser_Products_Data3(), FertiliserProducts[[#Headers],[Company]],61)</f>
        <v>kg</v>
      </c>
      <c r="G152" s="177" cm="1">
        <f t="array" ref="G152">Common_InputFunctions.Utility_DisplayArrayInTable(Fertiliser_SourceData.Fertiliser_Products_Data3(), FertiliserProducts[[#Headers],[Company]],61)</f>
        <v>1</v>
      </c>
      <c r="H152" s="177" t="str" cm="1">
        <f t="array" ref="H152">Common_InputFunctions.Utility_DisplayArrayInTable(Fertiliser_SourceData.Fertiliser_Products_Data3(), FertiliserProducts[[#Headers],[Company]],61)</f>
        <v/>
      </c>
      <c r="I152" s="177" t="str" cm="1">
        <f t="array" ref="I152">Common_InputFunctions.Utility_DisplayArrayInTable(Fertiliser_SourceData.Fertiliser_Products_Data3(), FertiliserProducts[[#Headers],[Company]],61)</f>
        <v/>
      </c>
      <c r="J152" s="177" t="str" cm="1">
        <f t="array" ref="J152">Common_InputFunctions.Utility_DisplayArrayInTable(Fertiliser_SourceData.Fertiliser_Products_Data3(), FertiliserProducts[[#Headers],[Company]],61)</f>
        <v/>
      </c>
      <c r="K152" s="177" cm="1">
        <f t="array" ref="K152">Common_InputFunctions.Utility_DisplayArrayInTable(Fertiliser_SourceData.Fertiliser_Products_Data3(), FertiliserProducts[[#Headers],[Company]],61)</f>
        <v>10</v>
      </c>
      <c r="L152" s="177" cm="1">
        <f t="array" ref="L152">Common_InputFunctions.Utility_DisplayArrayInTable(Fertiliser_SourceData.Fertiliser_Products_Data3(), FertiliserProducts[[#Headers],[Company]],61)</f>
        <v>21.9</v>
      </c>
      <c r="M152" s="177" t="str" cm="1">
        <f t="array" ref="M152">Common_InputFunctions.Utility_DisplayArrayInTable(Fertiliser_SourceData.Fertiliser_Products_Data3(), FertiliserProducts[[#Headers],[Company]],61)</f>
        <v/>
      </c>
      <c r="N152" s="177" t="str" cm="1">
        <f t="array" ref="N152">Common_InputFunctions.Utility_DisplayArrayInTable(Fertiliser_SourceData.Fertiliser_Products_Data3(), FertiliserProducts[[#Headers],[Company]],61)</f>
        <v/>
      </c>
      <c r="O152" s="177" t="str" cm="1">
        <f t="array" ref="O152">Common_InputFunctions.Utility_DisplayArrayInTable(Fertiliser_SourceData.Fertiliser_Products_Data3(), FertiliserProducts[[#Headers],[Company]],61)</f>
        <v>Monoammonium phosphate (MAP)</v>
      </c>
      <c r="P152" s="177" cm="1">
        <f t="array" ref="P152">Common_InputFunctions.Utility_DisplayArrayInTable(Fertiliser_SourceData.Fertiliser_Products_Data3(), FertiliserProducts[[#Headers],[Company]],61)</f>
        <v>1</v>
      </c>
      <c r="Q152" s="177" t="str" cm="1">
        <f t="array" ref="Q152">Common_InputFunctions.Utility_DisplayArrayInTable(Fertiliser_SourceData.Fertiliser_Products_Data3(), FertiliserProducts[[#Headers],[Company]],61)</f>
        <v/>
      </c>
      <c r="R152" s="177" t="str" cm="1">
        <f t="array" ref="R152">Common_InputFunctions.Utility_DisplayArrayInTable(Fertiliser_SourceData.Fertiliser_Products_Data3(), FertiliserProducts[[#Headers],[Company]],61)</f>
        <v/>
      </c>
      <c r="S152" s="177" t="str" cm="1">
        <f t="array" ref="S152">Common_InputFunctions.Utility_DisplayArrayInTable(Fertiliser_SourceData.Fertiliser_Products_Data3(), FertiliserProducts[[#Headers],[Company]],61)</f>
        <v/>
      </c>
      <c r="T152" s="177" t="str" cm="1">
        <f t="array" ref="T152">Common_InputFunctions.Utility_DisplayArrayInTable(Fertiliser_SourceData.Fertiliser_Products_Data3(), FertiliserProducts[[#Headers],[Company]],61)</f>
        <v/>
      </c>
      <c r="U152" s="177" t="str" cm="1">
        <f t="array" ref="U152">Common_InputFunctions.Utility_DisplayArrayInTable(Fertiliser_SourceData.Fertiliser_Products_Data3(), FertiliserProducts[[#Headers],[Company]],61)</f>
        <v/>
      </c>
      <c r="V152" s="177" t="str" cm="1">
        <f t="array" ref="V152">Common_InputFunctions.Utility_DisplayArrayInTable(Fertiliser_SourceData.Fertiliser_Products_Data3(), FertiliserProducts[[#Headers],[Company]],61)</f>
        <v/>
      </c>
      <c r="W152" s="177" t="str" cm="1">
        <f t="array" ref="W152">Common_InputFunctions.Utility_DisplayArrayInTable(Fertiliser_SourceData.Fertiliser_Products_Data3(), FertiliserProducts[[#Headers],[Company]],61)</f>
        <v/>
      </c>
      <c r="X152" s="177" t="str" cm="1">
        <f t="array" ref="X152">Common_InputFunctions.Utility_DisplayArrayInTable(Fertiliser_SourceData.Fertiliser_Products_Data3(), FertiliserProducts[[#Headers],[Company]],61)</f>
        <v/>
      </c>
      <c r="Y152" s="177" t="str" cm="1">
        <f t="array" ref="Y152">Common_InputFunctions.Utility_DisplayArrayInTable(Fertiliser_SourceData.Fertiliser_Products_Data3(), FertiliserProducts[[#Headers],[Company]],61)</f>
        <v/>
      </c>
      <c r="Z152" s="177" t="str" cm="1">
        <f t="array" ref="Z152">Common_InputFunctions.Utility_DisplayArrayInTable(Fertiliser_SourceData.Fertiliser_Products_Data3(), FertiliserProducts[[#Headers],[Company]],61)</f>
        <v/>
      </c>
      <c r="AA152" s="177" t="str" cm="1">
        <f t="array" ref="AA152">Common_InputFunctions.Utility_DisplayArrayInTable(Fertiliser_SourceData.Fertiliser_Products_Data3(), FertiliserProducts[[#Headers],[Company]],61)</f>
        <v/>
      </c>
      <c r="AB152" s="177" t="str" cm="1">
        <f t="array" ref="AB152">Common_InputFunctions.Utility_DisplayArrayInTable(Fertiliser_SourceData.Fertiliser_Products_Data3(), FertiliserProducts[[#Headers],[Company]],61)</f>
        <v/>
      </c>
      <c r="AC152" s="177" t="str" cm="1">
        <f t="array" ref="AC152">Common_InputFunctions.Utility_DisplayArrayInTable(Fertiliser_SourceData.Fertiliser_Products_Data3(), FertiliserProducts[[#Headers],[Company]],61)</f>
        <v/>
      </c>
      <c r="AD152" s="177" t="str" cm="1">
        <f t="array" ref="AD152">Common_InputFunctions.Utility_DisplayArrayInTable(Fertiliser_SourceData.Fertiliser_Products_Data3(), FertiliserProducts[[#Headers],[Company]],61)</f>
        <v/>
      </c>
      <c r="AE152" s="177" t="str" cm="1">
        <f t="array" ref="AE152">Common_InputFunctions.Utility_DisplayArrayInTable(Fertiliser_SourceData.Fertiliser_Products_Data3(), FertiliserProducts[[#Headers],[Company]],61)</f>
        <v/>
      </c>
      <c r="AF152" s="177" t="str" cm="1">
        <f t="array" ref="AF152">Common_InputFunctions.Utility_DisplayArrayInTable(Fertiliser_SourceData.Fertiliser_Products_Data3(), FertiliserProducts[[#Headers],[Company]],61)</f>
        <v/>
      </c>
      <c r="AG152" s="177" t="str" cm="1">
        <f t="array" ref="AG152">Common_InputFunctions.Utility_DisplayArrayInTable(Fertiliser_SourceData.Fertiliser_Products_Data3(), FertiliserProducts[[#Headers],[Company]],61)</f>
        <v/>
      </c>
      <c r="AH152" s="177" t="str" cm="1">
        <f t="array" ref="AH152">Common_InputFunctions.Utility_DisplayArrayInTable(Fertiliser_SourceData.Fertiliser_Products_Data3(), FertiliserProducts[[#Headers],[Company]],61)</f>
        <v/>
      </c>
      <c r="AK152" s="1"/>
      <c r="AL152" s="1"/>
      <c r="AM152" s="1"/>
    </row>
    <row r="153" spans="4:39" ht="20" customHeight="1" x14ac:dyDescent="0.25">
      <c r="D153" s="177" t="str" cm="1">
        <f t="array" ref="D153">Common_InputFunctions.Utility_DisplayArrayInTable(Fertiliser_SourceData.Fertiliser_Products_Data3(), FertiliserProducts[[#Headers],[Company]],61)</f>
        <v>Campbells fertilisers Australia</v>
      </c>
      <c r="E153" s="177" t="str" cm="1">
        <f t="array" ref="E153">Common_InputFunctions.Utility_DisplayArrayInTable(Fertiliser_SourceData.Fertiliser_Products_Data3(), FertiliserProducts[[#Headers],[Company]],61)</f>
        <v>Solu-Sam</v>
      </c>
      <c r="F153" s="177" t="str" cm="1">
        <f t="array" ref="F153">Common_InputFunctions.Utility_DisplayArrayInTable(Fertiliser_SourceData.Fertiliser_Products_Data3(), FertiliserProducts[[#Headers],[Company]],61)</f>
        <v>kg</v>
      </c>
      <c r="G153" s="177" cm="1">
        <f t="array" ref="G153">Common_InputFunctions.Utility_DisplayArrayInTable(Fertiliser_SourceData.Fertiliser_Products_Data3(), FertiliserProducts[[#Headers],[Company]],61)</f>
        <v>1</v>
      </c>
      <c r="H153" s="177" t="str" cm="1">
        <f t="array" ref="H153">Common_InputFunctions.Utility_DisplayArrayInTable(Fertiliser_SourceData.Fertiliser_Products_Data3(), FertiliserProducts[[#Headers],[Company]],61)</f>
        <v/>
      </c>
      <c r="I153" s="177" t="str" cm="1">
        <f t="array" ref="I153">Common_InputFunctions.Utility_DisplayArrayInTable(Fertiliser_SourceData.Fertiliser_Products_Data3(), FertiliserProducts[[#Headers],[Company]],61)</f>
        <v/>
      </c>
      <c r="J153" s="177" t="str" cm="1">
        <f t="array" ref="J153">Common_InputFunctions.Utility_DisplayArrayInTable(Fertiliser_SourceData.Fertiliser_Products_Data3(), FertiliserProducts[[#Headers],[Company]],61)</f>
        <v/>
      </c>
      <c r="K153" s="177" cm="1">
        <f t="array" ref="K153">Common_InputFunctions.Utility_DisplayArrayInTable(Fertiliser_SourceData.Fertiliser_Products_Data3(), FertiliserProducts[[#Headers],[Company]],61)</f>
        <v>21</v>
      </c>
      <c r="L153" s="177" t="str" cm="1">
        <f t="array" ref="L153">Common_InputFunctions.Utility_DisplayArrayInTable(Fertiliser_SourceData.Fertiliser_Products_Data3(), FertiliserProducts[[#Headers],[Company]],61)</f>
        <v/>
      </c>
      <c r="M153" s="177" t="str" cm="1">
        <f t="array" ref="M153">Common_InputFunctions.Utility_DisplayArrayInTable(Fertiliser_SourceData.Fertiliser_Products_Data3(), FertiliserProducts[[#Headers],[Company]],61)</f>
        <v/>
      </c>
      <c r="N153" s="177" cm="1">
        <f t="array" ref="N153">Common_InputFunctions.Utility_DisplayArrayInTable(Fertiliser_SourceData.Fertiliser_Products_Data3(), FertiliserProducts[[#Headers],[Company]],61)</f>
        <v>24</v>
      </c>
      <c r="O153" s="177" t="str" cm="1">
        <f t="array" ref="O153">Common_InputFunctions.Utility_DisplayArrayInTable(Fertiliser_SourceData.Fertiliser_Products_Data3(), FertiliserProducts[[#Headers],[Company]],61)</f>
        <v>Sulphate of ammonia (SOA)</v>
      </c>
      <c r="P153" s="177" cm="1">
        <f t="array" ref="P153">Common_InputFunctions.Utility_DisplayArrayInTable(Fertiliser_SourceData.Fertiliser_Products_Data3(), FertiliserProducts[[#Headers],[Company]],61)</f>
        <v>1</v>
      </c>
      <c r="Q153" s="177" t="str" cm="1">
        <f t="array" ref="Q153">Common_InputFunctions.Utility_DisplayArrayInTable(Fertiliser_SourceData.Fertiliser_Products_Data3(), FertiliserProducts[[#Headers],[Company]],61)</f>
        <v/>
      </c>
      <c r="R153" s="177" t="str" cm="1">
        <f t="array" ref="R153">Common_InputFunctions.Utility_DisplayArrayInTable(Fertiliser_SourceData.Fertiliser_Products_Data3(), FertiliserProducts[[#Headers],[Company]],61)</f>
        <v/>
      </c>
      <c r="S153" s="177" t="str" cm="1">
        <f t="array" ref="S153">Common_InputFunctions.Utility_DisplayArrayInTable(Fertiliser_SourceData.Fertiliser_Products_Data3(), FertiliserProducts[[#Headers],[Company]],61)</f>
        <v/>
      </c>
      <c r="T153" s="177" t="str" cm="1">
        <f t="array" ref="T153">Common_InputFunctions.Utility_DisplayArrayInTable(Fertiliser_SourceData.Fertiliser_Products_Data3(), FertiliserProducts[[#Headers],[Company]],61)</f>
        <v/>
      </c>
      <c r="U153" s="177" t="str" cm="1">
        <f t="array" ref="U153">Common_InputFunctions.Utility_DisplayArrayInTable(Fertiliser_SourceData.Fertiliser_Products_Data3(), FertiliserProducts[[#Headers],[Company]],61)</f>
        <v/>
      </c>
      <c r="V153" s="177" t="str" cm="1">
        <f t="array" ref="V153">Common_InputFunctions.Utility_DisplayArrayInTable(Fertiliser_SourceData.Fertiliser_Products_Data3(), FertiliserProducts[[#Headers],[Company]],61)</f>
        <v/>
      </c>
      <c r="W153" s="177" t="str" cm="1">
        <f t="array" ref="W153">Common_InputFunctions.Utility_DisplayArrayInTable(Fertiliser_SourceData.Fertiliser_Products_Data3(), FertiliserProducts[[#Headers],[Company]],61)</f>
        <v/>
      </c>
      <c r="X153" s="177" t="str" cm="1">
        <f t="array" ref="X153">Common_InputFunctions.Utility_DisplayArrayInTable(Fertiliser_SourceData.Fertiliser_Products_Data3(), FertiliserProducts[[#Headers],[Company]],61)</f>
        <v/>
      </c>
      <c r="Y153" s="177" t="str" cm="1">
        <f t="array" ref="Y153">Common_InputFunctions.Utility_DisplayArrayInTable(Fertiliser_SourceData.Fertiliser_Products_Data3(), FertiliserProducts[[#Headers],[Company]],61)</f>
        <v/>
      </c>
      <c r="Z153" s="177" t="str" cm="1">
        <f t="array" ref="Z153">Common_InputFunctions.Utility_DisplayArrayInTable(Fertiliser_SourceData.Fertiliser_Products_Data3(), FertiliserProducts[[#Headers],[Company]],61)</f>
        <v/>
      </c>
      <c r="AA153" s="177" t="str" cm="1">
        <f t="array" ref="AA153">Common_InputFunctions.Utility_DisplayArrayInTable(Fertiliser_SourceData.Fertiliser_Products_Data3(), FertiliserProducts[[#Headers],[Company]],61)</f>
        <v/>
      </c>
      <c r="AB153" s="177" t="str" cm="1">
        <f t="array" ref="AB153">Common_InputFunctions.Utility_DisplayArrayInTable(Fertiliser_SourceData.Fertiliser_Products_Data3(), FertiliserProducts[[#Headers],[Company]],61)</f>
        <v/>
      </c>
      <c r="AC153" s="177" t="str" cm="1">
        <f t="array" ref="AC153">Common_InputFunctions.Utility_DisplayArrayInTable(Fertiliser_SourceData.Fertiliser_Products_Data3(), FertiliserProducts[[#Headers],[Company]],61)</f>
        <v/>
      </c>
      <c r="AD153" s="177" t="str" cm="1">
        <f t="array" ref="AD153">Common_InputFunctions.Utility_DisplayArrayInTable(Fertiliser_SourceData.Fertiliser_Products_Data3(), FertiliserProducts[[#Headers],[Company]],61)</f>
        <v/>
      </c>
      <c r="AE153" s="177" t="str" cm="1">
        <f t="array" ref="AE153">Common_InputFunctions.Utility_DisplayArrayInTable(Fertiliser_SourceData.Fertiliser_Products_Data3(), FertiliserProducts[[#Headers],[Company]],61)</f>
        <v/>
      </c>
      <c r="AF153" s="177" t="str" cm="1">
        <f t="array" ref="AF153">Common_InputFunctions.Utility_DisplayArrayInTable(Fertiliser_SourceData.Fertiliser_Products_Data3(), FertiliserProducts[[#Headers],[Company]],61)</f>
        <v/>
      </c>
      <c r="AG153" s="177" t="str" cm="1">
        <f t="array" ref="AG153">Common_InputFunctions.Utility_DisplayArrayInTable(Fertiliser_SourceData.Fertiliser_Products_Data3(), FertiliserProducts[[#Headers],[Company]],61)</f>
        <v/>
      </c>
      <c r="AH153" s="177" t="str" cm="1">
        <f t="array" ref="AH153">Common_InputFunctions.Utility_DisplayArrayInTable(Fertiliser_SourceData.Fertiliser_Products_Data3(), FertiliserProducts[[#Headers],[Company]],61)</f>
        <v/>
      </c>
      <c r="AK153" s="1"/>
      <c r="AL153" s="1"/>
      <c r="AM153" s="1"/>
    </row>
    <row r="154" spans="4:39" ht="20" customHeight="1" x14ac:dyDescent="0.25">
      <c r="D154" s="177" t="str" cm="1">
        <f t="array" ref="D154">Common_InputFunctions.Utility_DisplayArrayInTable(Fertiliser_SourceData.Fertiliser_Products_Data3(), FertiliserProducts[[#Headers],[Company]],61)</f>
        <v>Campbells fertilisers Australia</v>
      </c>
      <c r="E154" s="177" t="str" cm="1">
        <f t="array" ref="E154">Common_InputFunctions.Utility_DisplayArrayInTable(Fertiliser_SourceData.Fertiliser_Products_Data3(), FertiliserProducts[[#Headers],[Company]],61)</f>
        <v>Rustica Plus</v>
      </c>
      <c r="F154" s="177" t="str" cm="1">
        <f t="array" ref="F154">Common_InputFunctions.Utility_DisplayArrayInTable(Fertiliser_SourceData.Fertiliser_Products_Data3(), FertiliserProducts[[#Headers],[Company]],61)</f>
        <v>kg</v>
      </c>
      <c r="G154" s="177" cm="1">
        <f t="array" ref="G154">Common_InputFunctions.Utility_DisplayArrayInTable(Fertiliser_SourceData.Fertiliser_Products_Data3(), FertiliserProducts[[#Headers],[Company]],61)</f>
        <v>1</v>
      </c>
      <c r="H154" s="177" t="str" cm="1">
        <f t="array" ref="H154">Common_InputFunctions.Utility_DisplayArrayInTable(Fertiliser_SourceData.Fertiliser_Products_Data3(), FertiliserProducts[[#Headers],[Company]],61)</f>
        <v/>
      </c>
      <c r="I154" s="177" t="str" cm="1">
        <f t="array" ref="I154">Common_InputFunctions.Utility_DisplayArrayInTable(Fertiliser_SourceData.Fertiliser_Products_Data3(), FertiliserProducts[[#Headers],[Company]],61)</f>
        <v/>
      </c>
      <c r="J154" s="177" t="str" cm="1">
        <f t="array" ref="J154">Common_InputFunctions.Utility_DisplayArrayInTable(Fertiliser_SourceData.Fertiliser_Products_Data3(), FertiliserProducts[[#Headers],[Company]],61)</f>
        <v/>
      </c>
      <c r="K154" s="177" cm="1">
        <f t="array" ref="K154">Common_InputFunctions.Utility_DisplayArrayInTable(Fertiliser_SourceData.Fertiliser_Products_Data3(), FertiliserProducts[[#Headers],[Company]],61)</f>
        <v>12</v>
      </c>
      <c r="L154" s="177" cm="1">
        <f t="array" ref="L154">Common_InputFunctions.Utility_DisplayArrayInTable(Fertiliser_SourceData.Fertiliser_Products_Data3(), FertiliserProducts[[#Headers],[Company]],61)</f>
        <v>5</v>
      </c>
      <c r="M154" s="177" cm="1">
        <f t="array" ref="M154">Common_InputFunctions.Utility_DisplayArrayInTable(Fertiliser_SourceData.Fertiliser_Products_Data3(), FertiliserProducts[[#Headers],[Company]],61)</f>
        <v>14</v>
      </c>
      <c r="N154" s="177" cm="1">
        <f t="array" ref="N154">Common_InputFunctions.Utility_DisplayArrayInTable(Fertiliser_SourceData.Fertiliser_Products_Data3(), FertiliserProducts[[#Headers],[Company]],61)</f>
        <v>9.6999999999999993</v>
      </c>
      <c r="O154" s="177" t="str" cm="1">
        <f t="array" ref="O154">Common_InputFunctions.Utility_DisplayArrayInTable(Fertiliser_SourceData.Fertiliser_Products_Data3(), FertiliserProducts[[#Headers],[Company]],61)</f>
        <v>Potassium - Generic</v>
      </c>
      <c r="P154" s="177" cm="1">
        <f t="array" ref="P154">Common_InputFunctions.Utility_DisplayArrayInTable(Fertiliser_SourceData.Fertiliser_Products_Data3(), FertiliserProducts[[#Headers],[Company]],61)</f>
        <v>0.14000000000000001</v>
      </c>
      <c r="Q154" s="177" t="str" cm="1">
        <f t="array" ref="Q154">Common_InputFunctions.Utility_DisplayArrayInTable(Fertiliser_SourceData.Fertiliser_Products_Data3(), FertiliserProducts[[#Headers],[Company]],61)</f>
        <v>Sulfur - Generic</v>
      </c>
      <c r="R154" s="177" cm="1">
        <f t="array" ref="R154">Common_InputFunctions.Utility_DisplayArrayInTable(Fertiliser_SourceData.Fertiliser_Products_Data3(), FertiliserProducts[[#Headers],[Company]],61)</f>
        <v>9.7000000000000003E-2</v>
      </c>
      <c r="S154" s="177" t="str" cm="1">
        <f t="array" ref="S154">Common_InputFunctions.Utility_DisplayArrayInTable(Fertiliser_SourceData.Fertiliser_Products_Data3(), FertiliserProducts[[#Headers],[Company]],61)</f>
        <v>Nitrogen - Nitrate</v>
      </c>
      <c r="T154" s="177" cm="1">
        <f t="array" ref="T154">Common_InputFunctions.Utility_DisplayArrayInTable(Fertiliser_SourceData.Fertiliser_Products_Data3(), FertiliserProducts[[#Headers],[Company]],61)</f>
        <v>0.06</v>
      </c>
      <c r="U154" s="177" t="str" cm="1">
        <f t="array" ref="U154">Common_InputFunctions.Utility_DisplayArrayInTable(Fertiliser_SourceData.Fertiliser_Products_Data3(), FertiliserProducts[[#Headers],[Company]],61)</f>
        <v>Nitrogen - Ammoniacal</v>
      </c>
      <c r="V154" s="177" cm="1">
        <f t="array" ref="V154">Common_InputFunctions.Utility_DisplayArrayInTable(Fertiliser_SourceData.Fertiliser_Products_Data3(), FertiliserProducts[[#Headers],[Company]],61)</f>
        <v>0.06</v>
      </c>
      <c r="W154" s="177" t="str" cm="1">
        <f t="array" ref="W154">Common_InputFunctions.Utility_DisplayArrayInTable(Fertiliser_SourceData.Fertiliser_Products_Data3(), FertiliserProducts[[#Headers],[Company]],61)</f>
        <v>Phosphorus - Generic</v>
      </c>
      <c r="X154" s="177" cm="1">
        <f t="array" ref="X154">Common_InputFunctions.Utility_DisplayArrayInTable(Fertiliser_SourceData.Fertiliser_Products_Data3(), FertiliserProducts[[#Headers],[Company]],61)</f>
        <v>0.05</v>
      </c>
      <c r="Y154" s="177" t="str" cm="1">
        <f t="array" ref="Y154">Common_InputFunctions.Utility_DisplayArrayInTable(Fertiliser_SourceData.Fertiliser_Products_Data3(), FertiliserProducts[[#Headers],[Company]],61)</f>
        <v>Calcium</v>
      </c>
      <c r="Z154" s="177" cm="1">
        <f t="array" ref="Z154">Common_InputFunctions.Utility_DisplayArrayInTable(Fertiliser_SourceData.Fertiliser_Products_Data3(), FertiliserProducts[[#Headers],[Company]],61)</f>
        <v>3.1E-2</v>
      </c>
      <c r="AA154" s="177" t="str" cm="1">
        <f t="array" ref="AA154">Common_InputFunctions.Utility_DisplayArrayInTable(Fertiliser_SourceData.Fertiliser_Products_Data3(), FertiliserProducts[[#Headers],[Company]],61)</f>
        <v>Magnesium</v>
      </c>
      <c r="AB154" s="177" cm="1">
        <f t="array" ref="AB154">Common_InputFunctions.Utility_DisplayArrayInTable(Fertiliser_SourceData.Fertiliser_Products_Data3(), FertiliserProducts[[#Headers],[Company]],61)</f>
        <v>1.2E-2</v>
      </c>
      <c r="AC154" s="177" t="str" cm="1">
        <f t="array" ref="AC154">Common_InputFunctions.Utility_DisplayArrayInTable(Fertiliser_SourceData.Fertiliser_Products_Data3(), FertiliserProducts[[#Headers],[Company]],61)</f>
        <v>Zinc</v>
      </c>
      <c r="AD154" s="177" cm="1">
        <f t="array" ref="AD154">Common_InputFunctions.Utility_DisplayArrayInTable(Fertiliser_SourceData.Fertiliser_Products_Data3(), FertiliserProducts[[#Headers],[Company]],61)</f>
        <v>1E-3</v>
      </c>
      <c r="AE154" s="177" t="str" cm="1">
        <f t="array" ref="AE154">Common_InputFunctions.Utility_DisplayArrayInTable(Fertiliser_SourceData.Fertiliser_Products_Data3(), FertiliserProducts[[#Headers],[Company]],61)</f>
        <v>Boron</v>
      </c>
      <c r="AF154" s="177" cm="1">
        <f t="array" ref="AF154">Common_InputFunctions.Utility_DisplayArrayInTable(Fertiliser_SourceData.Fertiliser_Products_Data3(), FertiliserProducts[[#Headers],[Company]],61)</f>
        <v>2.0000000000000001E-4</v>
      </c>
      <c r="AG154" s="177" t="str" cm="1">
        <f t="array" ref="AG154">Common_InputFunctions.Utility_DisplayArrayInTable(Fertiliser_SourceData.Fertiliser_Products_Data3(), FertiliserProducts[[#Headers],[Company]],61)</f>
        <v/>
      </c>
      <c r="AH154" s="177" t="str" cm="1">
        <f t="array" ref="AH154">Common_InputFunctions.Utility_DisplayArrayInTable(Fertiliser_SourceData.Fertiliser_Products_Data3(), FertiliserProducts[[#Headers],[Company]],61)</f>
        <v/>
      </c>
      <c r="AK154" s="1"/>
    </row>
    <row r="155" spans="4:39" ht="20" customHeight="1" x14ac:dyDescent="0.25">
      <c r="D155" s="177" t="str" cm="1">
        <f t="array" ref="D155">Common_InputFunctions.Utility_DisplayArrayInTable(Fertiliser_SourceData.Fertiliser_Products_Data3(), FertiliserProducts[[#Headers],[Company]],61)</f>
        <v>Campbells fertilisers Australia</v>
      </c>
      <c r="E155" s="177" t="str" cm="1">
        <f t="array" ref="E155">Common_InputFunctions.Utility_DisplayArrayInTable(Fertiliser_SourceData.Fertiliser_Products_Data3(), FertiliserProducts[[#Headers],[Company]],61)</f>
        <v>Platinum Plus</v>
      </c>
      <c r="F155" s="177" t="str" cm="1">
        <f t="array" ref="F155">Common_InputFunctions.Utility_DisplayArrayInTable(Fertiliser_SourceData.Fertiliser_Products_Data3(), FertiliserProducts[[#Headers],[Company]],61)</f>
        <v>kg</v>
      </c>
      <c r="G155" s="177" cm="1">
        <f t="array" ref="G155">Common_InputFunctions.Utility_DisplayArrayInTable(Fertiliser_SourceData.Fertiliser_Products_Data3(), FertiliserProducts[[#Headers],[Company]],61)</f>
        <v>1</v>
      </c>
      <c r="H155" s="177" t="str" cm="1">
        <f t="array" ref="H155">Common_InputFunctions.Utility_DisplayArrayInTable(Fertiliser_SourceData.Fertiliser_Products_Data3(), FertiliserProducts[[#Headers],[Company]],61)</f>
        <v/>
      </c>
      <c r="I155" s="177" t="str" cm="1">
        <f t="array" ref="I155">Common_InputFunctions.Utility_DisplayArrayInTable(Fertiliser_SourceData.Fertiliser_Products_Data3(), FertiliserProducts[[#Headers],[Company]],61)</f>
        <v/>
      </c>
      <c r="J155" s="177" t="str" cm="1">
        <f t="array" ref="J155">Common_InputFunctions.Utility_DisplayArrayInTable(Fertiliser_SourceData.Fertiliser_Products_Data3(), FertiliserProducts[[#Headers],[Company]],61)</f>
        <v/>
      </c>
      <c r="K155" s="177" cm="1">
        <f t="array" ref="K155">Common_InputFunctions.Utility_DisplayArrayInTable(Fertiliser_SourceData.Fertiliser_Products_Data3(), FertiliserProducts[[#Headers],[Company]],61)</f>
        <v>10</v>
      </c>
      <c r="L155" s="177" cm="1">
        <f t="array" ref="L155">Common_InputFunctions.Utility_DisplayArrayInTable(Fertiliser_SourceData.Fertiliser_Products_Data3(), FertiliserProducts[[#Headers],[Company]],61)</f>
        <v>11</v>
      </c>
      <c r="M155" s="177" cm="1">
        <f t="array" ref="M155">Common_InputFunctions.Utility_DisplayArrayInTable(Fertiliser_SourceData.Fertiliser_Products_Data3(), FertiliserProducts[[#Headers],[Company]],61)</f>
        <v>10</v>
      </c>
      <c r="N155" s="177" cm="1">
        <f t="array" ref="N155">Common_InputFunctions.Utility_DisplayArrayInTable(Fertiliser_SourceData.Fertiliser_Products_Data3(), FertiliserProducts[[#Headers],[Company]],61)</f>
        <v>6</v>
      </c>
      <c r="O155" s="177" t="str" cm="1">
        <f t="array" ref="O155">Common_InputFunctions.Utility_DisplayArrayInTable(Fertiliser_SourceData.Fertiliser_Products_Data3(), FertiliserProducts[[#Headers],[Company]],61)</f>
        <v>Phosphorus - Generic</v>
      </c>
      <c r="P155" s="177" cm="1">
        <f t="array" ref="P155">Common_InputFunctions.Utility_DisplayArrayInTable(Fertiliser_SourceData.Fertiliser_Products_Data3(), FertiliserProducts[[#Headers],[Company]],61)</f>
        <v>0.11</v>
      </c>
      <c r="Q155" s="177" t="str" cm="1">
        <f t="array" ref="Q155">Common_InputFunctions.Utility_DisplayArrayInTable(Fertiliser_SourceData.Fertiliser_Products_Data3(), FertiliserProducts[[#Headers],[Company]],61)</f>
        <v>Potassium - Generic</v>
      </c>
      <c r="R155" s="177" cm="1">
        <f t="array" ref="R155">Common_InputFunctions.Utility_DisplayArrayInTable(Fertiliser_SourceData.Fertiliser_Products_Data3(), FertiliserProducts[[#Headers],[Company]],61)</f>
        <v>0.1</v>
      </c>
      <c r="S155" s="177" t="str" cm="1">
        <f t="array" ref="S155">Common_InputFunctions.Utility_DisplayArrayInTable(Fertiliser_SourceData.Fertiliser_Products_Data3(), FertiliserProducts[[#Headers],[Company]],61)</f>
        <v>Sulfur - Generic</v>
      </c>
      <c r="T155" s="177" cm="1">
        <f t="array" ref="T155">Common_InputFunctions.Utility_DisplayArrayInTable(Fertiliser_SourceData.Fertiliser_Products_Data3(), FertiliserProducts[[#Headers],[Company]],61)</f>
        <v>0.06</v>
      </c>
      <c r="U155" s="177" t="str" cm="1">
        <f t="array" ref="U155">Common_InputFunctions.Utility_DisplayArrayInTable(Fertiliser_SourceData.Fertiliser_Products_Data3(), FertiliserProducts[[#Headers],[Company]],61)</f>
        <v>Nitrogen - Nitrate</v>
      </c>
      <c r="V155" s="177" cm="1">
        <f t="array" ref="V155">Common_InputFunctions.Utility_DisplayArrayInTable(Fertiliser_SourceData.Fertiliser_Products_Data3(), FertiliserProducts[[#Headers],[Company]],61)</f>
        <v>0.05</v>
      </c>
      <c r="W155" s="177" t="str" cm="1">
        <f t="array" ref="W155">Common_InputFunctions.Utility_DisplayArrayInTable(Fertiliser_SourceData.Fertiliser_Products_Data3(), FertiliserProducts[[#Headers],[Company]],61)</f>
        <v>Nitrogen - Ammoniacal</v>
      </c>
      <c r="X155" s="177" cm="1">
        <f t="array" ref="X155">Common_InputFunctions.Utility_DisplayArrayInTable(Fertiliser_SourceData.Fertiliser_Products_Data3(), FertiliserProducts[[#Headers],[Company]],61)</f>
        <v>0.05</v>
      </c>
      <c r="Y155" s="177" t="str" cm="1">
        <f t="array" ref="Y155">Common_InputFunctions.Utility_DisplayArrayInTable(Fertiliser_SourceData.Fertiliser_Products_Data3(), FertiliserProducts[[#Headers],[Company]],61)</f>
        <v>Calcium</v>
      </c>
      <c r="Z155" s="177" cm="1">
        <f t="array" ref="Z155">Common_InputFunctions.Utility_DisplayArrayInTable(Fertiliser_SourceData.Fertiliser_Products_Data3(), FertiliserProducts[[#Headers],[Company]],61)</f>
        <v>4.2999999999999997E-2</v>
      </c>
      <c r="AA155" s="177" t="str" cm="1">
        <f t="array" ref="AA155">Common_InputFunctions.Utility_DisplayArrayInTable(Fertiliser_SourceData.Fertiliser_Products_Data3(), FertiliserProducts[[#Headers],[Company]],61)</f>
        <v>Magnesium</v>
      </c>
      <c r="AB155" s="177" cm="1">
        <f t="array" ref="AB155">Common_InputFunctions.Utility_DisplayArrayInTable(Fertiliser_SourceData.Fertiliser_Products_Data3(), FertiliserProducts[[#Headers],[Company]],61)</f>
        <v>1.2E-2</v>
      </c>
      <c r="AC155" s="177" t="str" cm="1">
        <f t="array" ref="AC155">Common_InputFunctions.Utility_DisplayArrayInTable(Fertiliser_SourceData.Fertiliser_Products_Data3(), FertiliserProducts[[#Headers],[Company]],61)</f>
        <v>Zinc</v>
      </c>
      <c r="AD155" s="177" cm="1">
        <f t="array" ref="AD155">Common_InputFunctions.Utility_DisplayArrayInTable(Fertiliser_SourceData.Fertiliser_Products_Data3(), FertiliserProducts[[#Headers],[Company]],61)</f>
        <v>3.5999999999999999E-3</v>
      </c>
      <c r="AE155" s="177" t="str" cm="1">
        <f t="array" ref="AE155">Common_InputFunctions.Utility_DisplayArrayInTable(Fertiliser_SourceData.Fertiliser_Products_Data3(), FertiliserProducts[[#Headers],[Company]],61)</f>
        <v>Boron</v>
      </c>
      <c r="AF155" s="177" cm="1">
        <f t="array" ref="AF155">Common_InputFunctions.Utility_DisplayArrayInTable(Fertiliser_SourceData.Fertiliser_Products_Data3(), FertiliserProducts[[#Headers],[Company]],61)</f>
        <v>1E-3</v>
      </c>
      <c r="AG155" s="177" t="str" cm="1">
        <f t="array" ref="AG155">Common_InputFunctions.Utility_DisplayArrayInTable(Fertiliser_SourceData.Fertiliser_Products_Data3(), FertiliserProducts[[#Headers],[Company]],61)</f>
        <v/>
      </c>
      <c r="AH155" s="177" t="str" cm="1">
        <f t="array" ref="AH155">Common_InputFunctions.Utility_DisplayArrayInTable(Fertiliser_SourceData.Fertiliser_Products_Data3(), FertiliserProducts[[#Headers],[Company]],61)</f>
        <v/>
      </c>
      <c r="AK155" s="1"/>
    </row>
    <row r="156" spans="4:39" ht="20" customHeight="1" x14ac:dyDescent="0.25">
      <c r="D156" s="177" t="str" cm="1">
        <f t="array" ref="D156">Common_InputFunctions.Utility_DisplayArrayInTable(Fertiliser_SourceData.Fertiliser_Products_Data3(), FertiliserProducts[[#Headers],[Company]],61)</f>
        <v>Campbells fertilisers Australia</v>
      </c>
      <c r="E156" s="177" t="str" cm="1">
        <f t="array" ref="E156">Common_InputFunctions.Utility_DisplayArrayInTable(Fertiliser_SourceData.Fertiliser_Products_Data3(), FertiliserProducts[[#Headers],[Company]],61)</f>
        <v>Tropika</v>
      </c>
      <c r="F156" s="177" t="str" cm="1">
        <f t="array" ref="F156">Common_InputFunctions.Utility_DisplayArrayInTable(Fertiliser_SourceData.Fertiliser_Products_Data3(), FertiliserProducts[[#Headers],[Company]],61)</f>
        <v>kg</v>
      </c>
      <c r="G156" s="177" cm="1">
        <f t="array" ref="G156">Common_InputFunctions.Utility_DisplayArrayInTable(Fertiliser_SourceData.Fertiliser_Products_Data3(), FertiliserProducts[[#Headers],[Company]],61)</f>
        <v>1</v>
      </c>
      <c r="H156" s="177" t="str" cm="1">
        <f t="array" ref="H156">Common_InputFunctions.Utility_DisplayArrayInTable(Fertiliser_SourceData.Fertiliser_Products_Data3(), FertiliserProducts[[#Headers],[Company]],61)</f>
        <v/>
      </c>
      <c r="I156" s="177" t="str" cm="1">
        <f t="array" ref="I156">Common_InputFunctions.Utility_DisplayArrayInTable(Fertiliser_SourceData.Fertiliser_Products_Data3(), FertiliserProducts[[#Headers],[Company]],61)</f>
        <v/>
      </c>
      <c r="J156" s="177" t="str" cm="1">
        <f t="array" ref="J156">Common_InputFunctions.Utility_DisplayArrayInTable(Fertiliser_SourceData.Fertiliser_Products_Data3(), FertiliserProducts[[#Headers],[Company]],61)</f>
        <v/>
      </c>
      <c r="K156" s="177" cm="1">
        <f t="array" ref="K156">Common_InputFunctions.Utility_DisplayArrayInTable(Fertiliser_SourceData.Fertiliser_Products_Data3(), FertiliserProducts[[#Headers],[Company]],61)</f>
        <v>11</v>
      </c>
      <c r="L156" s="177" cm="1">
        <f t="array" ref="L156">Common_InputFunctions.Utility_DisplayArrayInTable(Fertiliser_SourceData.Fertiliser_Products_Data3(), FertiliserProducts[[#Headers],[Company]],61)</f>
        <v>2.6</v>
      </c>
      <c r="M156" s="177" cm="1">
        <f t="array" ref="M156">Common_InputFunctions.Utility_DisplayArrayInTable(Fertiliser_SourceData.Fertiliser_Products_Data3(), FertiliserProducts[[#Headers],[Company]],61)</f>
        <v>20.8</v>
      </c>
      <c r="N156" s="177" cm="1">
        <f t="array" ref="N156">Common_InputFunctions.Utility_DisplayArrayInTable(Fertiliser_SourceData.Fertiliser_Products_Data3(), FertiliserProducts[[#Headers],[Company]],61)</f>
        <v>4</v>
      </c>
      <c r="O156" s="177" t="str" cm="1">
        <f t="array" ref="O156">Common_InputFunctions.Utility_DisplayArrayInTable(Fertiliser_SourceData.Fertiliser_Products_Data3(), FertiliserProducts[[#Headers],[Company]],61)</f>
        <v>Nitrogen - Nitrate</v>
      </c>
      <c r="P156" s="177" cm="1">
        <f t="array" ref="P156">Common_InputFunctions.Utility_DisplayArrayInTable(Fertiliser_SourceData.Fertiliser_Products_Data3(), FertiliserProducts[[#Headers],[Company]],61)</f>
        <v>5.5E-2</v>
      </c>
      <c r="Q156" s="177" t="str" cm="1">
        <f t="array" ref="Q156">Common_InputFunctions.Utility_DisplayArrayInTable(Fertiliser_SourceData.Fertiliser_Products_Data3(), FertiliserProducts[[#Headers],[Company]],61)</f>
        <v>Nitrogen - Ammoniacal</v>
      </c>
      <c r="R156" s="177" cm="1">
        <f t="array" ref="R156">Common_InputFunctions.Utility_DisplayArrayInTable(Fertiliser_SourceData.Fertiliser_Products_Data3(), FertiliserProducts[[#Headers],[Company]],61)</f>
        <v>5.5E-2</v>
      </c>
      <c r="S156" s="177" t="str" cm="1">
        <f t="array" ref="S156">Common_InputFunctions.Utility_DisplayArrayInTable(Fertiliser_SourceData.Fertiliser_Products_Data3(), FertiliserProducts[[#Headers],[Company]],61)</f>
        <v>Phosphorus - Generic</v>
      </c>
      <c r="T156" s="177" cm="1">
        <f t="array" ref="T156">Common_InputFunctions.Utility_DisplayArrayInTable(Fertiliser_SourceData.Fertiliser_Products_Data3(), FertiliserProducts[[#Headers],[Company]],61)</f>
        <v>2.5999999999999999E-2</v>
      </c>
      <c r="U156" s="177" t="str" cm="1">
        <f t="array" ref="U156">Common_InputFunctions.Utility_DisplayArrayInTable(Fertiliser_SourceData.Fertiliser_Products_Data3(), FertiliserProducts[[#Headers],[Company]],61)</f>
        <v>Potassium - Generic</v>
      </c>
      <c r="V156" s="177" cm="1">
        <f t="array" ref="V156">Common_InputFunctions.Utility_DisplayArrayInTable(Fertiliser_SourceData.Fertiliser_Products_Data3(), FertiliserProducts[[#Headers],[Company]],61)</f>
        <v>0.20799999999999999</v>
      </c>
      <c r="W156" s="177" t="str" cm="1">
        <f t="array" ref="W156">Common_InputFunctions.Utility_DisplayArrayInTable(Fertiliser_SourceData.Fertiliser_Products_Data3(), FertiliserProducts[[#Headers],[Company]],61)</f>
        <v>Sulfur - Generic</v>
      </c>
      <c r="X156" s="177" cm="1">
        <f t="array" ref="X156">Common_InputFunctions.Utility_DisplayArrayInTable(Fertiliser_SourceData.Fertiliser_Products_Data3(), FertiliserProducts[[#Headers],[Company]],61)</f>
        <v>0.04</v>
      </c>
      <c r="Y156" s="177" t="str" cm="1">
        <f t="array" ref="Y156">Common_InputFunctions.Utility_DisplayArrayInTable(Fertiliser_SourceData.Fertiliser_Products_Data3(), FertiliserProducts[[#Headers],[Company]],61)</f>
        <v>Magnesium</v>
      </c>
      <c r="Z156" s="177" cm="1">
        <f t="array" ref="Z156">Common_InputFunctions.Utility_DisplayArrayInTable(Fertiliser_SourceData.Fertiliser_Products_Data3(), FertiliserProducts[[#Headers],[Company]],61)</f>
        <v>2.4E-2</v>
      </c>
      <c r="AA156" s="177" t="str" cm="1">
        <f t="array" ref="AA156">Common_InputFunctions.Utility_DisplayArrayInTable(Fertiliser_SourceData.Fertiliser_Products_Data3(), FertiliserProducts[[#Headers],[Company]],61)</f>
        <v/>
      </c>
      <c r="AB156" s="177" t="str" cm="1">
        <f t="array" ref="AB156">Common_InputFunctions.Utility_DisplayArrayInTable(Fertiliser_SourceData.Fertiliser_Products_Data3(), FertiliserProducts[[#Headers],[Company]],61)</f>
        <v/>
      </c>
      <c r="AC156" s="177" t="str" cm="1">
        <f t="array" ref="AC156">Common_InputFunctions.Utility_DisplayArrayInTable(Fertiliser_SourceData.Fertiliser_Products_Data3(), FertiliserProducts[[#Headers],[Company]],61)</f>
        <v/>
      </c>
      <c r="AD156" s="177" t="str" cm="1">
        <f t="array" ref="AD156">Common_InputFunctions.Utility_DisplayArrayInTable(Fertiliser_SourceData.Fertiliser_Products_Data3(), FertiliserProducts[[#Headers],[Company]],61)</f>
        <v/>
      </c>
      <c r="AE156" s="177" t="str" cm="1">
        <f t="array" ref="AE156">Common_InputFunctions.Utility_DisplayArrayInTable(Fertiliser_SourceData.Fertiliser_Products_Data3(), FertiliserProducts[[#Headers],[Company]],61)</f>
        <v/>
      </c>
      <c r="AF156" s="177" t="str" cm="1">
        <f t="array" ref="AF156">Common_InputFunctions.Utility_DisplayArrayInTable(Fertiliser_SourceData.Fertiliser_Products_Data3(), FertiliserProducts[[#Headers],[Company]],61)</f>
        <v/>
      </c>
      <c r="AG156" s="177" t="str" cm="1">
        <f t="array" ref="AG156">Common_InputFunctions.Utility_DisplayArrayInTable(Fertiliser_SourceData.Fertiliser_Products_Data3(), FertiliserProducts[[#Headers],[Company]],61)</f>
        <v/>
      </c>
      <c r="AH156" s="177" t="str" cm="1">
        <f t="array" ref="AH156">Common_InputFunctions.Utility_DisplayArrayInTable(Fertiliser_SourceData.Fertiliser_Products_Data3(), FertiliserProducts[[#Headers],[Company]],61)</f>
        <v/>
      </c>
      <c r="AK156" s="1"/>
    </row>
    <row r="157" spans="4:39" ht="20" customHeight="1" x14ac:dyDescent="0.25">
      <c r="D157" s="177" t="str" cm="1">
        <f t="array" ref="D157">Common_InputFunctions.Utility_DisplayArrayInTable(Fertiliser_SourceData.Fertiliser_Products_Data3(), FertiliserProducts[[#Headers],[Company]],61)</f>
        <v>Campbells fertilisers Australia</v>
      </c>
      <c r="E157" s="177" t="str" cm="1">
        <f t="array" ref="E157">Common_InputFunctions.Utility_DisplayArrayInTable(Fertiliser_SourceData.Fertiliser_Products_Data3(), FertiliserProducts[[#Headers],[Company]],61)</f>
        <v>Rustica Nergetic</v>
      </c>
      <c r="F157" s="177" t="str" cm="1">
        <f t="array" ref="F157">Common_InputFunctions.Utility_DisplayArrayInTable(Fertiliser_SourceData.Fertiliser_Products_Data3(), FertiliserProducts[[#Headers],[Company]],61)</f>
        <v>kg</v>
      </c>
      <c r="G157" s="177" cm="1">
        <f t="array" ref="G157">Common_InputFunctions.Utility_DisplayArrayInTable(Fertiliser_SourceData.Fertiliser_Products_Data3(), FertiliserProducts[[#Headers],[Company]],61)</f>
        <v>1</v>
      </c>
      <c r="H157" s="177" t="str" cm="1">
        <f t="array" ref="H157">Common_InputFunctions.Utility_DisplayArrayInTable(Fertiliser_SourceData.Fertiliser_Products_Data3(), FertiliserProducts[[#Headers],[Company]],61)</f>
        <v/>
      </c>
      <c r="I157" s="177" t="str" cm="1">
        <f t="array" ref="I157">Common_InputFunctions.Utility_DisplayArrayInTable(Fertiliser_SourceData.Fertiliser_Products_Data3(), FertiliserProducts[[#Headers],[Company]],61)</f>
        <v/>
      </c>
      <c r="J157" s="177" t="str" cm="1">
        <f t="array" ref="J157">Common_InputFunctions.Utility_DisplayArrayInTable(Fertiliser_SourceData.Fertiliser_Products_Data3(), FertiliserProducts[[#Headers],[Company]],61)</f>
        <v/>
      </c>
      <c r="K157" s="177" cm="1">
        <f t="array" ref="K157">Common_InputFunctions.Utility_DisplayArrayInTable(Fertiliser_SourceData.Fertiliser_Products_Data3(), FertiliserProducts[[#Headers],[Company]],61)</f>
        <v>12</v>
      </c>
      <c r="L157" s="177" cm="1">
        <f t="array" ref="L157">Common_InputFunctions.Utility_DisplayArrayInTable(Fertiliser_SourceData.Fertiliser_Products_Data3(), FertiliserProducts[[#Headers],[Company]],61)</f>
        <v>5.2</v>
      </c>
      <c r="M157" s="177" cm="1">
        <f t="array" ref="M157">Common_InputFunctions.Utility_DisplayArrayInTable(Fertiliser_SourceData.Fertiliser_Products_Data3(), FertiliserProducts[[#Headers],[Company]],61)</f>
        <v>14.1</v>
      </c>
      <c r="N157" s="177" cm="1">
        <f t="array" ref="N157">Common_InputFunctions.Utility_DisplayArrayInTable(Fertiliser_SourceData.Fertiliser_Products_Data3(), FertiliserProducts[[#Headers],[Company]],61)</f>
        <v>9.6</v>
      </c>
      <c r="O157" s="177" t="str" cm="1">
        <f t="array" ref="O157">Common_InputFunctions.Utility_DisplayArrayInTable(Fertiliser_SourceData.Fertiliser_Products_Data3(), FertiliserProducts[[#Headers],[Company]],61)</f>
        <v>Potassium - Generic</v>
      </c>
      <c r="P157" s="177" cm="1">
        <f t="array" ref="P157">Common_InputFunctions.Utility_DisplayArrayInTable(Fertiliser_SourceData.Fertiliser_Products_Data3(), FertiliserProducts[[#Headers],[Company]],61)</f>
        <v>0.14099999999999999</v>
      </c>
      <c r="Q157" s="177" t="str" cm="1">
        <f t="array" ref="Q157">Common_InputFunctions.Utility_DisplayArrayInTable(Fertiliser_SourceData.Fertiliser_Products_Data3(), FertiliserProducts[[#Headers],[Company]],61)</f>
        <v>Sulfur - Generic</v>
      </c>
      <c r="R157" s="177" cm="1">
        <f t="array" ref="R157">Common_InputFunctions.Utility_DisplayArrayInTable(Fertiliser_SourceData.Fertiliser_Products_Data3(), FertiliserProducts[[#Headers],[Company]],61)</f>
        <v>9.6000000000000002E-2</v>
      </c>
      <c r="S157" s="177" t="str" cm="1">
        <f t="array" ref="S157">Common_InputFunctions.Utility_DisplayArrayInTable(Fertiliser_SourceData.Fertiliser_Products_Data3(), FertiliserProducts[[#Headers],[Company]],61)</f>
        <v>Nitrogen - Nitrate</v>
      </c>
      <c r="T157" s="177" cm="1">
        <f t="array" ref="T157">Common_InputFunctions.Utility_DisplayArrayInTable(Fertiliser_SourceData.Fertiliser_Products_Data3(), FertiliserProducts[[#Headers],[Company]],61)</f>
        <v>0.06</v>
      </c>
      <c r="U157" s="177" t="str" cm="1">
        <f t="array" ref="U157">Common_InputFunctions.Utility_DisplayArrayInTable(Fertiliser_SourceData.Fertiliser_Products_Data3(), FertiliserProducts[[#Headers],[Company]],61)</f>
        <v>Nitrogen - Ammoniacal</v>
      </c>
      <c r="V157" s="177" cm="1">
        <f t="array" ref="V157">Common_InputFunctions.Utility_DisplayArrayInTable(Fertiliser_SourceData.Fertiliser_Products_Data3(), FertiliserProducts[[#Headers],[Company]],61)</f>
        <v>0.06</v>
      </c>
      <c r="W157" s="177" t="str" cm="1">
        <f t="array" ref="W157">Common_InputFunctions.Utility_DisplayArrayInTable(Fertiliser_SourceData.Fertiliser_Products_Data3(), FertiliserProducts[[#Headers],[Company]],61)</f>
        <v>Phosphorus - Generic</v>
      </c>
      <c r="X157" s="177" cm="1">
        <f t="array" ref="X157">Common_InputFunctions.Utility_DisplayArrayInTable(Fertiliser_SourceData.Fertiliser_Products_Data3(), FertiliserProducts[[#Headers],[Company]],61)</f>
        <v>5.1999999999999998E-2</v>
      </c>
      <c r="Y157" s="177" t="str" cm="1">
        <f t="array" ref="Y157">Common_InputFunctions.Utility_DisplayArrayInTable(Fertiliser_SourceData.Fertiliser_Products_Data3(), FertiliserProducts[[#Headers],[Company]],61)</f>
        <v>Magnesium</v>
      </c>
      <c r="Z157" s="177" cm="1">
        <f t="array" ref="Z157">Common_InputFunctions.Utility_DisplayArrayInTable(Fertiliser_SourceData.Fertiliser_Products_Data3(), FertiliserProducts[[#Headers],[Company]],61)</f>
        <v>1.2E-2</v>
      </c>
      <c r="AA157" s="177" t="str" cm="1">
        <f t="array" ref="AA157">Common_InputFunctions.Utility_DisplayArrayInTable(Fertiliser_SourceData.Fertiliser_Products_Data3(), FertiliserProducts[[#Headers],[Company]],61)</f>
        <v>Zinc</v>
      </c>
      <c r="AB157" s="177" cm="1">
        <f t="array" ref="AB157">Common_InputFunctions.Utility_DisplayArrayInTable(Fertiliser_SourceData.Fertiliser_Products_Data3(), FertiliserProducts[[#Headers],[Company]],61)</f>
        <v>8.0000000000000004E-4</v>
      </c>
      <c r="AC157" s="177" t="str" cm="1">
        <f t="array" ref="AC157">Common_InputFunctions.Utility_DisplayArrayInTable(Fertiliser_SourceData.Fertiliser_Products_Data3(), FertiliserProducts[[#Headers],[Company]],61)</f>
        <v>Iron</v>
      </c>
      <c r="AD157" s="177" cm="1">
        <f t="array" ref="AD157">Common_InputFunctions.Utility_DisplayArrayInTable(Fertiliser_SourceData.Fertiliser_Products_Data3(), FertiliserProducts[[#Headers],[Company]],61)</f>
        <v>6.9999999999999999E-4</v>
      </c>
      <c r="AE157" s="177" t="str" cm="1">
        <f t="array" ref="AE157">Common_InputFunctions.Utility_DisplayArrayInTable(Fertiliser_SourceData.Fertiliser_Products_Data3(), FertiliserProducts[[#Headers],[Company]],61)</f>
        <v>Manganese</v>
      </c>
      <c r="AF157" s="177" cm="1">
        <f t="array" ref="AF157">Common_InputFunctions.Utility_DisplayArrayInTable(Fertiliser_SourceData.Fertiliser_Products_Data3(), FertiliserProducts[[#Headers],[Company]],61)</f>
        <v>5.9999999999999995E-4</v>
      </c>
      <c r="AG157" s="177" t="str" cm="1">
        <f t="array" ref="AG157">Common_InputFunctions.Utility_DisplayArrayInTable(Fertiliser_SourceData.Fertiliser_Products_Data3(), FertiliserProducts[[#Headers],[Company]],61)</f>
        <v>Boron</v>
      </c>
      <c r="AH157" s="177" cm="1">
        <f t="array" ref="AH157">Common_InputFunctions.Utility_DisplayArrayInTable(Fertiliser_SourceData.Fertiliser_Products_Data3(), FertiliserProducts[[#Headers],[Company]],61)</f>
        <v>2.0000000000000001E-4</v>
      </c>
      <c r="AK157" s="1"/>
    </row>
    <row r="158" spans="4:39" ht="20" customHeight="1" x14ac:dyDescent="0.25">
      <c r="D158" s="177" t="str" cm="1">
        <f t="array" ref="D158">Common_InputFunctions.Utility_DisplayArrayInTable(Fertiliser_SourceData.Fertiliser_Products_Data3(), FertiliserProducts[[#Headers],[Company]],61)</f>
        <v>Campbells fertilisers Australia</v>
      </c>
      <c r="E158" s="177" t="str" cm="1">
        <f t="array" ref="E158">Common_InputFunctions.Utility_DisplayArrayInTable(Fertiliser_SourceData.Fertiliser_Products_Data3(), FertiliserProducts[[#Headers],[Company]],61)</f>
        <v>Quick-N Nergetic</v>
      </c>
      <c r="F158" s="177" t="str" cm="1">
        <f t="array" ref="F158">Common_InputFunctions.Utility_DisplayArrayInTable(Fertiliser_SourceData.Fertiliser_Products_Data3(), FertiliserProducts[[#Headers],[Company]],61)</f>
        <v>kg</v>
      </c>
      <c r="G158" s="177" cm="1">
        <f t="array" ref="G158">Common_InputFunctions.Utility_DisplayArrayInTable(Fertiliser_SourceData.Fertiliser_Products_Data3(), FertiliserProducts[[#Headers],[Company]],61)</f>
        <v>1</v>
      </c>
      <c r="H158" s="177" t="str" cm="1">
        <f t="array" ref="H158">Common_InputFunctions.Utility_DisplayArrayInTable(Fertiliser_SourceData.Fertiliser_Products_Data3(), FertiliserProducts[[#Headers],[Company]],61)</f>
        <v/>
      </c>
      <c r="I158" s="177" t="str" cm="1">
        <f t="array" ref="I158">Common_InputFunctions.Utility_DisplayArrayInTable(Fertiliser_SourceData.Fertiliser_Products_Data3(), FertiliserProducts[[#Headers],[Company]],61)</f>
        <v/>
      </c>
      <c r="J158" s="177" t="str" cm="1">
        <f t="array" ref="J158">Common_InputFunctions.Utility_DisplayArrayInTable(Fertiliser_SourceData.Fertiliser_Products_Data3(), FertiliserProducts[[#Headers],[Company]],61)</f>
        <v/>
      </c>
      <c r="K158" s="177" cm="1">
        <f t="array" ref="K158">Common_InputFunctions.Utility_DisplayArrayInTable(Fertiliser_SourceData.Fertiliser_Products_Data3(), FertiliserProducts[[#Headers],[Company]],61)</f>
        <v>25</v>
      </c>
      <c r="L158" s="177" t="str" cm="1">
        <f t="array" ref="L158">Common_InputFunctions.Utility_DisplayArrayInTable(Fertiliser_SourceData.Fertiliser_Products_Data3(), FertiliserProducts[[#Headers],[Company]],61)</f>
        <v/>
      </c>
      <c r="M158" s="177" t="str" cm="1">
        <f t="array" ref="M158">Common_InputFunctions.Utility_DisplayArrayInTable(Fertiliser_SourceData.Fertiliser_Products_Data3(), FertiliserProducts[[#Headers],[Company]],61)</f>
        <v/>
      </c>
      <c r="N158" s="177" cm="1">
        <f t="array" ref="N158">Common_InputFunctions.Utility_DisplayArrayInTable(Fertiliser_SourceData.Fertiliser_Products_Data3(), FertiliserProducts[[#Headers],[Company]],61)</f>
        <v>12.8</v>
      </c>
      <c r="O158" s="177" t="str" cm="1">
        <f t="array" ref="O158">Common_InputFunctions.Utility_DisplayArrayInTable(Fertiliser_SourceData.Fertiliser_Products_Data3(), FertiliserProducts[[#Headers],[Company]],61)</f>
        <v>Sulphate of ammonia (SOA)</v>
      </c>
      <c r="P158" s="177" cm="1">
        <f t="array" ref="P158">Common_InputFunctions.Utility_DisplayArrayInTable(Fertiliser_SourceData.Fertiliser_Products_Data3(), FertiliserProducts[[#Headers],[Company]],61)</f>
        <v>0.53333299999999995</v>
      </c>
      <c r="Q158" s="177" t="str" cm="1">
        <f t="array" ref="Q158">Common_InputFunctions.Utility_DisplayArrayInTable(Fertiliser_SourceData.Fertiliser_Products_Data3(), FertiliserProducts[[#Headers],[Company]],61)</f>
        <v>Ammonium nitrate (AN)</v>
      </c>
      <c r="R158" s="177" cm="1">
        <f t="array" ref="R158">Common_InputFunctions.Utility_DisplayArrayInTable(Fertiliser_SourceData.Fertiliser_Products_Data3(), FertiliserProducts[[#Headers],[Company]],61)</f>
        <v>0.40949600000000003</v>
      </c>
      <c r="S158" s="177" t="str" cm="1">
        <f t="array" ref="S158">Common_InputFunctions.Utility_DisplayArrayInTable(Fertiliser_SourceData.Fertiliser_Products_Data3(), FertiliserProducts[[#Headers],[Company]],61)</f>
        <v>Zinc</v>
      </c>
      <c r="T158" s="177" cm="1">
        <f t="array" ref="T158">Common_InputFunctions.Utility_DisplayArrayInTable(Fertiliser_SourceData.Fertiliser_Products_Data3(), FertiliserProducts[[#Headers],[Company]],61)</f>
        <v>1E-3</v>
      </c>
      <c r="U158" s="177" t="str" cm="1">
        <f t="array" ref="U158">Common_InputFunctions.Utility_DisplayArrayInTable(Fertiliser_SourceData.Fertiliser_Products_Data3(), FertiliserProducts[[#Headers],[Company]],61)</f>
        <v>Manganese</v>
      </c>
      <c r="V158" s="177" cm="1">
        <f t="array" ref="V158">Common_InputFunctions.Utility_DisplayArrayInTable(Fertiliser_SourceData.Fertiliser_Products_Data3(), FertiliserProducts[[#Headers],[Company]],61)</f>
        <v>1E-3</v>
      </c>
      <c r="W158" s="177" t="str" cm="1">
        <f t="array" ref="W158">Common_InputFunctions.Utility_DisplayArrayInTable(Fertiliser_SourceData.Fertiliser_Products_Data3(), FertiliserProducts[[#Headers],[Company]],61)</f>
        <v>Boron</v>
      </c>
      <c r="X158" s="177" cm="1">
        <f t="array" ref="X158">Common_InputFunctions.Utility_DisplayArrayInTable(Fertiliser_SourceData.Fertiliser_Products_Data3(), FertiliserProducts[[#Headers],[Company]],61)</f>
        <v>1E-4</v>
      </c>
      <c r="Y158" s="177" t="str" cm="1">
        <f t="array" ref="Y158">Common_InputFunctions.Utility_DisplayArrayInTable(Fertiliser_SourceData.Fertiliser_Products_Data3(), FertiliserProducts[[#Headers],[Company]],61)</f>
        <v>Molybdenum</v>
      </c>
      <c r="Z158" s="177" cm="1">
        <f t="array" ref="Z158">Common_InputFunctions.Utility_DisplayArrayInTable(Fertiliser_SourceData.Fertiliser_Products_Data3(), FertiliserProducts[[#Headers],[Company]],61)</f>
        <v>1.0000000000000001E-5</v>
      </c>
      <c r="AA158" s="177" t="str" cm="1">
        <f t="array" ref="AA158">Common_InputFunctions.Utility_DisplayArrayInTable(Fertiliser_SourceData.Fertiliser_Products_Data3(), FertiliserProducts[[#Headers],[Company]],61)</f>
        <v/>
      </c>
      <c r="AB158" s="177" t="str" cm="1">
        <f t="array" ref="AB158">Common_InputFunctions.Utility_DisplayArrayInTable(Fertiliser_SourceData.Fertiliser_Products_Data3(), FertiliserProducts[[#Headers],[Company]],61)</f>
        <v/>
      </c>
      <c r="AC158" s="177" t="str" cm="1">
        <f t="array" ref="AC158">Common_InputFunctions.Utility_DisplayArrayInTable(Fertiliser_SourceData.Fertiliser_Products_Data3(), FertiliserProducts[[#Headers],[Company]],61)</f>
        <v/>
      </c>
      <c r="AD158" s="177" t="str" cm="1">
        <f t="array" ref="AD158">Common_InputFunctions.Utility_DisplayArrayInTable(Fertiliser_SourceData.Fertiliser_Products_Data3(), FertiliserProducts[[#Headers],[Company]],61)</f>
        <v/>
      </c>
      <c r="AE158" s="177" t="str" cm="1">
        <f t="array" ref="AE158">Common_InputFunctions.Utility_DisplayArrayInTable(Fertiliser_SourceData.Fertiliser_Products_Data3(), FertiliserProducts[[#Headers],[Company]],61)</f>
        <v/>
      </c>
      <c r="AF158" s="177" t="str" cm="1">
        <f t="array" ref="AF158">Common_InputFunctions.Utility_DisplayArrayInTable(Fertiliser_SourceData.Fertiliser_Products_Data3(), FertiliserProducts[[#Headers],[Company]],61)</f>
        <v/>
      </c>
      <c r="AG158" s="177" t="str" cm="1">
        <f t="array" ref="AG158">Common_InputFunctions.Utility_DisplayArrayInTable(Fertiliser_SourceData.Fertiliser_Products_Data3(), FertiliserProducts[[#Headers],[Company]],61)</f>
        <v/>
      </c>
      <c r="AH158" s="177" t="str" cm="1">
        <f t="array" ref="AH158">Common_InputFunctions.Utility_DisplayArrayInTable(Fertiliser_SourceData.Fertiliser_Products_Data3(), FertiliserProducts[[#Headers],[Company]],61)</f>
        <v/>
      </c>
      <c r="AK158" s="1"/>
    </row>
    <row r="159" spans="4:39" ht="20" customHeight="1" x14ac:dyDescent="0.25">
      <c r="D159" s="177" t="str" cm="1">
        <f t="array" ref="D159">Common_InputFunctions.Utility_DisplayArrayInTable(Fertiliser_SourceData.Fertiliser_Products_Data3(), FertiliserProducts[[#Headers],[Company]],61)</f>
        <v>FertPro Manufacturing Pty. Ltd.</v>
      </c>
      <c r="E159" s="177" t="str" cm="1">
        <f t="array" ref="E159">Common_InputFunctions.Utility_DisplayArrayInTable(Fertiliser_SourceData.Fertiliser_Products_Data3(), FertiliserProducts[[#Headers],[Company]],61)</f>
        <v>(SSP) Single Super Fertiliser</v>
      </c>
      <c r="F159" s="177" t="str" cm="1">
        <f t="array" ref="F159">Common_InputFunctions.Utility_DisplayArrayInTable(Fertiliser_SourceData.Fertiliser_Products_Data3(), FertiliserProducts[[#Headers],[Company]],61)</f>
        <v>kg</v>
      </c>
      <c r="G159" s="177" cm="1">
        <f t="array" ref="G159">Common_InputFunctions.Utility_DisplayArrayInTable(Fertiliser_SourceData.Fertiliser_Products_Data3(), FertiliserProducts[[#Headers],[Company]],61)</f>
        <v>1</v>
      </c>
      <c r="H159" s="177" t="str" cm="1">
        <f t="array" ref="H159">Common_InputFunctions.Utility_DisplayArrayInTable(Fertiliser_SourceData.Fertiliser_Products_Data3(), FertiliserProducts[[#Headers],[Company]],61)</f>
        <v/>
      </c>
      <c r="I159" s="177" t="str" cm="1">
        <f t="array" ref="I159">Common_InputFunctions.Utility_DisplayArrayInTable(Fertiliser_SourceData.Fertiliser_Products_Data3(), FertiliserProducts[[#Headers],[Company]],61)</f>
        <v/>
      </c>
      <c r="J159" s="177" t="str" cm="1">
        <f t="array" ref="J159">Common_InputFunctions.Utility_DisplayArrayInTable(Fertiliser_SourceData.Fertiliser_Products_Data3(), FertiliserProducts[[#Headers],[Company]],61)</f>
        <v/>
      </c>
      <c r="K159" s="177" t="str" cm="1">
        <f t="array" ref="K159">Common_InputFunctions.Utility_DisplayArrayInTable(Fertiliser_SourceData.Fertiliser_Products_Data3(), FertiliserProducts[[#Headers],[Company]],61)</f>
        <v/>
      </c>
      <c r="L159" s="177" cm="1">
        <f t="array" ref="L159">Common_InputFunctions.Utility_DisplayArrayInTable(Fertiliser_SourceData.Fertiliser_Products_Data3(), FertiliserProducts[[#Headers],[Company]],61)</f>
        <v>8.8000000000000007</v>
      </c>
      <c r="M159" s="177" t="str" cm="1">
        <f t="array" ref="M159">Common_InputFunctions.Utility_DisplayArrayInTable(Fertiliser_SourceData.Fertiliser_Products_Data3(), FertiliserProducts[[#Headers],[Company]],61)</f>
        <v/>
      </c>
      <c r="N159" s="177" cm="1">
        <f t="array" ref="N159">Common_InputFunctions.Utility_DisplayArrayInTable(Fertiliser_SourceData.Fertiliser_Products_Data3(), FertiliserProducts[[#Headers],[Company]],61)</f>
        <v>11</v>
      </c>
      <c r="O159" s="177" t="str" cm="1">
        <f t="array" ref="O159">Common_InputFunctions.Utility_DisplayArrayInTable(Fertiliser_SourceData.Fertiliser_Products_Data3(), FertiliserProducts[[#Headers],[Company]],61)</f>
        <v>Single superphosphate (SSP)</v>
      </c>
      <c r="P159" s="177" cm="1">
        <f t="array" ref="P159">Common_InputFunctions.Utility_DisplayArrayInTable(Fertiliser_SourceData.Fertiliser_Products_Data3(), FertiliserProducts[[#Headers],[Company]],61)</f>
        <v>1</v>
      </c>
      <c r="Q159" s="177" t="str" cm="1">
        <f t="array" ref="Q159">Common_InputFunctions.Utility_DisplayArrayInTable(Fertiliser_SourceData.Fertiliser_Products_Data3(), FertiliserProducts[[#Headers],[Company]],61)</f>
        <v/>
      </c>
      <c r="R159" s="177" t="str" cm="1">
        <f t="array" ref="R159">Common_InputFunctions.Utility_DisplayArrayInTable(Fertiliser_SourceData.Fertiliser_Products_Data3(), FertiliserProducts[[#Headers],[Company]],61)</f>
        <v/>
      </c>
      <c r="S159" s="177" t="str" cm="1">
        <f t="array" ref="S159">Common_InputFunctions.Utility_DisplayArrayInTable(Fertiliser_SourceData.Fertiliser_Products_Data3(), FertiliserProducts[[#Headers],[Company]],61)</f>
        <v/>
      </c>
      <c r="T159" s="177" t="str" cm="1">
        <f t="array" ref="T159">Common_InputFunctions.Utility_DisplayArrayInTable(Fertiliser_SourceData.Fertiliser_Products_Data3(), FertiliserProducts[[#Headers],[Company]],61)</f>
        <v/>
      </c>
      <c r="U159" s="177" t="str" cm="1">
        <f t="array" ref="U159">Common_InputFunctions.Utility_DisplayArrayInTable(Fertiliser_SourceData.Fertiliser_Products_Data3(), FertiliserProducts[[#Headers],[Company]],61)</f>
        <v/>
      </c>
      <c r="V159" s="177" t="str" cm="1">
        <f t="array" ref="V159">Common_InputFunctions.Utility_DisplayArrayInTable(Fertiliser_SourceData.Fertiliser_Products_Data3(), FertiliserProducts[[#Headers],[Company]],61)</f>
        <v/>
      </c>
      <c r="W159" s="177" t="str" cm="1">
        <f t="array" ref="W159">Common_InputFunctions.Utility_DisplayArrayInTable(Fertiliser_SourceData.Fertiliser_Products_Data3(), FertiliserProducts[[#Headers],[Company]],61)</f>
        <v/>
      </c>
      <c r="X159" s="177" t="str" cm="1">
        <f t="array" ref="X159">Common_InputFunctions.Utility_DisplayArrayInTable(Fertiliser_SourceData.Fertiliser_Products_Data3(), FertiliserProducts[[#Headers],[Company]],61)</f>
        <v/>
      </c>
      <c r="Y159" s="177" t="str" cm="1">
        <f t="array" ref="Y159">Common_InputFunctions.Utility_DisplayArrayInTable(Fertiliser_SourceData.Fertiliser_Products_Data3(), FertiliserProducts[[#Headers],[Company]],61)</f>
        <v/>
      </c>
      <c r="Z159" s="177" t="str" cm="1">
        <f t="array" ref="Z159">Common_InputFunctions.Utility_DisplayArrayInTable(Fertiliser_SourceData.Fertiliser_Products_Data3(), FertiliserProducts[[#Headers],[Company]],61)</f>
        <v/>
      </c>
      <c r="AA159" s="177" t="str" cm="1">
        <f t="array" ref="AA159">Common_InputFunctions.Utility_DisplayArrayInTable(Fertiliser_SourceData.Fertiliser_Products_Data3(), FertiliserProducts[[#Headers],[Company]],61)</f>
        <v/>
      </c>
      <c r="AB159" s="177" t="str" cm="1">
        <f t="array" ref="AB159">Common_InputFunctions.Utility_DisplayArrayInTable(Fertiliser_SourceData.Fertiliser_Products_Data3(), FertiliserProducts[[#Headers],[Company]],61)</f>
        <v/>
      </c>
      <c r="AC159" s="177" t="str" cm="1">
        <f t="array" ref="AC159">Common_InputFunctions.Utility_DisplayArrayInTable(Fertiliser_SourceData.Fertiliser_Products_Data3(), FertiliserProducts[[#Headers],[Company]],61)</f>
        <v/>
      </c>
      <c r="AD159" s="177" t="str" cm="1">
        <f t="array" ref="AD159">Common_InputFunctions.Utility_DisplayArrayInTable(Fertiliser_SourceData.Fertiliser_Products_Data3(), FertiliserProducts[[#Headers],[Company]],61)</f>
        <v/>
      </c>
      <c r="AE159" s="177" t="str" cm="1">
        <f t="array" ref="AE159">Common_InputFunctions.Utility_DisplayArrayInTable(Fertiliser_SourceData.Fertiliser_Products_Data3(), FertiliserProducts[[#Headers],[Company]],61)</f>
        <v/>
      </c>
      <c r="AF159" s="177" t="str" cm="1">
        <f t="array" ref="AF159">Common_InputFunctions.Utility_DisplayArrayInTable(Fertiliser_SourceData.Fertiliser_Products_Data3(), FertiliserProducts[[#Headers],[Company]],61)</f>
        <v/>
      </c>
      <c r="AG159" s="177" t="str" cm="1">
        <f t="array" ref="AG159">Common_InputFunctions.Utility_DisplayArrayInTable(Fertiliser_SourceData.Fertiliser_Products_Data3(), FertiliserProducts[[#Headers],[Company]],61)</f>
        <v/>
      </c>
      <c r="AH159" s="177" t="str" cm="1">
        <f t="array" ref="AH159">Common_InputFunctions.Utility_DisplayArrayInTable(Fertiliser_SourceData.Fertiliser_Products_Data3(), FertiliserProducts[[#Headers],[Company]],61)</f>
        <v/>
      </c>
      <c r="AK159" s="1"/>
    </row>
    <row r="160" spans="4:39" ht="20" customHeight="1" x14ac:dyDescent="0.25">
      <c r="D160" s="177" t="str" cm="1">
        <f t="array" ref="D160">Common_InputFunctions.Utility_DisplayArrayInTable(Fertiliser_SourceData.Fertiliser_Products_Data3(), FertiliserProducts[[#Headers],[Company]],61)</f>
        <v>Impact Fertilisers</v>
      </c>
      <c r="E160" s="177" t="str" cm="1">
        <f t="array" ref="E160">Common_InputFunctions.Utility_DisplayArrayInTable(Fertiliser_SourceData.Fertiliser_Products_Data3(), FertiliserProducts[[#Headers],[Company]],61)</f>
        <v>ZincStar</v>
      </c>
      <c r="F160" s="177" t="str" cm="1">
        <f t="array" ref="F160">Common_InputFunctions.Utility_DisplayArrayInTable(Fertiliser_SourceData.Fertiliser_Products_Data3(), FertiliserProducts[[#Headers],[Company]],61)</f>
        <v>kg</v>
      </c>
      <c r="G160" s="177" cm="1">
        <f t="array" ref="G160">Common_InputFunctions.Utility_DisplayArrayInTable(Fertiliser_SourceData.Fertiliser_Products_Data3(), FertiliserProducts[[#Headers],[Company]],61)</f>
        <v>1</v>
      </c>
      <c r="H160" s="177" t="str" cm="1">
        <f t="array" ref="H160">Common_InputFunctions.Utility_DisplayArrayInTable(Fertiliser_SourceData.Fertiliser_Products_Data3(), FertiliserProducts[[#Headers],[Company]],61)</f>
        <v/>
      </c>
      <c r="I160" s="177" t="str" cm="1">
        <f t="array" ref="I160">Common_InputFunctions.Utility_DisplayArrayInTable(Fertiliser_SourceData.Fertiliser_Products_Data3(), FertiliserProducts[[#Headers],[Company]],61)</f>
        <v/>
      </c>
      <c r="J160" s="177" t="str" cm="1">
        <f t="array" ref="J160">Common_InputFunctions.Utility_DisplayArrayInTable(Fertiliser_SourceData.Fertiliser_Products_Data3(), FertiliserProducts[[#Headers],[Company]],61)</f>
        <v/>
      </c>
      <c r="K160" s="177" cm="1">
        <f t="array" ref="K160">Common_InputFunctions.Utility_DisplayArrayInTable(Fertiliser_SourceData.Fertiliser_Products_Data3(), FertiliserProducts[[#Headers],[Company]],61)</f>
        <v>10</v>
      </c>
      <c r="L160" s="177" cm="1">
        <f t="array" ref="L160">Common_InputFunctions.Utility_DisplayArrayInTable(Fertiliser_SourceData.Fertiliser_Products_Data3(), FertiliserProducts[[#Headers],[Company]],61)</f>
        <v>21.9</v>
      </c>
      <c r="M160" s="177" cm="1">
        <f t="array" ref="M160">Common_InputFunctions.Utility_DisplayArrayInTable(Fertiliser_SourceData.Fertiliser_Products_Data3(), FertiliserProducts[[#Headers],[Company]],61)</f>
        <v>0</v>
      </c>
      <c r="N160" s="177" cm="1">
        <f t="array" ref="N160">Common_InputFunctions.Utility_DisplayArrayInTable(Fertiliser_SourceData.Fertiliser_Products_Data3(), FertiliserProducts[[#Headers],[Company]],61)</f>
        <v>2</v>
      </c>
      <c r="O160" s="177" t="str" cm="1">
        <f t="array" ref="O160">Common_InputFunctions.Utility_DisplayArrayInTable(Fertiliser_SourceData.Fertiliser_Products_Data3(), FertiliserProducts[[#Headers],[Company]],61)</f>
        <v>Monoammonium phosphate (MAP)</v>
      </c>
      <c r="P160" s="177" cm="1">
        <f t="array" ref="P160">Common_InputFunctions.Utility_DisplayArrayInTable(Fertiliser_SourceData.Fertiliser_Products_Data3(), FertiliserProducts[[#Headers],[Company]],61)</f>
        <v>1</v>
      </c>
      <c r="Q160" s="177" t="str" cm="1">
        <f t="array" ref="Q160">Common_InputFunctions.Utility_DisplayArrayInTable(Fertiliser_SourceData.Fertiliser_Products_Data3(), FertiliserProducts[[#Headers],[Company]],61)</f>
        <v>Zinc</v>
      </c>
      <c r="R160" s="177" cm="1">
        <f t="array" ref="R160">Common_InputFunctions.Utility_DisplayArrayInTable(Fertiliser_SourceData.Fertiliser_Products_Data3(), FertiliserProducts[[#Headers],[Company]],61)</f>
        <v>0.01</v>
      </c>
      <c r="S160" s="177" t="str" cm="1">
        <f t="array" ref="S160">Common_InputFunctions.Utility_DisplayArrayInTable(Fertiliser_SourceData.Fertiliser_Products_Data3(), FertiliserProducts[[#Headers],[Company]],61)</f>
        <v/>
      </c>
      <c r="T160" s="177" t="str" cm="1">
        <f t="array" ref="T160">Common_InputFunctions.Utility_DisplayArrayInTable(Fertiliser_SourceData.Fertiliser_Products_Data3(), FertiliserProducts[[#Headers],[Company]],61)</f>
        <v/>
      </c>
      <c r="U160" s="177" t="str" cm="1">
        <f t="array" ref="U160">Common_InputFunctions.Utility_DisplayArrayInTable(Fertiliser_SourceData.Fertiliser_Products_Data3(), FertiliserProducts[[#Headers],[Company]],61)</f>
        <v/>
      </c>
      <c r="V160" s="177" t="str" cm="1">
        <f t="array" ref="V160">Common_InputFunctions.Utility_DisplayArrayInTable(Fertiliser_SourceData.Fertiliser_Products_Data3(), FertiliserProducts[[#Headers],[Company]],61)</f>
        <v/>
      </c>
      <c r="W160" s="177" t="str" cm="1">
        <f t="array" ref="W160">Common_InputFunctions.Utility_DisplayArrayInTable(Fertiliser_SourceData.Fertiliser_Products_Data3(), FertiliserProducts[[#Headers],[Company]],61)</f>
        <v/>
      </c>
      <c r="X160" s="177" t="str" cm="1">
        <f t="array" ref="X160">Common_InputFunctions.Utility_DisplayArrayInTable(Fertiliser_SourceData.Fertiliser_Products_Data3(), FertiliserProducts[[#Headers],[Company]],61)</f>
        <v/>
      </c>
      <c r="Y160" s="177" t="str" cm="1">
        <f t="array" ref="Y160">Common_InputFunctions.Utility_DisplayArrayInTable(Fertiliser_SourceData.Fertiliser_Products_Data3(), FertiliserProducts[[#Headers],[Company]],61)</f>
        <v/>
      </c>
      <c r="Z160" s="177" t="str" cm="1">
        <f t="array" ref="Z160">Common_InputFunctions.Utility_DisplayArrayInTable(Fertiliser_SourceData.Fertiliser_Products_Data3(), FertiliserProducts[[#Headers],[Company]],61)</f>
        <v/>
      </c>
      <c r="AA160" s="177" t="str" cm="1">
        <f t="array" ref="AA160">Common_InputFunctions.Utility_DisplayArrayInTable(Fertiliser_SourceData.Fertiliser_Products_Data3(), FertiliserProducts[[#Headers],[Company]],61)</f>
        <v/>
      </c>
      <c r="AB160" s="177" t="str" cm="1">
        <f t="array" ref="AB160">Common_InputFunctions.Utility_DisplayArrayInTable(Fertiliser_SourceData.Fertiliser_Products_Data3(), FertiliserProducts[[#Headers],[Company]],61)</f>
        <v/>
      </c>
      <c r="AC160" s="177" t="str" cm="1">
        <f t="array" ref="AC160">Common_InputFunctions.Utility_DisplayArrayInTable(Fertiliser_SourceData.Fertiliser_Products_Data3(), FertiliserProducts[[#Headers],[Company]],61)</f>
        <v/>
      </c>
      <c r="AD160" s="177" t="str" cm="1">
        <f t="array" ref="AD160">Common_InputFunctions.Utility_DisplayArrayInTable(Fertiliser_SourceData.Fertiliser_Products_Data3(), FertiliserProducts[[#Headers],[Company]],61)</f>
        <v/>
      </c>
      <c r="AE160" s="177" t="str" cm="1">
        <f t="array" ref="AE160">Common_InputFunctions.Utility_DisplayArrayInTable(Fertiliser_SourceData.Fertiliser_Products_Data3(), FertiliserProducts[[#Headers],[Company]],61)</f>
        <v/>
      </c>
      <c r="AF160" s="177" t="str" cm="1">
        <f t="array" ref="AF160">Common_InputFunctions.Utility_DisplayArrayInTable(Fertiliser_SourceData.Fertiliser_Products_Data3(), FertiliserProducts[[#Headers],[Company]],61)</f>
        <v/>
      </c>
      <c r="AG160" s="177" t="str" cm="1">
        <f t="array" ref="AG160">Common_InputFunctions.Utility_DisplayArrayInTable(Fertiliser_SourceData.Fertiliser_Products_Data3(), FertiliserProducts[[#Headers],[Company]],61)</f>
        <v/>
      </c>
      <c r="AH160" s="177" t="str" cm="1">
        <f t="array" ref="AH160">Common_InputFunctions.Utility_DisplayArrayInTable(Fertiliser_SourceData.Fertiliser_Products_Data3(), FertiliserProducts[[#Headers],[Company]],61)</f>
        <v/>
      </c>
      <c r="AK160" s="1"/>
    </row>
    <row r="161" spans="4:37" ht="20" customHeight="1" x14ac:dyDescent="0.25">
      <c r="D161" s="177" t="str" cm="1">
        <f t="array" ref="D161">Common_InputFunctions.Utility_DisplayArrayInTable(Fertiliser_SourceData.Fertiliser_Products_Data3(), FertiliserProducts[[#Headers],[Company]],61)</f>
        <v>Baileys (Simplot) [listed as Impact]</v>
      </c>
      <c r="E161" s="177" t="str" cm="1">
        <f t="array" ref="E161">Common_InputFunctions.Utility_DisplayArrayInTable(Fertiliser_SourceData.Fertiliser_Products_Data3(), FertiliserProducts[[#Headers],[Company]],61)</f>
        <v>Apex GaIXe Low P 21-1-6</v>
      </c>
      <c r="F161" s="177" t="str" cm="1">
        <f t="array" ref="F161">Common_InputFunctions.Utility_DisplayArrayInTable(Fertiliser_SourceData.Fertiliser_Products_Data3(), FertiliserProducts[[#Headers],[Company]],61)</f>
        <v>kg</v>
      </c>
      <c r="G161" s="177" cm="1">
        <f t="array" ref="G161">Common_InputFunctions.Utility_DisplayArrayInTable(Fertiliser_SourceData.Fertiliser_Products_Data3(), FertiliserProducts[[#Headers],[Company]],61)</f>
        <v>1</v>
      </c>
      <c r="H161" s="177" t="str" cm="1">
        <f t="array" ref="H161">Common_InputFunctions.Utility_DisplayArrayInTable(Fertiliser_SourceData.Fertiliser_Products_Data3(), FertiliserProducts[[#Headers],[Company]],61)</f>
        <v/>
      </c>
      <c r="I161" s="177" t="str" cm="1">
        <f t="array" ref="I161">Common_InputFunctions.Utility_DisplayArrayInTable(Fertiliser_SourceData.Fertiliser_Products_Data3(), FertiliserProducts[[#Headers],[Company]],61)</f>
        <v/>
      </c>
      <c r="J161" s="177" t="str" cm="1">
        <f t="array" ref="J161">Common_InputFunctions.Utility_DisplayArrayInTable(Fertiliser_SourceData.Fertiliser_Products_Data3(), FertiliserProducts[[#Headers],[Company]],61)</f>
        <v/>
      </c>
      <c r="K161" s="177" cm="1">
        <f t="array" ref="K161">Common_InputFunctions.Utility_DisplayArrayInTable(Fertiliser_SourceData.Fertiliser_Products_Data3(), FertiliserProducts[[#Headers],[Company]],61)</f>
        <v>21</v>
      </c>
      <c r="L161" s="177" cm="1">
        <f t="array" ref="L161">Common_InputFunctions.Utility_DisplayArrayInTable(Fertiliser_SourceData.Fertiliser_Products_Data3(), FertiliserProducts[[#Headers],[Company]],61)</f>
        <v>0.86</v>
      </c>
      <c r="M161" s="177" cm="1">
        <f t="array" ref="M161">Common_InputFunctions.Utility_DisplayArrayInTable(Fertiliser_SourceData.Fertiliser_Products_Data3(), FertiliserProducts[[#Headers],[Company]],61)</f>
        <v>5.8</v>
      </c>
      <c r="N161" s="177" cm="1">
        <f t="array" ref="N161">Common_InputFunctions.Utility_DisplayArrayInTable(Fertiliser_SourceData.Fertiliser_Products_Data3(), FertiliserProducts[[#Headers],[Company]],61)</f>
        <v>4.2</v>
      </c>
      <c r="O161" s="177" t="str" cm="1">
        <f t="array" ref="O161">Common_InputFunctions.Utility_DisplayArrayInTable(Fertiliser_SourceData.Fertiliser_Products_Data3(), FertiliserProducts[[#Headers],[Company]],61)</f>
        <v>Nitrogen - Generic</v>
      </c>
      <c r="P161" s="177" cm="1">
        <f t="array" ref="P161">Common_InputFunctions.Utility_DisplayArrayInTable(Fertiliser_SourceData.Fertiliser_Products_Data3(), FertiliserProducts[[#Headers],[Company]],61)</f>
        <v>0.21</v>
      </c>
      <c r="Q161" s="177" t="str" cm="1">
        <f t="array" ref="Q161">Common_InputFunctions.Utility_DisplayArrayInTable(Fertiliser_SourceData.Fertiliser_Products_Data3(), FertiliserProducts[[#Headers],[Company]],61)</f>
        <v>Potassium - Generic</v>
      </c>
      <c r="R161" s="177" cm="1">
        <f t="array" ref="R161">Common_InputFunctions.Utility_DisplayArrayInTable(Fertiliser_SourceData.Fertiliser_Products_Data3(), FertiliserProducts[[#Headers],[Company]],61)</f>
        <v>5.8000000000000003E-2</v>
      </c>
      <c r="S161" s="177" t="str" cm="1">
        <f t="array" ref="S161">Common_InputFunctions.Utility_DisplayArrayInTable(Fertiliser_SourceData.Fertiliser_Products_Data3(), FertiliserProducts[[#Headers],[Company]],61)</f>
        <v>Sulfur - Generic</v>
      </c>
      <c r="T161" s="177" cm="1">
        <f t="array" ref="T161">Common_InputFunctions.Utility_DisplayArrayInTable(Fertiliser_SourceData.Fertiliser_Products_Data3(), FertiliserProducts[[#Headers],[Company]],61)</f>
        <v>4.2000000000000003E-2</v>
      </c>
      <c r="U161" s="177" t="str" cm="1">
        <f t="array" ref="U161">Common_InputFunctions.Utility_DisplayArrayInTable(Fertiliser_SourceData.Fertiliser_Products_Data3(), FertiliserProducts[[#Headers],[Company]],61)</f>
        <v>Phosphorus - Generic</v>
      </c>
      <c r="V161" s="177" cm="1">
        <f t="array" ref="V161">Common_InputFunctions.Utility_DisplayArrayInTable(Fertiliser_SourceData.Fertiliser_Products_Data3(), FertiliserProducts[[#Headers],[Company]],61)</f>
        <v>8.6E-3</v>
      </c>
      <c r="W161" s="177" t="str" cm="1">
        <f t="array" ref="W161">Common_InputFunctions.Utility_DisplayArrayInTable(Fertiliser_SourceData.Fertiliser_Products_Data3(), FertiliserProducts[[#Headers],[Company]],61)</f>
        <v/>
      </c>
      <c r="X161" s="177" t="str" cm="1">
        <f t="array" ref="X161">Common_InputFunctions.Utility_DisplayArrayInTable(Fertiliser_SourceData.Fertiliser_Products_Data3(), FertiliserProducts[[#Headers],[Company]],61)</f>
        <v/>
      </c>
      <c r="Y161" s="177" t="str" cm="1">
        <f t="array" ref="Y161">Common_InputFunctions.Utility_DisplayArrayInTable(Fertiliser_SourceData.Fertiliser_Products_Data3(), FertiliserProducts[[#Headers],[Company]],61)</f>
        <v/>
      </c>
      <c r="Z161" s="177" t="str" cm="1">
        <f t="array" ref="Z161">Common_InputFunctions.Utility_DisplayArrayInTable(Fertiliser_SourceData.Fertiliser_Products_Data3(), FertiliserProducts[[#Headers],[Company]],61)</f>
        <v/>
      </c>
      <c r="AA161" s="177" t="str" cm="1">
        <f t="array" ref="AA161">Common_InputFunctions.Utility_DisplayArrayInTable(Fertiliser_SourceData.Fertiliser_Products_Data3(), FertiliserProducts[[#Headers],[Company]],61)</f>
        <v/>
      </c>
      <c r="AB161" s="177" t="str" cm="1">
        <f t="array" ref="AB161">Common_InputFunctions.Utility_DisplayArrayInTable(Fertiliser_SourceData.Fertiliser_Products_Data3(), FertiliserProducts[[#Headers],[Company]],61)</f>
        <v/>
      </c>
      <c r="AC161" s="177" t="str" cm="1">
        <f t="array" ref="AC161">Common_InputFunctions.Utility_DisplayArrayInTable(Fertiliser_SourceData.Fertiliser_Products_Data3(), FertiliserProducts[[#Headers],[Company]],61)</f>
        <v/>
      </c>
      <c r="AD161" s="177" t="str" cm="1">
        <f t="array" ref="AD161">Common_InputFunctions.Utility_DisplayArrayInTable(Fertiliser_SourceData.Fertiliser_Products_Data3(), FertiliserProducts[[#Headers],[Company]],61)</f>
        <v/>
      </c>
      <c r="AE161" s="177" t="str" cm="1">
        <f t="array" ref="AE161">Common_InputFunctions.Utility_DisplayArrayInTable(Fertiliser_SourceData.Fertiliser_Products_Data3(), FertiliserProducts[[#Headers],[Company]],61)</f>
        <v/>
      </c>
      <c r="AF161" s="177" t="str" cm="1">
        <f t="array" ref="AF161">Common_InputFunctions.Utility_DisplayArrayInTable(Fertiliser_SourceData.Fertiliser_Products_Data3(), FertiliserProducts[[#Headers],[Company]],61)</f>
        <v/>
      </c>
      <c r="AG161" s="177" t="str" cm="1">
        <f t="array" ref="AG161">Common_InputFunctions.Utility_DisplayArrayInTable(Fertiliser_SourceData.Fertiliser_Products_Data3(), FertiliserProducts[[#Headers],[Company]],61)</f>
        <v/>
      </c>
      <c r="AH161" s="177" t="str" cm="1">
        <f t="array" ref="AH161">Common_InputFunctions.Utility_DisplayArrayInTable(Fertiliser_SourceData.Fertiliser_Products_Data3(), FertiliserProducts[[#Headers],[Company]],61)</f>
        <v/>
      </c>
      <c r="AK161" s="1"/>
    </row>
    <row r="162" spans="4:37" ht="20" customHeight="1" x14ac:dyDescent="0.25">
      <c r="D162" s="177" t="str" cm="1">
        <f t="array" ref="D162">Common_InputFunctions.Utility_DisplayArrayInTable(Fertiliser_SourceData.Fertiliser_Products_Data3(), FertiliserProducts[[#Headers],[Company]],61)</f>
        <v>Incitec Pivot Fertilisers</v>
      </c>
      <c r="E162" s="177" t="str" cm="1">
        <f t="array" ref="E162">Common_InputFunctions.Utility_DisplayArrayInTable(Fertiliser_SourceData.Fertiliser_Products_Data3(), FertiliserProducts[[#Headers],[Company]],61)</f>
        <v>SuPerfect</v>
      </c>
      <c r="F162" s="177" t="str" cm="1">
        <f t="array" ref="F162">Common_InputFunctions.Utility_DisplayArrayInTable(Fertiliser_SourceData.Fertiliser_Products_Data3(), FertiliserProducts[[#Headers],[Company]],61)</f>
        <v>kg</v>
      </c>
      <c r="G162" s="177" cm="1">
        <f t="array" ref="G162">Common_InputFunctions.Utility_DisplayArrayInTable(Fertiliser_SourceData.Fertiliser_Products_Data3(), FertiliserProducts[[#Headers],[Company]],61)</f>
        <v>1</v>
      </c>
      <c r="H162" s="177" t="str" cm="1">
        <f t="array" ref="H162">Common_InputFunctions.Utility_DisplayArrayInTable(Fertiliser_SourceData.Fertiliser_Products_Data3(), FertiliserProducts[[#Headers],[Company]],61)</f>
        <v/>
      </c>
      <c r="I162" s="177" t="str" cm="1">
        <f t="array" ref="I162">Common_InputFunctions.Utility_DisplayArrayInTable(Fertiliser_SourceData.Fertiliser_Products_Data3(), FertiliserProducts[[#Headers],[Company]],61)</f>
        <v/>
      </c>
      <c r="J162" s="177" t="str" cm="1">
        <f t="array" ref="J162">Common_InputFunctions.Utility_DisplayArrayInTable(Fertiliser_SourceData.Fertiliser_Products_Data3(), FertiliserProducts[[#Headers],[Company]],61)</f>
        <v/>
      </c>
      <c r="K162" s="177" t="str" cm="1">
        <f t="array" ref="K162">Common_InputFunctions.Utility_DisplayArrayInTable(Fertiliser_SourceData.Fertiliser_Products_Data3(), FertiliserProducts[[#Headers],[Company]],61)</f>
        <v/>
      </c>
      <c r="L162" s="177" cm="1">
        <f t="array" ref="L162">Common_InputFunctions.Utility_DisplayArrayInTable(Fertiliser_SourceData.Fertiliser_Products_Data3(), FertiliserProducts[[#Headers],[Company]],61)</f>
        <v>8.8000000000000007</v>
      </c>
      <c r="M162" s="177" t="str" cm="1">
        <f t="array" ref="M162">Common_InputFunctions.Utility_DisplayArrayInTable(Fertiliser_SourceData.Fertiliser_Products_Data3(), FertiliserProducts[[#Headers],[Company]],61)</f>
        <v/>
      </c>
      <c r="N162" s="177" cm="1">
        <f t="array" ref="N162">Common_InputFunctions.Utility_DisplayArrayInTable(Fertiliser_SourceData.Fertiliser_Products_Data3(), FertiliserProducts[[#Headers],[Company]],61)</f>
        <v>11</v>
      </c>
      <c r="O162" s="177" t="str" cm="1">
        <f t="array" ref="O162">Common_InputFunctions.Utility_DisplayArrayInTable(Fertiliser_SourceData.Fertiliser_Products_Data3(), FertiliserProducts[[#Headers],[Company]],61)</f>
        <v>Single superphosphate (SSP)</v>
      </c>
      <c r="P162" s="177" cm="1">
        <f t="array" ref="P162">Common_InputFunctions.Utility_DisplayArrayInTable(Fertiliser_SourceData.Fertiliser_Products_Data3(), FertiliserProducts[[#Headers],[Company]],61)</f>
        <v>1</v>
      </c>
      <c r="Q162" s="177" t="str" cm="1">
        <f t="array" ref="Q162">Common_InputFunctions.Utility_DisplayArrayInTable(Fertiliser_SourceData.Fertiliser_Products_Data3(), FertiliserProducts[[#Headers],[Company]],61)</f>
        <v/>
      </c>
      <c r="R162" s="177" t="str" cm="1">
        <f t="array" ref="R162">Common_InputFunctions.Utility_DisplayArrayInTable(Fertiliser_SourceData.Fertiliser_Products_Data3(), FertiliserProducts[[#Headers],[Company]],61)</f>
        <v/>
      </c>
      <c r="S162" s="177" t="str" cm="1">
        <f t="array" ref="S162">Common_InputFunctions.Utility_DisplayArrayInTable(Fertiliser_SourceData.Fertiliser_Products_Data3(), FertiliserProducts[[#Headers],[Company]],61)</f>
        <v/>
      </c>
      <c r="T162" s="177" t="str" cm="1">
        <f t="array" ref="T162">Common_InputFunctions.Utility_DisplayArrayInTable(Fertiliser_SourceData.Fertiliser_Products_Data3(), FertiliserProducts[[#Headers],[Company]],61)</f>
        <v/>
      </c>
      <c r="U162" s="177" t="str" cm="1">
        <f t="array" ref="U162">Common_InputFunctions.Utility_DisplayArrayInTable(Fertiliser_SourceData.Fertiliser_Products_Data3(), FertiliserProducts[[#Headers],[Company]],61)</f>
        <v/>
      </c>
      <c r="V162" s="177" t="str" cm="1">
        <f t="array" ref="V162">Common_InputFunctions.Utility_DisplayArrayInTable(Fertiliser_SourceData.Fertiliser_Products_Data3(), FertiliserProducts[[#Headers],[Company]],61)</f>
        <v/>
      </c>
      <c r="W162" s="177" t="str" cm="1">
        <f t="array" ref="W162">Common_InputFunctions.Utility_DisplayArrayInTable(Fertiliser_SourceData.Fertiliser_Products_Data3(), FertiliserProducts[[#Headers],[Company]],61)</f>
        <v/>
      </c>
      <c r="X162" s="177" t="str" cm="1">
        <f t="array" ref="X162">Common_InputFunctions.Utility_DisplayArrayInTable(Fertiliser_SourceData.Fertiliser_Products_Data3(), FertiliserProducts[[#Headers],[Company]],61)</f>
        <v/>
      </c>
      <c r="Y162" s="177" t="str" cm="1">
        <f t="array" ref="Y162">Common_InputFunctions.Utility_DisplayArrayInTable(Fertiliser_SourceData.Fertiliser_Products_Data3(), FertiliserProducts[[#Headers],[Company]],61)</f>
        <v/>
      </c>
      <c r="Z162" s="177" t="str" cm="1">
        <f t="array" ref="Z162">Common_InputFunctions.Utility_DisplayArrayInTable(Fertiliser_SourceData.Fertiliser_Products_Data3(), FertiliserProducts[[#Headers],[Company]],61)</f>
        <v/>
      </c>
      <c r="AA162" s="177" t="str" cm="1">
        <f t="array" ref="AA162">Common_InputFunctions.Utility_DisplayArrayInTable(Fertiliser_SourceData.Fertiliser_Products_Data3(), FertiliserProducts[[#Headers],[Company]],61)</f>
        <v/>
      </c>
      <c r="AB162" s="177" t="str" cm="1">
        <f t="array" ref="AB162">Common_InputFunctions.Utility_DisplayArrayInTable(Fertiliser_SourceData.Fertiliser_Products_Data3(), FertiliserProducts[[#Headers],[Company]],61)</f>
        <v/>
      </c>
      <c r="AC162" s="177" t="str" cm="1">
        <f t="array" ref="AC162">Common_InputFunctions.Utility_DisplayArrayInTable(Fertiliser_SourceData.Fertiliser_Products_Data3(), FertiliserProducts[[#Headers],[Company]],61)</f>
        <v/>
      </c>
      <c r="AD162" s="177" t="str" cm="1">
        <f t="array" ref="AD162">Common_InputFunctions.Utility_DisplayArrayInTable(Fertiliser_SourceData.Fertiliser_Products_Data3(), FertiliserProducts[[#Headers],[Company]],61)</f>
        <v/>
      </c>
      <c r="AE162" s="177" t="str" cm="1">
        <f t="array" ref="AE162">Common_InputFunctions.Utility_DisplayArrayInTable(Fertiliser_SourceData.Fertiliser_Products_Data3(), FertiliserProducts[[#Headers],[Company]],61)</f>
        <v/>
      </c>
      <c r="AF162" s="177" t="str" cm="1">
        <f t="array" ref="AF162">Common_InputFunctions.Utility_DisplayArrayInTable(Fertiliser_SourceData.Fertiliser_Products_Data3(), FertiliserProducts[[#Headers],[Company]],61)</f>
        <v/>
      </c>
      <c r="AG162" s="177" t="str" cm="1">
        <f t="array" ref="AG162">Common_InputFunctions.Utility_DisplayArrayInTable(Fertiliser_SourceData.Fertiliser_Products_Data3(), FertiliserProducts[[#Headers],[Company]],61)</f>
        <v/>
      </c>
      <c r="AH162" s="177" t="str" cm="1">
        <f t="array" ref="AH162">Common_InputFunctions.Utility_DisplayArrayInTable(Fertiliser_SourceData.Fertiliser_Products_Data3(), FertiliserProducts[[#Headers],[Company]],61)</f>
        <v/>
      </c>
      <c r="AK162" s="1"/>
    </row>
    <row r="163" spans="4:37" ht="20" customHeight="1" x14ac:dyDescent="0.25">
      <c r="D163" s="177" t="str" cm="1">
        <f t="array" ref="D163">Common_InputFunctions.Utility_DisplayArrayInTable(Fertiliser_SourceData.Fertiliser_Products_Data3(), FertiliserProducts[[#Headers],[Company]],61)</f>
        <v>Incitec Pivot Fertilisers [listed as Summit]</v>
      </c>
      <c r="E163" s="177" t="str" cm="1">
        <f t="array" ref="E163">Common_InputFunctions.Utility_DisplayArrayInTable(Fertiliser_SourceData.Fertiliser_Products_Data3(), FertiliserProducts[[#Headers],[Company]],61)</f>
        <v>Big N</v>
      </c>
      <c r="F163" s="177" t="str" cm="1">
        <f t="array" ref="F163">Common_InputFunctions.Utility_DisplayArrayInTable(Fertiliser_SourceData.Fertiliser_Products_Data3(), FertiliserProducts[[#Headers],[Company]],61)</f>
        <v>kg</v>
      </c>
      <c r="G163" s="177" cm="1">
        <f t="array" ref="G163">Common_InputFunctions.Utility_DisplayArrayInTable(Fertiliser_SourceData.Fertiliser_Products_Data3(), FertiliserProducts[[#Headers],[Company]],61)</f>
        <v>1</v>
      </c>
      <c r="H163" s="177" t="str" cm="1">
        <f t="array" ref="H163">Common_InputFunctions.Utility_DisplayArrayInTable(Fertiliser_SourceData.Fertiliser_Products_Data3(), FertiliserProducts[[#Headers],[Company]],61)</f>
        <v/>
      </c>
      <c r="I163" s="177" t="str" cm="1">
        <f t="array" ref="I163">Common_InputFunctions.Utility_DisplayArrayInTable(Fertiliser_SourceData.Fertiliser_Products_Data3(), FertiliserProducts[[#Headers],[Company]],61)</f>
        <v/>
      </c>
      <c r="J163" s="177" t="str" cm="1">
        <f t="array" ref="J163">Common_InputFunctions.Utility_DisplayArrayInTable(Fertiliser_SourceData.Fertiliser_Products_Data3(), FertiliserProducts[[#Headers],[Company]],61)</f>
        <v/>
      </c>
      <c r="K163" s="177" cm="1">
        <f t="array" ref="K163">Common_InputFunctions.Utility_DisplayArrayInTable(Fertiliser_SourceData.Fertiliser_Products_Data3(), FertiliserProducts[[#Headers],[Company]],61)</f>
        <v>82.35</v>
      </c>
      <c r="L163" s="177" t="str" cm="1">
        <f t="array" ref="L163">Common_InputFunctions.Utility_DisplayArrayInTable(Fertiliser_SourceData.Fertiliser_Products_Data3(), FertiliserProducts[[#Headers],[Company]],61)</f>
        <v/>
      </c>
      <c r="M163" s="177" t="str" cm="1">
        <f t="array" ref="M163">Common_InputFunctions.Utility_DisplayArrayInTable(Fertiliser_SourceData.Fertiliser_Products_Data3(), FertiliserProducts[[#Headers],[Company]],61)</f>
        <v/>
      </c>
      <c r="N163" s="177" t="str" cm="1">
        <f t="array" ref="N163">Common_InputFunctions.Utility_DisplayArrayInTable(Fertiliser_SourceData.Fertiliser_Products_Data3(), FertiliserProducts[[#Headers],[Company]],61)</f>
        <v/>
      </c>
      <c r="O163" s="177" t="str" cm="1">
        <f t="array" ref="O163">Common_InputFunctions.Utility_DisplayArrayInTable(Fertiliser_SourceData.Fertiliser_Products_Data3(), FertiliserProducts[[#Headers],[Company]],61)</f>
        <v>Ammonia</v>
      </c>
      <c r="P163" s="177" cm="1">
        <f t="array" ref="P163">Common_InputFunctions.Utility_DisplayArrayInTable(Fertiliser_SourceData.Fertiliser_Products_Data3(), FertiliserProducts[[#Headers],[Company]],61)</f>
        <v>1</v>
      </c>
      <c r="Q163" s="177" t="str" cm="1">
        <f t="array" ref="Q163">Common_InputFunctions.Utility_DisplayArrayInTable(Fertiliser_SourceData.Fertiliser_Products_Data3(), FertiliserProducts[[#Headers],[Company]],61)</f>
        <v/>
      </c>
      <c r="R163" s="177" t="str" cm="1">
        <f t="array" ref="R163">Common_InputFunctions.Utility_DisplayArrayInTable(Fertiliser_SourceData.Fertiliser_Products_Data3(), FertiliserProducts[[#Headers],[Company]],61)</f>
        <v/>
      </c>
      <c r="S163" s="177" t="str" cm="1">
        <f t="array" ref="S163">Common_InputFunctions.Utility_DisplayArrayInTable(Fertiliser_SourceData.Fertiliser_Products_Data3(), FertiliserProducts[[#Headers],[Company]],61)</f>
        <v/>
      </c>
      <c r="T163" s="177" t="str" cm="1">
        <f t="array" ref="T163">Common_InputFunctions.Utility_DisplayArrayInTable(Fertiliser_SourceData.Fertiliser_Products_Data3(), FertiliserProducts[[#Headers],[Company]],61)</f>
        <v/>
      </c>
      <c r="U163" s="177" t="str" cm="1">
        <f t="array" ref="U163">Common_InputFunctions.Utility_DisplayArrayInTable(Fertiliser_SourceData.Fertiliser_Products_Data3(), FertiliserProducts[[#Headers],[Company]],61)</f>
        <v/>
      </c>
      <c r="V163" s="177" t="str" cm="1">
        <f t="array" ref="V163">Common_InputFunctions.Utility_DisplayArrayInTable(Fertiliser_SourceData.Fertiliser_Products_Data3(), FertiliserProducts[[#Headers],[Company]],61)</f>
        <v/>
      </c>
      <c r="W163" s="177" t="str" cm="1">
        <f t="array" ref="W163">Common_InputFunctions.Utility_DisplayArrayInTable(Fertiliser_SourceData.Fertiliser_Products_Data3(), FertiliserProducts[[#Headers],[Company]],61)</f>
        <v/>
      </c>
      <c r="X163" s="177" t="str" cm="1">
        <f t="array" ref="X163">Common_InputFunctions.Utility_DisplayArrayInTable(Fertiliser_SourceData.Fertiliser_Products_Data3(), FertiliserProducts[[#Headers],[Company]],61)</f>
        <v/>
      </c>
      <c r="Y163" s="177" t="str" cm="1">
        <f t="array" ref="Y163">Common_InputFunctions.Utility_DisplayArrayInTable(Fertiliser_SourceData.Fertiliser_Products_Data3(), FertiliserProducts[[#Headers],[Company]],61)</f>
        <v/>
      </c>
      <c r="Z163" s="177" t="str" cm="1">
        <f t="array" ref="Z163">Common_InputFunctions.Utility_DisplayArrayInTable(Fertiliser_SourceData.Fertiliser_Products_Data3(), FertiliserProducts[[#Headers],[Company]],61)</f>
        <v/>
      </c>
      <c r="AA163" s="177" t="str" cm="1">
        <f t="array" ref="AA163">Common_InputFunctions.Utility_DisplayArrayInTable(Fertiliser_SourceData.Fertiliser_Products_Data3(), FertiliserProducts[[#Headers],[Company]],61)</f>
        <v/>
      </c>
      <c r="AB163" s="177" t="str" cm="1">
        <f t="array" ref="AB163">Common_InputFunctions.Utility_DisplayArrayInTable(Fertiliser_SourceData.Fertiliser_Products_Data3(), FertiliserProducts[[#Headers],[Company]],61)</f>
        <v/>
      </c>
      <c r="AC163" s="177" t="str" cm="1">
        <f t="array" ref="AC163">Common_InputFunctions.Utility_DisplayArrayInTable(Fertiliser_SourceData.Fertiliser_Products_Data3(), FertiliserProducts[[#Headers],[Company]],61)</f>
        <v/>
      </c>
      <c r="AD163" s="177" t="str" cm="1">
        <f t="array" ref="AD163">Common_InputFunctions.Utility_DisplayArrayInTable(Fertiliser_SourceData.Fertiliser_Products_Data3(), FertiliserProducts[[#Headers],[Company]],61)</f>
        <v/>
      </c>
      <c r="AE163" s="177" t="str" cm="1">
        <f t="array" ref="AE163">Common_InputFunctions.Utility_DisplayArrayInTable(Fertiliser_SourceData.Fertiliser_Products_Data3(), FertiliserProducts[[#Headers],[Company]],61)</f>
        <v/>
      </c>
      <c r="AF163" s="177" t="str" cm="1">
        <f t="array" ref="AF163">Common_InputFunctions.Utility_DisplayArrayInTable(Fertiliser_SourceData.Fertiliser_Products_Data3(), FertiliserProducts[[#Headers],[Company]],61)</f>
        <v/>
      </c>
      <c r="AG163" s="177" t="str" cm="1">
        <f t="array" ref="AG163">Common_InputFunctions.Utility_DisplayArrayInTable(Fertiliser_SourceData.Fertiliser_Products_Data3(), FertiliserProducts[[#Headers],[Company]],61)</f>
        <v/>
      </c>
      <c r="AH163" s="177" t="str" cm="1">
        <f t="array" ref="AH163">Common_InputFunctions.Utility_DisplayArrayInTable(Fertiliser_SourceData.Fertiliser_Products_Data3(), FertiliserProducts[[#Headers],[Company]],61)</f>
        <v/>
      </c>
      <c r="AK163" s="1"/>
    </row>
    <row r="164" spans="4:37" ht="20" customHeight="1" x14ac:dyDescent="0.25">
      <c r="D164" s="177" t="str" cm="1">
        <f t="array" ref="D164">Common_InputFunctions.Utility_DisplayArrayInTable(Fertiliser_SourceData.Fertiliser_Products_Data3(), FertiliserProducts[[#Headers],[Company]],61)</f>
        <v>Incitec Pivot Fertilisers</v>
      </c>
      <c r="E164" s="177" t="str" cm="1">
        <f t="array" ref="E164">Common_InputFunctions.Utility_DisplayArrayInTable(Fertiliser_SourceData.Fertiliser_Products_Data3(), FertiliserProducts[[#Headers],[Company]],61)</f>
        <v>Entec Urea</v>
      </c>
      <c r="F164" s="177" t="str" cm="1">
        <f t="array" ref="F164">Common_InputFunctions.Utility_DisplayArrayInTable(Fertiliser_SourceData.Fertiliser_Products_Data3(), FertiliserProducts[[#Headers],[Company]],61)</f>
        <v>kg</v>
      </c>
      <c r="G164" s="177" cm="1">
        <f t="array" ref="G164">Common_InputFunctions.Utility_DisplayArrayInTable(Fertiliser_SourceData.Fertiliser_Products_Data3(), FertiliserProducts[[#Headers],[Company]],61)</f>
        <v>1</v>
      </c>
      <c r="H164" s="177" t="str" cm="1">
        <f t="array" ref="H164">Common_InputFunctions.Utility_DisplayArrayInTable(Fertiliser_SourceData.Fertiliser_Products_Data3(), FertiliserProducts[[#Headers],[Company]],61)</f>
        <v>Yes</v>
      </c>
      <c r="I164" s="177" t="str" cm="1">
        <f t="array" ref="I164">Common_InputFunctions.Utility_DisplayArrayInTable(Fertiliser_SourceData.Fertiliser_Products_Data3(), FertiliserProducts[[#Headers],[Company]],61)</f>
        <v/>
      </c>
      <c r="J164" s="177" t="str" cm="1">
        <f t="array" ref="J164">Common_InputFunctions.Utility_DisplayArrayInTable(Fertiliser_SourceData.Fertiliser_Products_Data3(), FertiliserProducts[[#Headers],[Company]],61)</f>
        <v/>
      </c>
      <c r="K164" s="177" cm="1">
        <f t="array" ref="K164">Common_InputFunctions.Utility_DisplayArrayInTable(Fertiliser_SourceData.Fertiliser_Products_Data3(), FertiliserProducts[[#Headers],[Company]],61)</f>
        <v>46</v>
      </c>
      <c r="L164" s="177" t="str" cm="1">
        <f t="array" ref="L164">Common_InputFunctions.Utility_DisplayArrayInTable(Fertiliser_SourceData.Fertiliser_Products_Data3(), FertiliserProducts[[#Headers],[Company]],61)</f>
        <v/>
      </c>
      <c r="M164" s="177" t="str" cm="1">
        <f t="array" ref="M164">Common_InputFunctions.Utility_DisplayArrayInTable(Fertiliser_SourceData.Fertiliser_Products_Data3(), FertiliserProducts[[#Headers],[Company]],61)</f>
        <v/>
      </c>
      <c r="N164" s="177" t="str" cm="1">
        <f t="array" ref="N164">Common_InputFunctions.Utility_DisplayArrayInTable(Fertiliser_SourceData.Fertiliser_Products_Data3(), FertiliserProducts[[#Headers],[Company]],61)</f>
        <v/>
      </c>
      <c r="O164" s="177" t="str" cm="1">
        <f t="array" ref="O164">Common_InputFunctions.Utility_DisplayArrayInTable(Fertiliser_SourceData.Fertiliser_Products_Data3(), FertiliserProducts[[#Headers],[Company]],61)</f>
        <v>Urea</v>
      </c>
      <c r="P164" s="177" cm="1">
        <f t="array" ref="P164">Common_InputFunctions.Utility_DisplayArrayInTable(Fertiliser_SourceData.Fertiliser_Products_Data3(), FertiliserProducts[[#Headers],[Company]],61)</f>
        <v>1</v>
      </c>
      <c r="Q164" s="177" t="str" cm="1">
        <f t="array" ref="Q164">Common_InputFunctions.Utility_DisplayArrayInTable(Fertiliser_SourceData.Fertiliser_Products_Data3(), FertiliserProducts[[#Headers],[Company]],61)</f>
        <v/>
      </c>
      <c r="R164" s="177" t="str" cm="1">
        <f t="array" ref="R164">Common_InputFunctions.Utility_DisplayArrayInTable(Fertiliser_SourceData.Fertiliser_Products_Data3(), FertiliserProducts[[#Headers],[Company]],61)</f>
        <v/>
      </c>
      <c r="S164" s="177" t="str" cm="1">
        <f t="array" ref="S164">Common_InputFunctions.Utility_DisplayArrayInTable(Fertiliser_SourceData.Fertiliser_Products_Data3(), FertiliserProducts[[#Headers],[Company]],61)</f>
        <v/>
      </c>
      <c r="T164" s="177" t="str" cm="1">
        <f t="array" ref="T164">Common_InputFunctions.Utility_DisplayArrayInTable(Fertiliser_SourceData.Fertiliser_Products_Data3(), FertiliserProducts[[#Headers],[Company]],61)</f>
        <v/>
      </c>
      <c r="U164" s="177" t="str" cm="1">
        <f t="array" ref="U164">Common_InputFunctions.Utility_DisplayArrayInTable(Fertiliser_SourceData.Fertiliser_Products_Data3(), FertiliserProducts[[#Headers],[Company]],61)</f>
        <v/>
      </c>
      <c r="V164" s="177" t="str" cm="1">
        <f t="array" ref="V164">Common_InputFunctions.Utility_DisplayArrayInTable(Fertiliser_SourceData.Fertiliser_Products_Data3(), FertiliserProducts[[#Headers],[Company]],61)</f>
        <v/>
      </c>
      <c r="W164" s="177" t="str" cm="1">
        <f t="array" ref="W164">Common_InputFunctions.Utility_DisplayArrayInTable(Fertiliser_SourceData.Fertiliser_Products_Data3(), FertiliserProducts[[#Headers],[Company]],61)</f>
        <v/>
      </c>
      <c r="X164" s="177" t="str" cm="1">
        <f t="array" ref="X164">Common_InputFunctions.Utility_DisplayArrayInTable(Fertiliser_SourceData.Fertiliser_Products_Data3(), FertiliserProducts[[#Headers],[Company]],61)</f>
        <v/>
      </c>
      <c r="Y164" s="177" t="str" cm="1">
        <f t="array" ref="Y164">Common_InputFunctions.Utility_DisplayArrayInTable(Fertiliser_SourceData.Fertiliser_Products_Data3(), FertiliserProducts[[#Headers],[Company]],61)</f>
        <v/>
      </c>
      <c r="Z164" s="177" t="str" cm="1">
        <f t="array" ref="Z164">Common_InputFunctions.Utility_DisplayArrayInTable(Fertiliser_SourceData.Fertiliser_Products_Data3(), FertiliserProducts[[#Headers],[Company]],61)</f>
        <v/>
      </c>
      <c r="AA164" s="177" t="str" cm="1">
        <f t="array" ref="AA164">Common_InputFunctions.Utility_DisplayArrayInTable(Fertiliser_SourceData.Fertiliser_Products_Data3(), FertiliserProducts[[#Headers],[Company]],61)</f>
        <v/>
      </c>
      <c r="AB164" s="177" t="str" cm="1">
        <f t="array" ref="AB164">Common_InputFunctions.Utility_DisplayArrayInTable(Fertiliser_SourceData.Fertiliser_Products_Data3(), FertiliserProducts[[#Headers],[Company]],61)</f>
        <v/>
      </c>
      <c r="AC164" s="177" t="str" cm="1">
        <f t="array" ref="AC164">Common_InputFunctions.Utility_DisplayArrayInTable(Fertiliser_SourceData.Fertiliser_Products_Data3(), FertiliserProducts[[#Headers],[Company]],61)</f>
        <v/>
      </c>
      <c r="AD164" s="177" t="str" cm="1">
        <f t="array" ref="AD164">Common_InputFunctions.Utility_DisplayArrayInTable(Fertiliser_SourceData.Fertiliser_Products_Data3(), FertiliserProducts[[#Headers],[Company]],61)</f>
        <v/>
      </c>
      <c r="AE164" s="177" t="str" cm="1">
        <f t="array" ref="AE164">Common_InputFunctions.Utility_DisplayArrayInTable(Fertiliser_SourceData.Fertiliser_Products_Data3(), FertiliserProducts[[#Headers],[Company]],61)</f>
        <v/>
      </c>
      <c r="AF164" s="177" t="str" cm="1">
        <f t="array" ref="AF164">Common_InputFunctions.Utility_DisplayArrayInTable(Fertiliser_SourceData.Fertiliser_Products_Data3(), FertiliserProducts[[#Headers],[Company]],61)</f>
        <v/>
      </c>
      <c r="AG164" s="177" t="str" cm="1">
        <f t="array" ref="AG164">Common_InputFunctions.Utility_DisplayArrayInTable(Fertiliser_SourceData.Fertiliser_Products_Data3(), FertiliserProducts[[#Headers],[Company]],61)</f>
        <v/>
      </c>
      <c r="AH164" s="177" t="str" cm="1">
        <f t="array" ref="AH164">Common_InputFunctions.Utility_DisplayArrayInTable(Fertiliser_SourceData.Fertiliser_Products_Data3(), FertiliserProducts[[#Headers],[Company]],61)</f>
        <v/>
      </c>
      <c r="AK164" s="1"/>
    </row>
    <row r="165" spans="4:37" ht="20" customHeight="1" x14ac:dyDescent="0.25">
      <c r="D165" s="177" t="str" cm="1">
        <f t="array" ref="D165">Common_InputFunctions.Utility_DisplayArrayInTable(Fertiliser_SourceData.Fertiliser_Products_Data3(), FertiliserProducts[[#Headers],[Company]],61)</f>
        <v>Incitec Pivot Fertilisers (or Ravensdown - see note)</v>
      </c>
      <c r="E165" s="177" t="str" cm="1">
        <f t="array" ref="E165">Common_InputFunctions.Utility_DisplayArrayInTable(Fertiliser_SourceData.Fertiliser_Products_Data3(), FertiliserProducts[[#Headers],[Company]],61)</f>
        <v>Flexi-N NI only</v>
      </c>
      <c r="F165" s="177" t="str" cm="1">
        <f t="array" ref="F165">Common_InputFunctions.Utility_DisplayArrayInTable(Fertiliser_SourceData.Fertiliser_Products_Data3(), FertiliserProducts[[#Headers],[Company]],61)</f>
        <v>kg</v>
      </c>
      <c r="G165" s="177" cm="1">
        <f t="array" ref="G165">Common_InputFunctions.Utility_DisplayArrayInTable(Fertiliser_SourceData.Fertiliser_Products_Data3(), FertiliserProducts[[#Headers],[Company]],61)</f>
        <v>1</v>
      </c>
      <c r="H165" s="177" t="str" cm="1">
        <f t="array" ref="H165">Common_InputFunctions.Utility_DisplayArrayInTable(Fertiliser_SourceData.Fertiliser_Products_Data3(), FertiliserProducts[[#Headers],[Company]],61)</f>
        <v>Yes</v>
      </c>
      <c r="I165" s="177" t="str" cm="1">
        <f t="array" ref="I165">Common_InputFunctions.Utility_DisplayArrayInTable(Fertiliser_SourceData.Fertiliser_Products_Data3(), FertiliserProducts[[#Headers],[Company]],61)</f>
        <v/>
      </c>
      <c r="J165" s="177" t="str" cm="1">
        <f t="array" ref="J165">Common_InputFunctions.Utility_DisplayArrayInTable(Fertiliser_SourceData.Fertiliser_Products_Data3(), FertiliserProducts[[#Headers],[Company]],61)</f>
        <v/>
      </c>
      <c r="K165" s="177" cm="1">
        <f t="array" ref="K165">Common_InputFunctions.Utility_DisplayArrayInTable(Fertiliser_SourceData.Fertiliser_Products_Data3(), FertiliserProducts[[#Headers],[Company]],61)</f>
        <v>45.54</v>
      </c>
      <c r="L165" s="177" t="str" cm="1">
        <f t="array" ref="L165">Common_InputFunctions.Utility_DisplayArrayInTable(Fertiliser_SourceData.Fertiliser_Products_Data3(), FertiliserProducts[[#Headers],[Company]],61)</f>
        <v/>
      </c>
      <c r="M165" s="177" t="str" cm="1">
        <f t="array" ref="M165">Common_InputFunctions.Utility_DisplayArrayInTable(Fertiliser_SourceData.Fertiliser_Products_Data3(), FertiliserProducts[[#Headers],[Company]],61)</f>
        <v/>
      </c>
      <c r="N165" s="177" t="str" cm="1">
        <f t="array" ref="N165">Common_InputFunctions.Utility_DisplayArrayInTable(Fertiliser_SourceData.Fertiliser_Products_Data3(), FertiliserProducts[[#Headers],[Company]],61)</f>
        <v/>
      </c>
      <c r="O165" s="177" t="str" cm="1">
        <f t="array" ref="O165">Common_InputFunctions.Utility_DisplayArrayInTable(Fertiliser_SourceData.Fertiliser_Products_Data3(), FertiliserProducts[[#Headers],[Company]],61)</f>
        <v>Urea</v>
      </c>
      <c r="P165" s="177" cm="1">
        <f t="array" ref="P165">Common_InputFunctions.Utility_DisplayArrayInTable(Fertiliser_SourceData.Fertiliser_Products_Data3(), FertiliserProducts[[#Headers],[Company]],61)</f>
        <v>0.99</v>
      </c>
      <c r="Q165" s="177" t="str" cm="1">
        <f t="array" ref="Q165">Common_InputFunctions.Utility_DisplayArrayInTable(Fertiliser_SourceData.Fertiliser_Products_Data3(), FertiliserProducts[[#Headers],[Company]],61)</f>
        <v>Urease/nitrification inhibitor</v>
      </c>
      <c r="R165" s="177" cm="1">
        <f t="array" ref="R165">Common_InputFunctions.Utility_DisplayArrayInTable(Fertiliser_SourceData.Fertiliser_Products_Data3(), FertiliserProducts[[#Headers],[Company]],61)</f>
        <v>0.01</v>
      </c>
      <c r="S165" s="177" t="str" cm="1">
        <f t="array" ref="S165">Common_InputFunctions.Utility_DisplayArrayInTable(Fertiliser_SourceData.Fertiliser_Products_Data3(), FertiliserProducts[[#Headers],[Company]],61)</f>
        <v/>
      </c>
      <c r="T165" s="177" t="str" cm="1">
        <f t="array" ref="T165">Common_InputFunctions.Utility_DisplayArrayInTable(Fertiliser_SourceData.Fertiliser_Products_Data3(), FertiliserProducts[[#Headers],[Company]],61)</f>
        <v/>
      </c>
      <c r="U165" s="177" t="str" cm="1">
        <f t="array" ref="U165">Common_InputFunctions.Utility_DisplayArrayInTable(Fertiliser_SourceData.Fertiliser_Products_Data3(), FertiliserProducts[[#Headers],[Company]],61)</f>
        <v/>
      </c>
      <c r="V165" s="177" t="str" cm="1">
        <f t="array" ref="V165">Common_InputFunctions.Utility_DisplayArrayInTable(Fertiliser_SourceData.Fertiliser_Products_Data3(), FertiliserProducts[[#Headers],[Company]],61)</f>
        <v/>
      </c>
      <c r="W165" s="177" t="str" cm="1">
        <f t="array" ref="W165">Common_InputFunctions.Utility_DisplayArrayInTable(Fertiliser_SourceData.Fertiliser_Products_Data3(), FertiliserProducts[[#Headers],[Company]],61)</f>
        <v/>
      </c>
      <c r="X165" s="177" t="str" cm="1">
        <f t="array" ref="X165">Common_InputFunctions.Utility_DisplayArrayInTable(Fertiliser_SourceData.Fertiliser_Products_Data3(), FertiliserProducts[[#Headers],[Company]],61)</f>
        <v/>
      </c>
      <c r="Y165" s="177" t="str" cm="1">
        <f t="array" ref="Y165">Common_InputFunctions.Utility_DisplayArrayInTable(Fertiliser_SourceData.Fertiliser_Products_Data3(), FertiliserProducts[[#Headers],[Company]],61)</f>
        <v/>
      </c>
      <c r="Z165" s="177" t="str" cm="1">
        <f t="array" ref="Z165">Common_InputFunctions.Utility_DisplayArrayInTable(Fertiliser_SourceData.Fertiliser_Products_Data3(), FertiliserProducts[[#Headers],[Company]],61)</f>
        <v/>
      </c>
      <c r="AA165" s="177" t="str" cm="1">
        <f t="array" ref="AA165">Common_InputFunctions.Utility_DisplayArrayInTable(Fertiliser_SourceData.Fertiliser_Products_Data3(), FertiliserProducts[[#Headers],[Company]],61)</f>
        <v/>
      </c>
      <c r="AB165" s="177" t="str" cm="1">
        <f t="array" ref="AB165">Common_InputFunctions.Utility_DisplayArrayInTable(Fertiliser_SourceData.Fertiliser_Products_Data3(), FertiliserProducts[[#Headers],[Company]],61)</f>
        <v/>
      </c>
      <c r="AC165" s="177" t="str" cm="1">
        <f t="array" ref="AC165">Common_InputFunctions.Utility_DisplayArrayInTable(Fertiliser_SourceData.Fertiliser_Products_Data3(), FertiliserProducts[[#Headers],[Company]],61)</f>
        <v/>
      </c>
      <c r="AD165" s="177" t="str" cm="1">
        <f t="array" ref="AD165">Common_InputFunctions.Utility_DisplayArrayInTable(Fertiliser_SourceData.Fertiliser_Products_Data3(), FertiliserProducts[[#Headers],[Company]],61)</f>
        <v/>
      </c>
      <c r="AE165" s="177" t="str" cm="1">
        <f t="array" ref="AE165">Common_InputFunctions.Utility_DisplayArrayInTable(Fertiliser_SourceData.Fertiliser_Products_Data3(), FertiliserProducts[[#Headers],[Company]],61)</f>
        <v/>
      </c>
      <c r="AF165" s="177" t="str" cm="1">
        <f t="array" ref="AF165">Common_InputFunctions.Utility_DisplayArrayInTable(Fertiliser_SourceData.Fertiliser_Products_Data3(), FertiliserProducts[[#Headers],[Company]],61)</f>
        <v/>
      </c>
      <c r="AG165" s="177" t="str" cm="1">
        <f t="array" ref="AG165">Common_InputFunctions.Utility_DisplayArrayInTable(Fertiliser_SourceData.Fertiliser_Products_Data3(), FertiliserProducts[[#Headers],[Company]],61)</f>
        <v/>
      </c>
      <c r="AH165" s="177" t="str" cm="1">
        <f t="array" ref="AH165">Common_InputFunctions.Utility_DisplayArrayInTable(Fertiliser_SourceData.Fertiliser_Products_Data3(), FertiliserProducts[[#Headers],[Company]],61)</f>
        <v/>
      </c>
      <c r="AK165" s="1"/>
    </row>
    <row r="166" spans="4:37" x14ac:dyDescent="0.25" ht="20" customHeight="1">
      <c r="D166" s="177" t="str" cm="1">
        <f t="array" ref="D166">Common_InputFunctions.Utility_DisplayArrayInTable(Fertiliser_SourceData.Fertiliser_Products_Data3(), FertiliserProducts[[#Headers],[Company]],61)</f>
        <v>Nutri-Tech Solutions (NTS)</v>
      </c>
      <c r="E166" s="177" t="str" cm="1">
        <f t="array" ref="E166">Common_InputFunctions.Utility_DisplayArrayInTable(Fertiliser_SourceData.Fertiliser_Products_Data3(), FertiliserProducts[[#Headers],[Company]],61)</f>
        <v>Muriate Of Potash MOP</v>
      </c>
      <c r="F166" s="177" t="str" cm="1">
        <f t="array" ref="F166">Common_InputFunctions.Utility_DisplayArrayInTable(Fertiliser_SourceData.Fertiliser_Products_Data3(), FertiliserProducts[[#Headers],[Company]],61)</f>
        <v>kg</v>
      </c>
      <c r="G166" s="177" cm="1">
        <f t="array" ref="G166">Common_InputFunctions.Utility_DisplayArrayInTable(Fertiliser_SourceData.Fertiliser_Products_Data3(), FertiliserProducts[[#Headers],[Company]],61)</f>
        <v>1</v>
      </c>
      <c r="H166" s="177" t="str" cm="1">
        <f t="array" ref="H166">Common_InputFunctions.Utility_DisplayArrayInTable(Fertiliser_SourceData.Fertiliser_Products_Data3(), FertiliserProducts[[#Headers],[Company]],61)</f>
        <v/>
      </c>
      <c r="I166" s="177" t="str" cm="1">
        <f t="array" ref="I166">Common_InputFunctions.Utility_DisplayArrayInTable(Fertiliser_SourceData.Fertiliser_Products_Data3(), FertiliserProducts[[#Headers],[Company]],61)</f>
        <v/>
      </c>
      <c r="J166" s="177" t="str" cm="1">
        <f t="array" ref="J166">Common_InputFunctions.Utility_DisplayArrayInTable(Fertiliser_SourceData.Fertiliser_Products_Data3(), FertiliserProducts[[#Headers],[Company]],61)</f>
        <v/>
      </c>
      <c r="K166" s="177" t="str" cm="1">
        <f t="array" ref="K166">Common_InputFunctions.Utility_DisplayArrayInTable(Fertiliser_SourceData.Fertiliser_Products_Data3(), FertiliserProducts[[#Headers],[Company]],61)</f>
        <v/>
      </c>
      <c r="L166" s="177" t="str" cm="1">
        <f t="array" ref="L166">Common_InputFunctions.Utility_DisplayArrayInTable(Fertiliser_SourceData.Fertiliser_Products_Data3(), FertiliserProducts[[#Headers],[Company]],61)</f>
        <v/>
      </c>
      <c r="M166" s="177" cm="1">
        <f t="array" ref="M166">Common_InputFunctions.Utility_DisplayArrayInTable(Fertiliser_SourceData.Fertiliser_Products_Data3(), FertiliserProducts[[#Headers],[Company]],61)</f>
        <v>50</v>
      </c>
      <c r="N166" s="177" t="str" cm="1">
        <f t="array" ref="N166">Common_InputFunctions.Utility_DisplayArrayInTable(Fertiliser_SourceData.Fertiliser_Products_Data3(), FertiliserProducts[[#Headers],[Company]],61)</f>
        <v/>
      </c>
      <c r="O166" s="177" t="str" cm="1">
        <f t="array" ref="O166">Common_InputFunctions.Utility_DisplayArrayInTable(Fertiliser_SourceData.Fertiliser_Products_Data3(), FertiliserProducts[[#Headers],[Company]],61)</f>
        <v>Muriate of potash (MOP)</v>
      </c>
      <c r="P166" s="177" cm="1">
        <f t="array" ref="P166">Common_InputFunctions.Utility_DisplayArrayInTable(Fertiliser_SourceData.Fertiliser_Products_Data3(), FertiliserProducts[[#Headers],[Company]],61)</f>
        <v>1</v>
      </c>
      <c r="Q166" s="177" t="str" cm="1">
        <f t="array" ref="Q166">Common_InputFunctions.Utility_DisplayArrayInTable(Fertiliser_SourceData.Fertiliser_Products_Data3(), FertiliserProducts[[#Headers],[Company]],61)</f>
        <v/>
      </c>
      <c r="R166" s="177" t="str" cm="1">
        <f t="array" ref="R166">Common_InputFunctions.Utility_DisplayArrayInTable(Fertiliser_SourceData.Fertiliser_Products_Data3(), FertiliserProducts[[#Headers],[Company]],61)</f>
        <v/>
      </c>
      <c r="S166" s="177" t="str" cm="1">
        <f t="array" ref="S166">Common_InputFunctions.Utility_DisplayArrayInTable(Fertiliser_SourceData.Fertiliser_Products_Data3(), FertiliserProducts[[#Headers],[Company]],61)</f>
        <v/>
      </c>
      <c r="T166" s="177" t="str" cm="1">
        <f t="array" ref="T166">Common_InputFunctions.Utility_DisplayArrayInTable(Fertiliser_SourceData.Fertiliser_Products_Data3(), FertiliserProducts[[#Headers],[Company]],61)</f>
        <v/>
      </c>
      <c r="U166" s="177" t="str" cm="1">
        <f t="array" ref="U166">Common_InputFunctions.Utility_DisplayArrayInTable(Fertiliser_SourceData.Fertiliser_Products_Data3(), FertiliserProducts[[#Headers],[Company]],61)</f>
        <v/>
      </c>
      <c r="V166" s="177" t="str" cm="1">
        <f t="array" ref="V166">Common_InputFunctions.Utility_DisplayArrayInTable(Fertiliser_SourceData.Fertiliser_Products_Data3(), FertiliserProducts[[#Headers],[Company]],61)</f>
        <v/>
      </c>
      <c r="W166" s="177" t="str" cm="1">
        <f t="array" ref="W166">Common_InputFunctions.Utility_DisplayArrayInTable(Fertiliser_SourceData.Fertiliser_Products_Data3(), FertiliserProducts[[#Headers],[Company]],61)</f>
        <v/>
      </c>
      <c r="X166" s="177" t="str" cm="1">
        <f t="array" ref="X166">Common_InputFunctions.Utility_DisplayArrayInTable(Fertiliser_SourceData.Fertiliser_Products_Data3(), FertiliserProducts[[#Headers],[Company]],61)</f>
        <v/>
      </c>
      <c r="Y166" s="177" t="str" cm="1">
        <f t="array" ref="Y166">Common_InputFunctions.Utility_DisplayArrayInTable(Fertiliser_SourceData.Fertiliser_Products_Data3(), FertiliserProducts[[#Headers],[Company]],61)</f>
        <v/>
      </c>
      <c r="Z166" s="177" t="str" cm="1">
        <f t="array" ref="Z166">Common_InputFunctions.Utility_DisplayArrayInTable(Fertiliser_SourceData.Fertiliser_Products_Data3(), FertiliserProducts[[#Headers],[Company]],61)</f>
        <v/>
      </c>
      <c r="AA166" s="177" t="str" cm="1">
        <f t="array" ref="AA166">Common_InputFunctions.Utility_DisplayArrayInTable(Fertiliser_SourceData.Fertiliser_Products_Data3(), FertiliserProducts[[#Headers],[Company]],61)</f>
        <v/>
      </c>
      <c r="AB166" s="177" t="str" cm="1">
        <f t="array" ref="AB166">Common_InputFunctions.Utility_DisplayArrayInTable(Fertiliser_SourceData.Fertiliser_Products_Data3(), FertiliserProducts[[#Headers],[Company]],61)</f>
        <v/>
      </c>
      <c r="AC166" s="177" t="str" cm="1">
        <f t="array" ref="AC166">Common_InputFunctions.Utility_DisplayArrayInTable(Fertiliser_SourceData.Fertiliser_Products_Data3(), FertiliserProducts[[#Headers],[Company]],61)</f>
        <v/>
      </c>
      <c r="AD166" s="177" t="str" cm="1">
        <f t="array" ref="AD166">Common_InputFunctions.Utility_DisplayArrayInTable(Fertiliser_SourceData.Fertiliser_Products_Data3(), FertiliserProducts[[#Headers],[Company]],61)</f>
        <v/>
      </c>
      <c r="AE166" s="177" t="str" cm="1">
        <f t="array" ref="AE166">Common_InputFunctions.Utility_DisplayArrayInTable(Fertiliser_SourceData.Fertiliser_Products_Data3(), FertiliserProducts[[#Headers],[Company]],61)</f>
        <v/>
      </c>
      <c r="AF166" s="177" t="str" cm="1">
        <f t="array" ref="AF166">Common_InputFunctions.Utility_DisplayArrayInTable(Fertiliser_SourceData.Fertiliser_Products_Data3(), FertiliserProducts[[#Headers],[Company]],61)</f>
        <v/>
      </c>
      <c r="AG166" s="177" t="str" cm="1">
        <f t="array" ref="AG166">Common_InputFunctions.Utility_DisplayArrayInTable(Fertiliser_SourceData.Fertiliser_Products_Data3(), FertiliserProducts[[#Headers],[Company]],61)</f>
        <v/>
      </c>
      <c r="AH166" s="177" t="str" cm="1">
        <f t="array" ref="AH166">Common_InputFunctions.Utility_DisplayArrayInTable(Fertiliser_SourceData.Fertiliser_Products_Data3(), FertiliserProducts[[#Headers],[Company]],61)</f>
        <v/>
      </c>
      <c r="AK166" s="1"/>
    </row>
    <row r="167" spans="4:37" x14ac:dyDescent="0.25" ht="20" customHeight="1">
      <c r="D167" s="177" t="str" cm="1">
        <f t="array" ref="D167">Common_InputFunctions.Utility_DisplayArrayInTable(Fertiliser_SourceData.Fertiliser_Products_Data3(), FertiliserProducts[[#Headers],[Company]],61)</f>
        <v>Nuturf</v>
      </c>
      <c r="E167" s="177" t="str" cm="1">
        <f t="array" ref="E167">Common_InputFunctions.Utility_DisplayArrayInTable(Fertiliser_SourceData.Fertiliser_Products_Data3(), FertiliserProducts[[#Headers],[Company]],61)</f>
        <v>MAP NUTURF</v>
      </c>
      <c r="F167" s="177" t="str" cm="1">
        <f t="array" ref="F167">Common_InputFunctions.Utility_DisplayArrayInTable(Fertiliser_SourceData.Fertiliser_Products_Data3(), FertiliserProducts[[#Headers],[Company]],61)</f>
        <v>kg</v>
      </c>
      <c r="G167" s="177" cm="1">
        <f t="array" ref="G167">Common_InputFunctions.Utility_DisplayArrayInTable(Fertiliser_SourceData.Fertiliser_Products_Data3(), FertiliserProducts[[#Headers],[Company]],61)</f>
        <v>1</v>
      </c>
      <c r="H167" s="177" t="str" cm="1">
        <f t="array" ref="H167">Common_InputFunctions.Utility_DisplayArrayInTable(Fertiliser_SourceData.Fertiliser_Products_Data3(), FertiliserProducts[[#Headers],[Company]],61)</f>
        <v/>
      </c>
      <c r="I167" s="177" t="str" cm="1">
        <f t="array" ref="I167">Common_InputFunctions.Utility_DisplayArrayInTable(Fertiliser_SourceData.Fertiliser_Products_Data3(), FertiliserProducts[[#Headers],[Company]],61)</f>
        <v/>
      </c>
      <c r="J167" s="177" t="str" cm="1">
        <f t="array" ref="J167">Common_InputFunctions.Utility_DisplayArrayInTable(Fertiliser_SourceData.Fertiliser_Products_Data3(), FertiliserProducts[[#Headers],[Company]],61)</f>
        <v/>
      </c>
      <c r="K167" s="177" cm="1">
        <f t="array" ref="K167">Common_InputFunctions.Utility_DisplayArrayInTable(Fertiliser_SourceData.Fertiliser_Products_Data3(), FertiliserProducts[[#Headers],[Company]],61)</f>
        <v>10</v>
      </c>
      <c r="L167" s="177" cm="1">
        <f t="array" ref="L167">Common_InputFunctions.Utility_DisplayArrayInTable(Fertiliser_SourceData.Fertiliser_Products_Data3(), FertiliserProducts[[#Headers],[Company]],61)</f>
        <v>21.9</v>
      </c>
      <c r="M167" s="177" t="str" cm="1">
        <f t="array" ref="M167">Common_InputFunctions.Utility_DisplayArrayInTable(Fertiliser_SourceData.Fertiliser_Products_Data3(), FertiliserProducts[[#Headers],[Company]],61)</f>
        <v/>
      </c>
      <c r="N167" s="177" t="str" cm="1">
        <f t="array" ref="N167">Common_InputFunctions.Utility_DisplayArrayInTable(Fertiliser_SourceData.Fertiliser_Products_Data3(), FertiliserProducts[[#Headers],[Company]],61)</f>
        <v/>
      </c>
      <c r="O167" s="177" t="str" cm="1">
        <f t="array" ref="O167">Common_InputFunctions.Utility_DisplayArrayInTable(Fertiliser_SourceData.Fertiliser_Products_Data3(), FertiliserProducts[[#Headers],[Company]],61)</f>
        <v>Monoammonium phosphate (MAP)</v>
      </c>
      <c r="P167" s="177" cm="1">
        <f t="array" ref="P167">Common_InputFunctions.Utility_DisplayArrayInTable(Fertiliser_SourceData.Fertiliser_Products_Data3(), FertiliserProducts[[#Headers],[Company]],61)</f>
        <v>1</v>
      </c>
      <c r="Q167" s="177" t="str" cm="1">
        <f t="array" ref="Q167">Common_InputFunctions.Utility_DisplayArrayInTable(Fertiliser_SourceData.Fertiliser_Products_Data3(), FertiliserProducts[[#Headers],[Company]],61)</f>
        <v/>
      </c>
      <c r="R167" s="177" t="str" cm="1">
        <f t="array" ref="R167">Common_InputFunctions.Utility_DisplayArrayInTable(Fertiliser_SourceData.Fertiliser_Products_Data3(), FertiliserProducts[[#Headers],[Company]],61)</f>
        <v/>
      </c>
      <c r="S167" s="177" t="str" cm="1">
        <f t="array" ref="S167">Common_InputFunctions.Utility_DisplayArrayInTable(Fertiliser_SourceData.Fertiliser_Products_Data3(), FertiliserProducts[[#Headers],[Company]],61)</f>
        <v/>
      </c>
      <c r="T167" s="177" t="str" cm="1">
        <f t="array" ref="T167">Common_InputFunctions.Utility_DisplayArrayInTable(Fertiliser_SourceData.Fertiliser_Products_Data3(), FertiliserProducts[[#Headers],[Company]],61)</f>
        <v/>
      </c>
      <c r="U167" s="177" t="str" cm="1">
        <f t="array" ref="U167">Common_InputFunctions.Utility_DisplayArrayInTable(Fertiliser_SourceData.Fertiliser_Products_Data3(), FertiliserProducts[[#Headers],[Company]],61)</f>
        <v/>
      </c>
      <c r="V167" s="177" t="str" cm="1">
        <f t="array" ref="V167">Common_InputFunctions.Utility_DisplayArrayInTable(Fertiliser_SourceData.Fertiliser_Products_Data3(), FertiliserProducts[[#Headers],[Company]],61)</f>
        <v/>
      </c>
      <c r="W167" s="177" t="str" cm="1">
        <f t="array" ref="W167">Common_InputFunctions.Utility_DisplayArrayInTable(Fertiliser_SourceData.Fertiliser_Products_Data3(), FertiliserProducts[[#Headers],[Company]],61)</f>
        <v/>
      </c>
      <c r="X167" s="177" t="str" cm="1">
        <f t="array" ref="X167">Common_InputFunctions.Utility_DisplayArrayInTable(Fertiliser_SourceData.Fertiliser_Products_Data3(), FertiliserProducts[[#Headers],[Company]],61)</f>
        <v/>
      </c>
      <c r="Y167" s="177" t="str" cm="1">
        <f t="array" ref="Y167">Common_InputFunctions.Utility_DisplayArrayInTable(Fertiliser_SourceData.Fertiliser_Products_Data3(), FertiliserProducts[[#Headers],[Company]],61)</f>
        <v/>
      </c>
      <c r="Z167" s="177" t="str" cm="1">
        <f t="array" ref="Z167">Common_InputFunctions.Utility_DisplayArrayInTable(Fertiliser_SourceData.Fertiliser_Products_Data3(), FertiliserProducts[[#Headers],[Company]],61)</f>
        <v/>
      </c>
      <c r="AA167" s="177" t="str" cm="1">
        <f t="array" ref="AA167">Common_InputFunctions.Utility_DisplayArrayInTable(Fertiliser_SourceData.Fertiliser_Products_Data3(), FertiliserProducts[[#Headers],[Company]],61)</f>
        <v/>
      </c>
      <c r="AB167" s="177" t="str" cm="1">
        <f t="array" ref="AB167">Common_InputFunctions.Utility_DisplayArrayInTable(Fertiliser_SourceData.Fertiliser_Products_Data3(), FertiliserProducts[[#Headers],[Company]],61)</f>
        <v/>
      </c>
      <c r="AC167" s="177" t="str" cm="1">
        <f t="array" ref="AC167">Common_InputFunctions.Utility_DisplayArrayInTable(Fertiliser_SourceData.Fertiliser_Products_Data3(), FertiliserProducts[[#Headers],[Company]],61)</f>
        <v/>
      </c>
      <c r="AD167" s="177" t="str" cm="1">
        <f t="array" ref="AD167">Common_InputFunctions.Utility_DisplayArrayInTable(Fertiliser_SourceData.Fertiliser_Products_Data3(), FertiliserProducts[[#Headers],[Company]],61)</f>
        <v/>
      </c>
      <c r="AE167" s="177" t="str" cm="1">
        <f t="array" ref="AE167">Common_InputFunctions.Utility_DisplayArrayInTable(Fertiliser_SourceData.Fertiliser_Products_Data3(), FertiliserProducts[[#Headers],[Company]],61)</f>
        <v/>
      </c>
      <c r="AF167" s="177" t="str" cm="1">
        <f t="array" ref="AF167">Common_InputFunctions.Utility_DisplayArrayInTable(Fertiliser_SourceData.Fertiliser_Products_Data3(), FertiliserProducts[[#Headers],[Company]],61)</f>
        <v/>
      </c>
      <c r="AG167" s="177" t="str" cm="1">
        <f t="array" ref="AG167">Common_InputFunctions.Utility_DisplayArrayInTable(Fertiliser_SourceData.Fertiliser_Products_Data3(), FertiliserProducts[[#Headers],[Company]],61)</f>
        <v/>
      </c>
      <c r="AH167" s="177" t="str" cm="1">
        <f t="array" ref="AH167">Common_InputFunctions.Utility_DisplayArrayInTable(Fertiliser_SourceData.Fertiliser_Products_Data3(), FertiliserProducts[[#Headers],[Company]],61)</f>
        <v/>
      </c>
      <c r="AK167" s="1"/>
    </row>
    <row r="168" spans="4:37" x14ac:dyDescent="0.25" ht="20" customHeight="1">
      <c r="D168" s="177" t="str" cm="1">
        <f t="array" ref="D168">Common_InputFunctions.Utility_DisplayArrayInTable(Fertiliser_SourceData.Fertiliser_Products_Data3(), FertiliserProducts[[#Headers],[Company]],61)</f>
        <v>Campbells fertilisers Australia</v>
      </c>
      <c r="E168" s="177" t="str" cm="1">
        <f t="array" ref="E168">Common_InputFunctions.Utility_DisplayArrayInTable(Fertiliser_SourceData.Fertiliser_Products_Data3(), FertiliserProducts[[#Headers],[Company]],61)</f>
        <v>Quick-N</v>
      </c>
      <c r="F168" s="177" t="str" cm="1">
        <f t="array" ref="F168">Common_InputFunctions.Utility_DisplayArrayInTable(Fertiliser_SourceData.Fertiliser_Products_Data3(), FertiliserProducts[[#Headers],[Company]],61)</f>
        <v>kg</v>
      </c>
      <c r="G168" s="177" cm="1">
        <f t="array" ref="G168">Common_InputFunctions.Utility_DisplayArrayInTable(Fertiliser_SourceData.Fertiliser_Products_Data3(), FertiliserProducts[[#Headers],[Company]],61)</f>
        <v>1</v>
      </c>
      <c r="H168" s="177" t="str" cm="1">
        <f t="array" ref="H168">Common_InputFunctions.Utility_DisplayArrayInTable(Fertiliser_SourceData.Fertiliser_Products_Data3(), FertiliserProducts[[#Headers],[Company]],61)</f>
        <v/>
      </c>
      <c r="I168" s="177" t="str" cm="1">
        <f t="array" ref="I168">Common_InputFunctions.Utility_DisplayArrayInTable(Fertiliser_SourceData.Fertiliser_Products_Data3(), FertiliserProducts[[#Headers],[Company]],61)</f>
        <v/>
      </c>
      <c r="J168" s="177" t="str" cm="1">
        <f t="array" ref="J168">Common_InputFunctions.Utility_DisplayArrayInTable(Fertiliser_SourceData.Fertiliser_Products_Data3(), FertiliserProducts[[#Headers],[Company]],61)</f>
        <v/>
      </c>
      <c r="K168" s="177" cm="1">
        <f t="array" ref="K168">Common_InputFunctions.Utility_DisplayArrayInTable(Fertiliser_SourceData.Fertiliser_Products_Data3(), FertiliserProducts[[#Headers],[Company]],61)</f>
        <v>26</v>
      </c>
      <c r="L168" s="177" t="str" cm="1">
        <f t="array" ref="L168">Common_InputFunctions.Utility_DisplayArrayInTable(Fertiliser_SourceData.Fertiliser_Products_Data3(), FertiliserProducts[[#Headers],[Company]],61)</f>
        <v/>
      </c>
      <c r="M168" s="177" t="str" cm="1">
        <f t="array" ref="M168">Common_InputFunctions.Utility_DisplayArrayInTable(Fertiliser_SourceData.Fertiliser_Products_Data3(), FertiliserProducts[[#Headers],[Company]],61)</f>
        <v/>
      </c>
      <c r="N168" s="177" cm="1">
        <f t="array" ref="N168">Common_InputFunctions.Utility_DisplayArrayInTable(Fertiliser_SourceData.Fertiliser_Products_Data3(), FertiliserProducts[[#Headers],[Company]],61)</f>
        <v>13</v>
      </c>
      <c r="O168" s="177" t="str" cm="1">
        <f t="array" ref="O168">Common_InputFunctions.Utility_DisplayArrayInTable(Fertiliser_SourceData.Fertiliser_Products_Data3(), FertiliserProducts[[#Headers],[Company]],61)</f>
        <v>Sulphate of ammonia (SOA)</v>
      </c>
      <c r="P168" s="177" cm="1">
        <f t="array" ref="P168">Common_InputFunctions.Utility_DisplayArrayInTable(Fertiliser_SourceData.Fertiliser_Products_Data3(), FertiliserProducts[[#Headers],[Company]],61)</f>
        <v>0.54166700000000001</v>
      </c>
      <c r="Q168" s="177" t="str" cm="1">
        <f t="array" ref="Q168">Common_InputFunctions.Utility_DisplayArrayInTable(Fertiliser_SourceData.Fertiliser_Products_Data3(), FertiliserProducts[[#Headers],[Company]],61)</f>
        <v>Ammonium nitrate (AN)</v>
      </c>
      <c r="R168" s="177" cm="1">
        <f t="array" ref="R168">Common_InputFunctions.Utility_DisplayArrayInTable(Fertiliser_SourceData.Fertiliser_Products_Data3(), FertiliserProducts[[#Headers],[Company]],61)</f>
        <v>0.43397599999999997</v>
      </c>
      <c r="S168" s="177" t="str" cm="1">
        <f t="array" ref="S168">Common_InputFunctions.Utility_DisplayArrayInTable(Fertiliser_SourceData.Fertiliser_Products_Data3(), FertiliserProducts[[#Headers],[Company]],61)</f>
        <v/>
      </c>
      <c r="T168" s="177" t="str" cm="1">
        <f t="array" ref="T168">Common_InputFunctions.Utility_DisplayArrayInTable(Fertiliser_SourceData.Fertiliser_Products_Data3(), FertiliserProducts[[#Headers],[Company]],61)</f>
        <v/>
      </c>
      <c r="U168" s="177" t="str" cm="1">
        <f t="array" ref="U168">Common_InputFunctions.Utility_DisplayArrayInTable(Fertiliser_SourceData.Fertiliser_Products_Data3(), FertiliserProducts[[#Headers],[Company]],61)</f>
        <v/>
      </c>
      <c r="V168" s="177" t="str" cm="1">
        <f t="array" ref="V168">Common_InputFunctions.Utility_DisplayArrayInTable(Fertiliser_SourceData.Fertiliser_Products_Data3(), FertiliserProducts[[#Headers],[Company]],61)</f>
        <v/>
      </c>
      <c r="W168" s="177" t="str" cm="1">
        <f t="array" ref="W168">Common_InputFunctions.Utility_DisplayArrayInTable(Fertiliser_SourceData.Fertiliser_Products_Data3(), FertiliserProducts[[#Headers],[Company]],61)</f>
        <v/>
      </c>
      <c r="X168" s="177" t="str" cm="1">
        <f t="array" ref="X168">Common_InputFunctions.Utility_DisplayArrayInTable(Fertiliser_SourceData.Fertiliser_Products_Data3(), FertiliserProducts[[#Headers],[Company]],61)</f>
        <v/>
      </c>
      <c r="Y168" s="177" t="str" cm="1">
        <f t="array" ref="Y168">Common_InputFunctions.Utility_DisplayArrayInTable(Fertiliser_SourceData.Fertiliser_Products_Data3(), FertiliserProducts[[#Headers],[Company]],61)</f>
        <v/>
      </c>
      <c r="Z168" s="177" t="str" cm="1">
        <f t="array" ref="Z168">Common_InputFunctions.Utility_DisplayArrayInTable(Fertiliser_SourceData.Fertiliser_Products_Data3(), FertiliserProducts[[#Headers],[Company]],61)</f>
        <v/>
      </c>
      <c r="AA168" s="177" t="str" cm="1">
        <f t="array" ref="AA168">Common_InputFunctions.Utility_DisplayArrayInTable(Fertiliser_SourceData.Fertiliser_Products_Data3(), FertiliserProducts[[#Headers],[Company]],61)</f>
        <v/>
      </c>
      <c r="AB168" s="177" t="str" cm="1">
        <f t="array" ref="AB168">Common_InputFunctions.Utility_DisplayArrayInTable(Fertiliser_SourceData.Fertiliser_Products_Data3(), FertiliserProducts[[#Headers],[Company]],61)</f>
        <v/>
      </c>
      <c r="AC168" s="177" t="str" cm="1">
        <f t="array" ref="AC168">Common_InputFunctions.Utility_DisplayArrayInTable(Fertiliser_SourceData.Fertiliser_Products_Data3(), FertiliserProducts[[#Headers],[Company]],61)</f>
        <v/>
      </c>
      <c r="AD168" s="177" t="str" cm="1">
        <f t="array" ref="AD168">Common_InputFunctions.Utility_DisplayArrayInTable(Fertiliser_SourceData.Fertiliser_Products_Data3(), FertiliserProducts[[#Headers],[Company]],61)</f>
        <v/>
      </c>
      <c r="AE168" s="177" t="str" cm="1">
        <f t="array" ref="AE168">Common_InputFunctions.Utility_DisplayArrayInTable(Fertiliser_SourceData.Fertiliser_Products_Data3(), FertiliserProducts[[#Headers],[Company]],61)</f>
        <v/>
      </c>
      <c r="AF168" s="177" t="str" cm="1">
        <f t="array" ref="AF168">Common_InputFunctions.Utility_DisplayArrayInTable(Fertiliser_SourceData.Fertiliser_Products_Data3(), FertiliserProducts[[#Headers],[Company]],61)</f>
        <v/>
      </c>
      <c r="AG168" s="177" t="str" cm="1">
        <f t="array" ref="AG168">Common_InputFunctions.Utility_DisplayArrayInTable(Fertiliser_SourceData.Fertiliser_Products_Data3(), FertiliserProducts[[#Headers],[Company]],61)</f>
        <v/>
      </c>
      <c r="AH168" s="177" t="str" cm="1">
        <f t="array" ref="AH168">Common_InputFunctions.Utility_DisplayArrayInTable(Fertiliser_SourceData.Fertiliser_Products_Data3(), FertiliserProducts[[#Headers],[Company]],61)</f>
        <v/>
      </c>
      <c r="AK168" s="1"/>
    </row>
    <row r="169" spans="4:37" x14ac:dyDescent="0.25" ht="20" customHeight="1">
      <c r="D169" s="177" t="str" cm="1">
        <f t="array" ref="D169">Common_InputFunctions.Utility_DisplayArrayInTable(Fertiliser_SourceData.Fertiliser_Products_Data3(), FertiliserProducts[[#Headers],[Company]],61)</f>
        <v>SLTEC Fertilizers</v>
      </c>
      <c r="E169" s="177" t="str" cm="1">
        <f t="array" ref="E169">Common_InputFunctions.Utility_DisplayArrayInTable(Fertiliser_SourceData.Fertiliser_Products_Data3(), FertiliserProducts[[#Headers],[Company]],61)</f>
        <v>UAS</v>
      </c>
      <c r="F169" s="177" t="str" cm="1">
        <f t="array" ref="F169">Common_InputFunctions.Utility_DisplayArrayInTable(Fertiliser_SourceData.Fertiliser_Products_Data3(), FertiliserProducts[[#Headers],[Company]],61)</f>
        <v>L</v>
      </c>
      <c r="G169" s="177" cm="1">
        <f t="array" ref="G169">Common_InputFunctions.Utility_DisplayArrayInTable(Fertiliser_SourceData.Fertiliser_Products_Data3(), FertiliserProducts[[#Headers],[Company]],61)</f>
        <v>1.2350000000000001</v>
      </c>
      <c r="H169" s="177" t="str" cm="1">
        <f t="array" ref="H169">Common_InputFunctions.Utility_DisplayArrayInTable(Fertiliser_SourceData.Fertiliser_Products_Data3(), FertiliserProducts[[#Headers],[Company]],61)</f>
        <v/>
      </c>
      <c r="I169" s="177" t="str" cm="1">
        <f t="array" ref="I169">Common_InputFunctions.Utility_DisplayArrayInTable(Fertiliser_SourceData.Fertiliser_Products_Data3(), FertiliserProducts[[#Headers],[Company]],61)</f>
        <v/>
      </c>
      <c r="J169" s="177" t="str" cm="1">
        <f t="array" ref="J169">Common_InputFunctions.Utility_DisplayArrayInTable(Fertiliser_SourceData.Fertiliser_Products_Data3(), FertiliserProducts[[#Headers],[Company]],61)</f>
        <v/>
      </c>
      <c r="K169" s="177" cm="1">
        <f t="array" ref="K169">Common_InputFunctions.Utility_DisplayArrayInTable(Fertiliser_SourceData.Fertiliser_Products_Data3(), FertiliserProducts[[#Headers],[Company]],61)</f>
        <v>26.6</v>
      </c>
      <c r="L169" s="177" t="str" cm="1">
        <f t="array" ref="L169">Common_InputFunctions.Utility_DisplayArrayInTable(Fertiliser_SourceData.Fertiliser_Products_Data3(), FertiliserProducts[[#Headers],[Company]],61)</f>
        <v/>
      </c>
      <c r="M169" s="177" t="str" cm="1">
        <f t="array" ref="M169">Common_InputFunctions.Utility_DisplayArrayInTable(Fertiliser_SourceData.Fertiliser_Products_Data3(), FertiliserProducts[[#Headers],[Company]],61)</f>
        <v/>
      </c>
      <c r="N169" s="177" cm="1">
        <f t="array" ref="N169">Common_InputFunctions.Utility_DisplayArrayInTable(Fertiliser_SourceData.Fertiliser_Products_Data3(), FertiliserProducts[[#Headers],[Company]],61)</f>
        <v>6.7</v>
      </c>
      <c r="O169" s="177" t="str" cm="1">
        <f t="array" ref="O169">Common_InputFunctions.Utility_DisplayArrayInTable(Fertiliser_SourceData.Fertiliser_Products_Data3(), FertiliserProducts[[#Headers],[Company]],61)</f>
        <v>Urea</v>
      </c>
      <c r="P169" s="177" cm="1">
        <f t="array" ref="P169">Common_InputFunctions.Utility_DisplayArrayInTable(Fertiliser_SourceData.Fertiliser_Products_Data3(), FertiliserProducts[[#Headers],[Company]],61)</f>
        <v>0.45081500000000002</v>
      </c>
      <c r="Q169" s="177" t="str" cm="1">
        <f t="array" ref="Q169">Common_InputFunctions.Utility_DisplayArrayInTable(Fertiliser_SourceData.Fertiliser_Products_Data3(), FertiliserProducts[[#Headers],[Company]],61)</f>
        <v>Sulphate of ammonia (SOA)</v>
      </c>
      <c r="R169" s="177" cm="1">
        <f t="array" ref="R169">Common_InputFunctions.Utility_DisplayArrayInTable(Fertiliser_SourceData.Fertiliser_Products_Data3(), FertiliserProducts[[#Headers],[Company]],61)</f>
        <v>0.279167</v>
      </c>
      <c r="S169" s="177" t="str" cm="1">
        <f t="array" ref="S169">Common_InputFunctions.Utility_DisplayArrayInTable(Fertiliser_SourceData.Fertiliser_Products_Data3(), FertiliserProducts[[#Headers],[Company]],61)</f>
        <v/>
      </c>
      <c r="T169" s="177" t="str" cm="1">
        <f t="array" ref="T169">Common_InputFunctions.Utility_DisplayArrayInTable(Fertiliser_SourceData.Fertiliser_Products_Data3(), FertiliserProducts[[#Headers],[Company]],61)</f>
        <v/>
      </c>
      <c r="U169" s="177" t="str" cm="1">
        <f t="array" ref="U169">Common_InputFunctions.Utility_DisplayArrayInTable(Fertiliser_SourceData.Fertiliser_Products_Data3(), FertiliserProducts[[#Headers],[Company]],61)</f>
        <v/>
      </c>
      <c r="V169" s="177" t="str" cm="1">
        <f t="array" ref="V169">Common_InputFunctions.Utility_DisplayArrayInTable(Fertiliser_SourceData.Fertiliser_Products_Data3(), FertiliserProducts[[#Headers],[Company]],61)</f>
        <v/>
      </c>
      <c r="W169" s="177" t="str" cm="1">
        <f t="array" ref="W169">Common_InputFunctions.Utility_DisplayArrayInTable(Fertiliser_SourceData.Fertiliser_Products_Data3(), FertiliserProducts[[#Headers],[Company]],61)</f>
        <v/>
      </c>
      <c r="X169" s="177" t="str" cm="1">
        <f t="array" ref="X169">Common_InputFunctions.Utility_DisplayArrayInTable(Fertiliser_SourceData.Fertiliser_Products_Data3(), FertiliserProducts[[#Headers],[Company]],61)</f>
        <v/>
      </c>
      <c r="Y169" s="177" t="str" cm="1">
        <f t="array" ref="Y169">Common_InputFunctions.Utility_DisplayArrayInTable(Fertiliser_SourceData.Fertiliser_Products_Data3(), FertiliserProducts[[#Headers],[Company]],61)</f>
        <v/>
      </c>
      <c r="Z169" s="177" t="str" cm="1">
        <f t="array" ref="Z169">Common_InputFunctions.Utility_DisplayArrayInTable(Fertiliser_SourceData.Fertiliser_Products_Data3(), FertiliserProducts[[#Headers],[Company]],61)</f>
        <v/>
      </c>
      <c r="AA169" s="177" t="str" cm="1">
        <f t="array" ref="AA169">Common_InputFunctions.Utility_DisplayArrayInTable(Fertiliser_SourceData.Fertiliser_Products_Data3(), FertiliserProducts[[#Headers],[Company]],61)</f>
        <v/>
      </c>
      <c r="AB169" s="177" t="str" cm="1">
        <f t="array" ref="AB169">Common_InputFunctions.Utility_DisplayArrayInTable(Fertiliser_SourceData.Fertiliser_Products_Data3(), FertiliserProducts[[#Headers],[Company]],61)</f>
        <v/>
      </c>
      <c r="AC169" s="177" t="str" cm="1">
        <f t="array" ref="AC169">Common_InputFunctions.Utility_DisplayArrayInTable(Fertiliser_SourceData.Fertiliser_Products_Data3(), FertiliserProducts[[#Headers],[Company]],61)</f>
        <v/>
      </c>
      <c r="AD169" s="177" t="str" cm="1">
        <f t="array" ref="AD169">Common_InputFunctions.Utility_DisplayArrayInTable(Fertiliser_SourceData.Fertiliser_Products_Data3(), FertiliserProducts[[#Headers],[Company]],61)</f>
        <v/>
      </c>
      <c r="AE169" s="177" t="str" cm="1">
        <f t="array" ref="AE169">Common_InputFunctions.Utility_DisplayArrayInTable(Fertiliser_SourceData.Fertiliser_Products_Data3(), FertiliserProducts[[#Headers],[Company]],61)</f>
        <v/>
      </c>
      <c r="AF169" s="177" t="str" cm="1">
        <f t="array" ref="AF169">Common_InputFunctions.Utility_DisplayArrayInTable(Fertiliser_SourceData.Fertiliser_Products_Data3(), FertiliserProducts[[#Headers],[Company]],61)</f>
        <v/>
      </c>
      <c r="AG169" s="177" t="str" cm="1">
        <f t="array" ref="AG169">Common_InputFunctions.Utility_DisplayArrayInTable(Fertiliser_SourceData.Fertiliser_Products_Data3(), FertiliserProducts[[#Headers],[Company]],61)</f>
        <v/>
      </c>
      <c r="AH169" s="177" t="str" cm="1">
        <f t="array" ref="AH169">Common_InputFunctions.Utility_DisplayArrayInTable(Fertiliser_SourceData.Fertiliser_Products_Data3(), FertiliserProducts[[#Headers],[Company]],61)</f>
        <v/>
      </c>
      <c r="AK169" s="1"/>
    </row>
    <row r="170" spans="4:37" x14ac:dyDescent="0.25" ht="20" customHeight="1">
      <c r="D170" s="177" t="str" cm="1">
        <f t="array" ref="D170">Common_InputFunctions.Utility_DisplayArrayInTable(Fertiliser_SourceData.Fertiliser_Products_Data3(), FertiliserProducts[[#Headers],[Company]],61)</f>
        <v>SLTEC Fertilizers</v>
      </c>
      <c r="E170" s="177" t="str" cm="1">
        <f t="array" ref="E170">Common_InputFunctions.Utility_DisplayArrayInTable(Fertiliser_SourceData.Fertiliser_Products_Data3(), FertiliserProducts[[#Headers],[Company]],61)</f>
        <v>Triazone Urea</v>
      </c>
      <c r="F170" s="177" t="str" cm="1">
        <f t="array" ref="F170">Common_InputFunctions.Utility_DisplayArrayInTable(Fertiliser_SourceData.Fertiliser_Products_Data3(), FertiliserProducts[[#Headers],[Company]],61)</f>
        <v>L</v>
      </c>
      <c r="G170" s="177" cm="1">
        <f t="array" ref="G170">Common_InputFunctions.Utility_DisplayArrayInTable(Fertiliser_SourceData.Fertiliser_Products_Data3(), FertiliserProducts[[#Headers],[Company]],61)</f>
        <v>1.28</v>
      </c>
      <c r="H170" s="177" t="str" cm="1">
        <f t="array" ref="H170">Common_InputFunctions.Utility_DisplayArrayInTable(Fertiliser_SourceData.Fertiliser_Products_Data3(), FertiliserProducts[[#Headers],[Company]],61)</f>
        <v/>
      </c>
      <c r="I170" s="177" t="str" cm="1">
        <f t="array" ref="I170">Common_InputFunctions.Utility_DisplayArrayInTable(Fertiliser_SourceData.Fertiliser_Products_Data3(), FertiliserProducts[[#Headers],[Company]],61)</f>
        <v/>
      </c>
      <c r="J170" s="177" t="str" cm="1">
        <f t="array" ref="J170">Common_InputFunctions.Utility_DisplayArrayInTable(Fertiliser_SourceData.Fertiliser_Products_Data3(), FertiliserProducts[[#Headers],[Company]],61)</f>
        <v/>
      </c>
      <c r="K170" s="177" cm="1">
        <f t="array" ref="K170">Common_InputFunctions.Utility_DisplayArrayInTable(Fertiliser_SourceData.Fertiliser_Products_Data3(), FertiliserProducts[[#Headers],[Company]],61)</f>
        <v>0</v>
      </c>
      <c r="L170" s="177" t="str" cm="1">
        <f t="array" ref="L170">Common_InputFunctions.Utility_DisplayArrayInTable(Fertiliser_SourceData.Fertiliser_Products_Data3(), FertiliserProducts[[#Headers],[Company]],61)</f>
        <v/>
      </c>
      <c r="M170" s="177" t="str" cm="1">
        <f t="array" ref="M170">Common_InputFunctions.Utility_DisplayArrayInTable(Fertiliser_SourceData.Fertiliser_Products_Data3(), FertiliserProducts[[#Headers],[Company]],61)</f>
        <v/>
      </c>
      <c r="N170" s="177" t="str" cm="1">
        <f t="array" ref="N170">Common_InputFunctions.Utility_DisplayArrayInTable(Fertiliser_SourceData.Fertiliser_Products_Data3(), FertiliserProducts[[#Headers],[Company]],61)</f>
        <v/>
      </c>
      <c r="O170" s="177" t="str" cm="1">
        <f t="array" ref="O170">Common_InputFunctions.Utility_DisplayArrayInTable(Fertiliser_SourceData.Fertiliser_Products_Data3(), FertiliserProducts[[#Headers],[Company]],61)</f>
        <v>Urea</v>
      </c>
      <c r="P170" s="177" cm="1">
        <f t="array" ref="P170">Common_InputFunctions.Utility_DisplayArrayInTable(Fertiliser_SourceData.Fertiliser_Products_Data3(), FertiliserProducts[[#Headers],[Company]],61)</f>
        <v>0.65217400000000003</v>
      </c>
      <c r="Q170" s="177" t="str" cm="1">
        <f t="array" ref="Q170">Common_InputFunctions.Utility_DisplayArrayInTable(Fertiliser_SourceData.Fertiliser_Products_Data3(), FertiliserProducts[[#Headers],[Company]],61)</f>
        <v/>
      </c>
      <c r="R170" s="177" t="str" cm="1">
        <f t="array" ref="R170">Common_InputFunctions.Utility_DisplayArrayInTable(Fertiliser_SourceData.Fertiliser_Products_Data3(), FertiliserProducts[[#Headers],[Company]],61)</f>
        <v/>
      </c>
      <c r="S170" s="177" t="str" cm="1">
        <f t="array" ref="S170">Common_InputFunctions.Utility_DisplayArrayInTable(Fertiliser_SourceData.Fertiliser_Products_Data3(), FertiliserProducts[[#Headers],[Company]],61)</f>
        <v/>
      </c>
      <c r="T170" s="177" t="str" cm="1">
        <f t="array" ref="T170">Common_InputFunctions.Utility_DisplayArrayInTable(Fertiliser_SourceData.Fertiliser_Products_Data3(), FertiliserProducts[[#Headers],[Company]],61)</f>
        <v/>
      </c>
      <c r="U170" s="177" t="str" cm="1">
        <f t="array" ref="U170">Common_InputFunctions.Utility_DisplayArrayInTable(Fertiliser_SourceData.Fertiliser_Products_Data3(), FertiliserProducts[[#Headers],[Company]],61)</f>
        <v/>
      </c>
      <c r="V170" s="177" t="str" cm="1">
        <f t="array" ref="V170">Common_InputFunctions.Utility_DisplayArrayInTable(Fertiliser_SourceData.Fertiliser_Products_Data3(), FertiliserProducts[[#Headers],[Company]],61)</f>
        <v/>
      </c>
      <c r="W170" s="177" t="str" cm="1">
        <f t="array" ref="W170">Common_InputFunctions.Utility_DisplayArrayInTable(Fertiliser_SourceData.Fertiliser_Products_Data3(), FertiliserProducts[[#Headers],[Company]],61)</f>
        <v/>
      </c>
      <c r="X170" s="177" t="str" cm="1">
        <f t="array" ref="X170">Common_InputFunctions.Utility_DisplayArrayInTable(Fertiliser_SourceData.Fertiliser_Products_Data3(), FertiliserProducts[[#Headers],[Company]],61)</f>
        <v/>
      </c>
      <c r="Y170" s="177" t="str" cm="1">
        <f t="array" ref="Y170">Common_InputFunctions.Utility_DisplayArrayInTable(Fertiliser_SourceData.Fertiliser_Products_Data3(), FertiliserProducts[[#Headers],[Company]],61)</f>
        <v/>
      </c>
      <c r="Z170" s="177" t="str" cm="1">
        <f t="array" ref="Z170">Common_InputFunctions.Utility_DisplayArrayInTable(Fertiliser_SourceData.Fertiliser_Products_Data3(), FertiliserProducts[[#Headers],[Company]],61)</f>
        <v/>
      </c>
      <c r="AA170" s="177" t="str" cm="1">
        <f t="array" ref="AA170">Common_InputFunctions.Utility_DisplayArrayInTable(Fertiliser_SourceData.Fertiliser_Products_Data3(), FertiliserProducts[[#Headers],[Company]],61)</f>
        <v/>
      </c>
      <c r="AB170" s="177" t="str" cm="1">
        <f t="array" ref="AB170">Common_InputFunctions.Utility_DisplayArrayInTable(Fertiliser_SourceData.Fertiliser_Products_Data3(), FertiliserProducts[[#Headers],[Company]],61)</f>
        <v/>
      </c>
      <c r="AC170" s="177" t="str" cm="1">
        <f t="array" ref="AC170">Common_InputFunctions.Utility_DisplayArrayInTable(Fertiliser_SourceData.Fertiliser_Products_Data3(), FertiliserProducts[[#Headers],[Company]],61)</f>
        <v/>
      </c>
      <c r="AD170" s="177" t="str" cm="1">
        <f t="array" ref="AD170">Common_InputFunctions.Utility_DisplayArrayInTable(Fertiliser_SourceData.Fertiliser_Products_Data3(), FertiliserProducts[[#Headers],[Company]],61)</f>
        <v/>
      </c>
      <c r="AE170" s="177" t="str" cm="1">
        <f t="array" ref="AE170">Common_InputFunctions.Utility_DisplayArrayInTable(Fertiliser_SourceData.Fertiliser_Products_Data3(), FertiliserProducts[[#Headers],[Company]],61)</f>
        <v/>
      </c>
      <c r="AF170" s="177" t="str" cm="1">
        <f t="array" ref="AF170">Common_InputFunctions.Utility_DisplayArrayInTable(Fertiliser_SourceData.Fertiliser_Products_Data3(), FertiliserProducts[[#Headers],[Company]],61)</f>
        <v/>
      </c>
      <c r="AG170" s="177" t="str" cm="1">
        <f t="array" ref="AG170">Common_InputFunctions.Utility_DisplayArrayInTable(Fertiliser_SourceData.Fertiliser_Products_Data3(), FertiliserProducts[[#Headers],[Company]],61)</f>
        <v/>
      </c>
      <c r="AH170" s="177" t="str" cm="1">
        <f t="array" ref="AH170">Common_InputFunctions.Utility_DisplayArrayInTable(Fertiliser_SourceData.Fertiliser_Products_Data3(), FertiliserProducts[[#Headers],[Company]],61)</f>
        <v/>
      </c>
      <c r="AK170" s="1"/>
    </row>
    <row r="171" spans="4:37" x14ac:dyDescent="0.25" ht="20" customHeight="1">
      <c r="D171" s="177" t="str" cm="1">
        <f t="array" ref="D171">Common_InputFunctions.Utility_DisplayArrayInTable(Fertiliser_SourceData.Fertiliser_Products_Data3(), FertiliserProducts[[#Headers],[Company]],61)</f>
        <v>Marnco [listed as SLTEC]</v>
      </c>
      <c r="E171" s="177" t="str" cm="1">
        <f t="array" ref="E171">Common_InputFunctions.Utility_DisplayArrayInTable(Fertiliser_SourceData.Fertiliser_Products_Data3(), FertiliserProducts[[#Headers],[Company]],61)</f>
        <v>Ammo 36N</v>
      </c>
      <c r="F171" s="177" t="str" cm="1">
        <f t="array" ref="F171">Common_InputFunctions.Utility_DisplayArrayInTable(Fertiliser_SourceData.Fertiliser_Products_Data3(), FertiliserProducts[[#Headers],[Company]],61)</f>
        <v>kg</v>
      </c>
      <c r="G171" s="177" cm="1">
        <f t="array" ref="G171">Common_InputFunctions.Utility_DisplayArrayInTable(Fertiliser_SourceData.Fertiliser_Products_Data3(), FertiliserProducts[[#Headers],[Company]],61)</f>
        <v>1</v>
      </c>
      <c r="H171" s="177" t="str" cm="1">
        <f t="array" ref="H171">Common_InputFunctions.Utility_DisplayArrayInTable(Fertiliser_SourceData.Fertiliser_Products_Data3(), FertiliserProducts[[#Headers],[Company]],61)</f>
        <v/>
      </c>
      <c r="I171" s="177" t="str" cm="1">
        <f t="array" ref="I171">Common_InputFunctions.Utility_DisplayArrayInTable(Fertiliser_SourceData.Fertiliser_Products_Data3(), FertiliserProducts[[#Headers],[Company]],61)</f>
        <v/>
      </c>
      <c r="J171" s="177" t="str" cm="1">
        <f t="array" ref="J171">Common_InputFunctions.Utility_DisplayArrayInTable(Fertiliser_SourceData.Fertiliser_Products_Data3(), FertiliserProducts[[#Headers],[Company]],61)</f>
        <v/>
      </c>
      <c r="K171" s="177" cm="1">
        <f t="array" ref="K171">Common_InputFunctions.Utility_DisplayArrayInTable(Fertiliser_SourceData.Fertiliser_Products_Data3(), FertiliserProducts[[#Headers],[Company]],61)</f>
        <v>36</v>
      </c>
      <c r="L171" s="177" t="str" cm="1">
        <f t="array" ref="L171">Common_InputFunctions.Utility_DisplayArrayInTable(Fertiliser_SourceData.Fertiliser_Products_Data3(), FertiliserProducts[[#Headers],[Company]],61)</f>
        <v/>
      </c>
      <c r="M171" s="177" t="str" cm="1">
        <f t="array" ref="M171">Common_InputFunctions.Utility_DisplayArrayInTable(Fertiliser_SourceData.Fertiliser_Products_Data3(), FertiliserProducts[[#Headers],[Company]],61)</f>
        <v/>
      </c>
      <c r="N171" s="177" cm="1">
        <f t="array" ref="N171">Common_InputFunctions.Utility_DisplayArrayInTable(Fertiliser_SourceData.Fertiliser_Products_Data3(), FertiliserProducts[[#Headers],[Company]],61)</f>
        <v>9.6</v>
      </c>
      <c r="O171" s="177" t="str" cm="1">
        <f t="array" ref="O171">Common_InputFunctions.Utility_DisplayArrayInTable(Fertiliser_SourceData.Fertiliser_Products_Data3(), FertiliserProducts[[#Headers],[Company]],61)</f>
        <v>Nitrogen - Generic</v>
      </c>
      <c r="P171" s="177" cm="1">
        <f t="array" ref="P171">Common_InputFunctions.Utility_DisplayArrayInTable(Fertiliser_SourceData.Fertiliser_Products_Data3(), FertiliserProducts[[#Headers],[Company]],61)</f>
        <v>0.36</v>
      </c>
      <c r="Q171" s="177" t="str" cm="1">
        <f t="array" ref="Q171">Common_InputFunctions.Utility_DisplayArrayInTable(Fertiliser_SourceData.Fertiliser_Products_Data3(), FertiliserProducts[[#Headers],[Company]],61)</f>
        <v>Sulfur - Generic</v>
      </c>
      <c r="R171" s="177" cm="1">
        <f t="array" ref="R171">Common_InputFunctions.Utility_DisplayArrayInTable(Fertiliser_SourceData.Fertiliser_Products_Data3(), FertiliserProducts[[#Headers],[Company]],61)</f>
        <v>9.6000000000000002E-2</v>
      </c>
      <c r="S171" s="177" t="str" cm="1">
        <f t="array" ref="S171">Common_InputFunctions.Utility_DisplayArrayInTable(Fertiliser_SourceData.Fertiliser_Products_Data3(), FertiliserProducts[[#Headers],[Company]],61)</f>
        <v/>
      </c>
      <c r="T171" s="177" t="str" cm="1">
        <f t="array" ref="T171">Common_InputFunctions.Utility_DisplayArrayInTable(Fertiliser_SourceData.Fertiliser_Products_Data3(), FertiliserProducts[[#Headers],[Company]],61)</f>
        <v/>
      </c>
      <c r="U171" s="177" t="str" cm="1">
        <f t="array" ref="U171">Common_InputFunctions.Utility_DisplayArrayInTable(Fertiliser_SourceData.Fertiliser_Products_Data3(), FertiliserProducts[[#Headers],[Company]],61)</f>
        <v/>
      </c>
      <c r="V171" s="177" t="str" cm="1">
        <f t="array" ref="V171">Common_InputFunctions.Utility_DisplayArrayInTable(Fertiliser_SourceData.Fertiliser_Products_Data3(), FertiliserProducts[[#Headers],[Company]],61)</f>
        <v/>
      </c>
      <c r="W171" s="177" t="str" cm="1">
        <f t="array" ref="W171">Common_InputFunctions.Utility_DisplayArrayInTable(Fertiliser_SourceData.Fertiliser_Products_Data3(), FertiliserProducts[[#Headers],[Company]],61)</f>
        <v/>
      </c>
      <c r="X171" s="177" t="str" cm="1">
        <f t="array" ref="X171">Common_InputFunctions.Utility_DisplayArrayInTable(Fertiliser_SourceData.Fertiliser_Products_Data3(), FertiliserProducts[[#Headers],[Company]],61)</f>
        <v/>
      </c>
      <c r="Y171" s="177" t="str" cm="1">
        <f t="array" ref="Y171">Common_InputFunctions.Utility_DisplayArrayInTable(Fertiliser_SourceData.Fertiliser_Products_Data3(), FertiliserProducts[[#Headers],[Company]],61)</f>
        <v/>
      </c>
      <c r="Z171" s="177" t="str" cm="1">
        <f t="array" ref="Z171">Common_InputFunctions.Utility_DisplayArrayInTable(Fertiliser_SourceData.Fertiliser_Products_Data3(), FertiliserProducts[[#Headers],[Company]],61)</f>
        <v/>
      </c>
      <c r="AA171" s="177" t="str" cm="1">
        <f t="array" ref="AA171">Common_InputFunctions.Utility_DisplayArrayInTable(Fertiliser_SourceData.Fertiliser_Products_Data3(), FertiliserProducts[[#Headers],[Company]],61)</f>
        <v/>
      </c>
      <c r="AB171" s="177" t="str" cm="1">
        <f t="array" ref="AB171">Common_InputFunctions.Utility_DisplayArrayInTable(Fertiliser_SourceData.Fertiliser_Products_Data3(), FertiliserProducts[[#Headers],[Company]],61)</f>
        <v/>
      </c>
      <c r="AC171" s="177" t="str" cm="1">
        <f t="array" ref="AC171">Common_InputFunctions.Utility_DisplayArrayInTable(Fertiliser_SourceData.Fertiliser_Products_Data3(), FertiliserProducts[[#Headers],[Company]],61)</f>
        <v/>
      </c>
      <c r="AD171" s="177" t="str" cm="1">
        <f t="array" ref="AD171">Common_InputFunctions.Utility_DisplayArrayInTable(Fertiliser_SourceData.Fertiliser_Products_Data3(), FertiliserProducts[[#Headers],[Company]],61)</f>
        <v/>
      </c>
      <c r="AE171" s="177" t="str" cm="1">
        <f t="array" ref="AE171">Common_InputFunctions.Utility_DisplayArrayInTable(Fertiliser_SourceData.Fertiliser_Products_Data3(), FertiliserProducts[[#Headers],[Company]],61)</f>
        <v/>
      </c>
      <c r="AF171" s="177" t="str" cm="1">
        <f t="array" ref="AF171">Common_InputFunctions.Utility_DisplayArrayInTable(Fertiliser_SourceData.Fertiliser_Products_Data3(), FertiliserProducts[[#Headers],[Company]],61)</f>
        <v/>
      </c>
      <c r="AG171" s="177" t="str" cm="1">
        <f t="array" ref="AG171">Common_InputFunctions.Utility_DisplayArrayInTable(Fertiliser_SourceData.Fertiliser_Products_Data3(), FertiliserProducts[[#Headers],[Company]],61)</f>
        <v/>
      </c>
      <c r="AH171" s="177" t="str" cm="1">
        <f t="array" ref="AH171">Common_InputFunctions.Utility_DisplayArrayInTable(Fertiliser_SourceData.Fertiliser_Products_Data3(), FertiliserProducts[[#Headers],[Company]],61)</f>
        <v/>
      </c>
      <c r="AK171" s="1"/>
    </row>
    <row r="172" spans="4:37" x14ac:dyDescent="0.25" ht="20" customHeight="1">
      <c r="D172" s="177" t="str" cm="1">
        <f t="array" ref="D172">Common_InputFunctions.Utility_DisplayArrayInTable(Fertiliser_SourceData.Fertiliser_Products_Data3(), FertiliserProducts[[#Headers],[Company]],61)</f>
        <v>Risso-Chemical</v>
      </c>
      <c r="E172" s="177" t="str" cm="1">
        <f t="array" ref="E172">Common_InputFunctions.Utility_DisplayArrayInTable(Fertiliser_SourceData.Fertiliser_Products_Data3(), FertiliserProducts[[#Headers],[Company]],61)</f>
        <v>Risso Liquid NPK (200-200-200)</v>
      </c>
      <c r="F172" s="177" t="str" cm="1">
        <f t="array" ref="F172">Common_InputFunctions.Utility_DisplayArrayInTable(Fertiliser_SourceData.Fertiliser_Products_Data3(), FertiliserProducts[[#Headers],[Company]],61)</f>
        <v>L</v>
      </c>
      <c r="G172" s="177" cm="1">
        <f t="array" ref="G172">Common_InputFunctions.Utility_DisplayArrayInTable(Fertiliser_SourceData.Fertiliser_Products_Data3(), FertiliserProducts[[#Headers],[Company]],61)</f>
        <v>1.3</v>
      </c>
      <c r="H172" s="177" t="str" cm="1">
        <f t="array" ref="H172">Common_InputFunctions.Utility_DisplayArrayInTable(Fertiliser_SourceData.Fertiliser_Products_Data3(), FertiliserProducts[[#Headers],[Company]],61)</f>
        <v/>
      </c>
      <c r="I172" s="177" t="str" cm="1">
        <f t="array" ref="I172">Common_InputFunctions.Utility_DisplayArrayInTable(Fertiliser_SourceData.Fertiliser_Products_Data3(), FertiliserProducts[[#Headers],[Company]],61)</f>
        <v/>
      </c>
      <c r="J172" s="177" t="str" cm="1">
        <f t="array" ref="J172">Common_InputFunctions.Utility_DisplayArrayInTable(Fertiliser_SourceData.Fertiliser_Products_Data3(), FertiliserProducts[[#Headers],[Company]],61)</f>
        <v/>
      </c>
      <c r="K172" s="177" cm="1">
        <f t="array" ref="K172">Common_InputFunctions.Utility_DisplayArrayInTable(Fertiliser_SourceData.Fertiliser_Products_Data3(), FertiliserProducts[[#Headers],[Company]],61)</f>
        <v>20</v>
      </c>
      <c r="L172" s="177" cm="1">
        <f t="array" ref="L172">Common_InputFunctions.Utility_DisplayArrayInTable(Fertiliser_SourceData.Fertiliser_Products_Data3(), FertiliserProducts[[#Headers],[Company]],61)</f>
        <v>8.73</v>
      </c>
      <c r="M172" s="177" cm="1">
        <f t="array" ref="M172">Common_InputFunctions.Utility_DisplayArrayInTable(Fertiliser_SourceData.Fertiliser_Products_Data3(), FertiliserProducts[[#Headers],[Company]],61)</f>
        <v>16.600000000000001</v>
      </c>
      <c r="N172" s="177" t="str" cm="1">
        <f t="array" ref="N172">Common_InputFunctions.Utility_DisplayArrayInTable(Fertiliser_SourceData.Fertiliser_Products_Data3(), FertiliserProducts[[#Headers],[Company]],61)</f>
        <v/>
      </c>
      <c r="O172" s="177" t="str" cm="1">
        <f t="array" ref="O172">Common_InputFunctions.Utility_DisplayArrayInTable(Fertiliser_SourceData.Fertiliser_Products_Data3(), FertiliserProducts[[#Headers],[Company]],61)</f>
        <v>Nitrogen - Generic</v>
      </c>
      <c r="P172" s="177" cm="1">
        <f t="array" ref="P172">Common_InputFunctions.Utility_DisplayArrayInTable(Fertiliser_SourceData.Fertiliser_Products_Data3(), FertiliserProducts[[#Headers],[Company]],61)</f>
        <v>0.2</v>
      </c>
      <c r="Q172" s="177" t="str" cm="1">
        <f t="array" ref="Q172">Common_InputFunctions.Utility_DisplayArrayInTable(Fertiliser_SourceData.Fertiliser_Products_Data3(), FertiliserProducts[[#Headers],[Company]],61)</f>
        <v>Phosphorus - Generic</v>
      </c>
      <c r="R172" s="177" cm="1">
        <f t="array" ref="R172">Common_InputFunctions.Utility_DisplayArrayInTable(Fertiliser_SourceData.Fertiliser_Products_Data3(), FertiliserProducts[[#Headers],[Company]],61)</f>
        <v>8.7279999999999996E-2</v>
      </c>
      <c r="S172" s="177" t="str" cm="1">
        <f t="array" ref="S172">Common_InputFunctions.Utility_DisplayArrayInTable(Fertiliser_SourceData.Fertiliser_Products_Data3(), FertiliserProducts[[#Headers],[Company]],61)</f>
        <v>Potassium - Generic</v>
      </c>
      <c r="T172" s="177" cm="1">
        <f t="array" ref="T172">Common_InputFunctions.Utility_DisplayArrayInTable(Fertiliser_SourceData.Fertiliser_Products_Data3(), FertiliserProducts[[#Headers],[Company]],61)</f>
        <v>0.16602</v>
      </c>
      <c r="U172" s="177" t="str" cm="1">
        <f t="array" ref="U172">Common_InputFunctions.Utility_DisplayArrayInTable(Fertiliser_SourceData.Fertiliser_Products_Data3(), FertiliserProducts[[#Headers],[Company]],61)</f>
        <v/>
      </c>
      <c r="V172" s="177" t="str" cm="1">
        <f t="array" ref="V172">Common_InputFunctions.Utility_DisplayArrayInTable(Fertiliser_SourceData.Fertiliser_Products_Data3(), FertiliserProducts[[#Headers],[Company]],61)</f>
        <v/>
      </c>
      <c r="W172" s="177" t="str" cm="1">
        <f t="array" ref="W172">Common_InputFunctions.Utility_DisplayArrayInTable(Fertiliser_SourceData.Fertiliser_Products_Data3(), FertiliserProducts[[#Headers],[Company]],61)</f>
        <v/>
      </c>
      <c r="X172" s="177" t="str" cm="1">
        <f t="array" ref="X172">Common_InputFunctions.Utility_DisplayArrayInTable(Fertiliser_SourceData.Fertiliser_Products_Data3(), FertiliserProducts[[#Headers],[Company]],61)</f>
        <v/>
      </c>
      <c r="Y172" s="177" t="str" cm="1">
        <f t="array" ref="Y172">Common_InputFunctions.Utility_DisplayArrayInTable(Fertiliser_SourceData.Fertiliser_Products_Data3(), FertiliserProducts[[#Headers],[Company]],61)</f>
        <v/>
      </c>
      <c r="Z172" s="177" t="str" cm="1">
        <f t="array" ref="Z172">Common_InputFunctions.Utility_DisplayArrayInTable(Fertiliser_SourceData.Fertiliser_Products_Data3(), FertiliserProducts[[#Headers],[Company]],61)</f>
        <v/>
      </c>
      <c r="AA172" s="177" t="str" cm="1">
        <f t="array" ref="AA172">Common_InputFunctions.Utility_DisplayArrayInTable(Fertiliser_SourceData.Fertiliser_Products_Data3(), FertiliserProducts[[#Headers],[Company]],61)</f>
        <v/>
      </c>
      <c r="AB172" s="177" t="str" cm="1">
        <f t="array" ref="AB172">Common_InputFunctions.Utility_DisplayArrayInTable(Fertiliser_SourceData.Fertiliser_Products_Data3(), FertiliserProducts[[#Headers],[Company]],61)</f>
        <v/>
      </c>
      <c r="AC172" s="177" t="str" cm="1">
        <f t="array" ref="AC172">Common_InputFunctions.Utility_DisplayArrayInTable(Fertiliser_SourceData.Fertiliser_Products_Data3(), FertiliserProducts[[#Headers],[Company]],61)</f>
        <v/>
      </c>
      <c r="AD172" s="177" t="str" cm="1">
        <f t="array" ref="AD172">Common_InputFunctions.Utility_DisplayArrayInTable(Fertiliser_SourceData.Fertiliser_Products_Data3(), FertiliserProducts[[#Headers],[Company]],61)</f>
        <v/>
      </c>
      <c r="AE172" s="177" t="str" cm="1">
        <f t="array" ref="AE172">Common_InputFunctions.Utility_DisplayArrayInTable(Fertiliser_SourceData.Fertiliser_Products_Data3(), FertiliserProducts[[#Headers],[Company]],61)</f>
        <v/>
      </c>
      <c r="AF172" s="177" t="str" cm="1">
        <f t="array" ref="AF172">Common_InputFunctions.Utility_DisplayArrayInTable(Fertiliser_SourceData.Fertiliser_Products_Data3(), FertiliserProducts[[#Headers],[Company]],61)</f>
        <v/>
      </c>
      <c r="AG172" s="177" t="str" cm="1">
        <f t="array" ref="AG172">Common_InputFunctions.Utility_DisplayArrayInTable(Fertiliser_SourceData.Fertiliser_Products_Data3(), FertiliserProducts[[#Headers],[Company]],61)</f>
        <v/>
      </c>
      <c r="AH172" s="177" t="str" cm="1">
        <f t="array" ref="AH172">Common_InputFunctions.Utility_DisplayArrayInTable(Fertiliser_SourceData.Fertiliser_Products_Data3(), FertiliserProducts[[#Headers],[Company]],61)</f>
        <v/>
      </c>
      <c r="AK172" s="1"/>
    </row>
    <row r="173" spans="4:37" x14ac:dyDescent="0.25" ht="20" customHeight="1">
      <c r="D173" s="177" t="str" cm="1">
        <f t="array" ref="D173">Common_InputFunctions.Utility_DisplayArrayInTable(Fertiliser_SourceData.Fertiliser_Products_Data3(), FertiliserProducts[[#Headers],[Company]],61)</f>
        <v>Turf Group Australia (Simplot)</v>
      </c>
      <c r="E173" s="177" t="str" cm="1">
        <f t="array" ref="E173">Common_InputFunctions.Utility_DisplayArrayInTable(Fertiliser_SourceData.Fertiliser_Products_Data3(), FertiliserProducts[[#Headers],[Company]],61)</f>
        <v>Super Cal 15-0-12</v>
      </c>
      <c r="F173" s="177" t="str" cm="1">
        <f t="array" ref="F173">Common_InputFunctions.Utility_DisplayArrayInTable(Fertiliser_SourceData.Fertiliser_Products_Data3(), FertiliserProducts[[#Headers],[Company]],61)</f>
        <v>kg</v>
      </c>
      <c r="G173" s="177" cm="1">
        <f t="array" ref="G173">Common_InputFunctions.Utility_DisplayArrayInTable(Fertiliser_SourceData.Fertiliser_Products_Data3(), FertiliserProducts[[#Headers],[Company]],61)</f>
        <v>1</v>
      </c>
      <c r="H173" s="177" t="str" cm="1">
        <f t="array" ref="H173">Common_InputFunctions.Utility_DisplayArrayInTable(Fertiliser_SourceData.Fertiliser_Products_Data3(), FertiliserProducts[[#Headers],[Company]],61)</f>
        <v/>
      </c>
      <c r="I173" s="177" t="str" cm="1">
        <f t="array" ref="I173">Common_InputFunctions.Utility_DisplayArrayInTable(Fertiliser_SourceData.Fertiliser_Products_Data3(), FertiliserProducts[[#Headers],[Company]],61)</f>
        <v/>
      </c>
      <c r="J173" s="177" t="str" cm="1">
        <f t="array" ref="J173">Common_InputFunctions.Utility_DisplayArrayInTable(Fertiliser_SourceData.Fertiliser_Products_Data3(), FertiliserProducts[[#Headers],[Company]],61)</f>
        <v/>
      </c>
      <c r="K173" s="177" cm="1">
        <f t="array" ref="K173">Common_InputFunctions.Utility_DisplayArrayInTable(Fertiliser_SourceData.Fertiliser_Products_Data3(), FertiliserProducts[[#Headers],[Company]],61)</f>
        <v>15</v>
      </c>
      <c r="L173" s="177" t="str" cm="1">
        <f t="array" ref="L173">Common_InputFunctions.Utility_DisplayArrayInTable(Fertiliser_SourceData.Fertiliser_Products_Data3(), FertiliserProducts[[#Headers],[Company]],61)</f>
        <v/>
      </c>
      <c r="M173" s="177" cm="1">
        <f t="array" ref="M173">Common_InputFunctions.Utility_DisplayArrayInTable(Fertiliser_SourceData.Fertiliser_Products_Data3(), FertiliserProducts[[#Headers],[Company]],61)</f>
        <v>9.9600000000000009</v>
      </c>
      <c r="N173" s="177" t="str" cm="1">
        <f t="array" ref="N173">Common_InputFunctions.Utility_DisplayArrayInTable(Fertiliser_SourceData.Fertiliser_Products_Data3(), FertiliserProducts[[#Headers],[Company]],61)</f>
        <v/>
      </c>
      <c r="O173" s="177" t="str" cm="1">
        <f t="array" ref="O173">Common_InputFunctions.Utility_DisplayArrayInTable(Fertiliser_SourceData.Fertiliser_Products_Data3(), FertiliserProducts[[#Headers],[Company]],61)</f>
        <v>Nitrogen - Nitrate</v>
      </c>
      <c r="P173" s="177" cm="1">
        <f t="array" ref="P173">Common_InputFunctions.Utility_DisplayArrayInTable(Fertiliser_SourceData.Fertiliser_Products_Data3(), FertiliserProducts[[#Headers],[Company]],61)</f>
        <v>8.4737000000000007E-2</v>
      </c>
      <c r="Q173" s="177" t="str" cm="1">
        <f t="array" ref="Q173">Common_InputFunctions.Utility_DisplayArrayInTable(Fertiliser_SourceData.Fertiliser_Products_Data3(), FertiliserProducts[[#Headers],[Company]],61)</f>
        <v>Potassium - Generic</v>
      </c>
      <c r="R173" s="177" cm="1">
        <f t="array" ref="R173">Common_InputFunctions.Utility_DisplayArrayInTable(Fertiliser_SourceData.Fertiliser_Products_Data3(), FertiliserProducts[[#Headers],[Company]],61)</f>
        <v>9.9612000000000006E-2</v>
      </c>
      <c r="S173" s="177" t="str" cm="1">
        <f t="array" ref="S173">Common_InputFunctions.Utility_DisplayArrayInTable(Fertiliser_SourceData.Fertiliser_Products_Data3(), FertiliserProducts[[#Headers],[Company]],61)</f>
        <v>Calcium nitrate</v>
      </c>
      <c r="T173" s="177" cm="1">
        <f t="array" ref="T173">Common_InputFunctions.Utility_DisplayArrayInTable(Fertiliser_SourceData.Fertiliser_Products_Data3(), FertiliserProducts[[#Headers],[Company]],61)</f>
        <v>0.42105300000000001</v>
      </c>
      <c r="U173" s="177" t="str" cm="1">
        <f t="array" ref="U173">Common_InputFunctions.Utility_DisplayArrayInTable(Fertiliser_SourceData.Fertiliser_Products_Data3(), FertiliserProducts[[#Headers],[Company]],61)</f>
        <v>Magnesium</v>
      </c>
      <c r="V173" s="177" cm="1">
        <f t="array" ref="V173">Common_InputFunctions.Utility_DisplayArrayInTable(Fertiliser_SourceData.Fertiliser_Products_Data3(), FertiliserProducts[[#Headers],[Company]],61)</f>
        <v>5.0000000000000001E-3</v>
      </c>
      <c r="W173" s="177" t="str" cm="1">
        <f t="array" ref="W173">Common_InputFunctions.Utility_DisplayArrayInTable(Fertiliser_SourceData.Fertiliser_Products_Data3(), FertiliserProducts[[#Headers],[Company]],61)</f>
        <v>Boron</v>
      </c>
      <c r="X173" s="177" cm="1">
        <f t="array" ref="X173">Common_InputFunctions.Utility_DisplayArrayInTable(Fertiliser_SourceData.Fertiliser_Products_Data3(), FertiliserProducts[[#Headers],[Company]],61)</f>
        <v>2.0000000000000001E-4</v>
      </c>
      <c r="Y173" s="177" t="str" cm="1">
        <f t="array" ref="Y173">Common_InputFunctions.Utility_DisplayArrayInTable(Fertiliser_SourceData.Fertiliser_Products_Data3(), FertiliserProducts[[#Headers],[Company]],61)</f>
        <v/>
      </c>
      <c r="Z173" s="177" t="str" cm="1">
        <f t="array" ref="Z173">Common_InputFunctions.Utility_DisplayArrayInTable(Fertiliser_SourceData.Fertiliser_Products_Data3(), FertiliserProducts[[#Headers],[Company]],61)</f>
        <v/>
      </c>
      <c r="AA173" s="177" t="str" cm="1">
        <f t="array" ref="AA173">Common_InputFunctions.Utility_DisplayArrayInTable(Fertiliser_SourceData.Fertiliser_Products_Data3(), FertiliserProducts[[#Headers],[Company]],61)</f>
        <v/>
      </c>
      <c r="AB173" s="177" t="str" cm="1">
        <f t="array" ref="AB173">Common_InputFunctions.Utility_DisplayArrayInTable(Fertiliser_SourceData.Fertiliser_Products_Data3(), FertiliserProducts[[#Headers],[Company]],61)</f>
        <v/>
      </c>
      <c r="AC173" s="177" t="str" cm="1">
        <f t="array" ref="AC173">Common_InputFunctions.Utility_DisplayArrayInTable(Fertiliser_SourceData.Fertiliser_Products_Data3(), FertiliserProducts[[#Headers],[Company]],61)</f>
        <v/>
      </c>
      <c r="AD173" s="177" t="str" cm="1">
        <f t="array" ref="AD173">Common_InputFunctions.Utility_DisplayArrayInTable(Fertiliser_SourceData.Fertiliser_Products_Data3(), FertiliserProducts[[#Headers],[Company]],61)</f>
        <v/>
      </c>
      <c r="AE173" s="177" t="str" cm="1">
        <f t="array" ref="AE173">Common_InputFunctions.Utility_DisplayArrayInTable(Fertiliser_SourceData.Fertiliser_Products_Data3(), FertiliserProducts[[#Headers],[Company]],61)</f>
        <v/>
      </c>
      <c r="AF173" s="177" t="str" cm="1">
        <f t="array" ref="AF173">Common_InputFunctions.Utility_DisplayArrayInTable(Fertiliser_SourceData.Fertiliser_Products_Data3(), FertiliserProducts[[#Headers],[Company]],61)</f>
        <v/>
      </c>
      <c r="AG173" s="177" t="str" cm="1">
        <f t="array" ref="AG173">Common_InputFunctions.Utility_DisplayArrayInTable(Fertiliser_SourceData.Fertiliser_Products_Data3(), FertiliserProducts[[#Headers],[Company]],61)</f>
        <v/>
      </c>
      <c r="AH173" s="177" t="str" cm="1">
        <f t="array" ref="AH173">Common_InputFunctions.Utility_DisplayArrayInTable(Fertiliser_SourceData.Fertiliser_Products_Data3(), FertiliserProducts[[#Headers],[Company]],61)</f>
        <v/>
      </c>
      <c r="AK173" s="1"/>
    </row>
    <row r="174" spans="4:37" x14ac:dyDescent="0.25" ht="20" customHeight="1">
      <c r="D174" s="177" t="str" cm="1">
        <f t="array" ref="D174">Common_InputFunctions.Utility_DisplayArrayInTable(Fertiliser_SourceData.Fertiliser_Products_Data3(), FertiliserProducts[[#Headers],[Company]],61)</f>
        <v>Incitec Pivot Fertilisers</v>
      </c>
      <c r="E174" s="177" t="str" cm="1">
        <f t="array" ref="E174">Common_InputFunctions.Utility_DisplayArrayInTable(Fertiliser_SourceData.Fertiliser_Products_Data3(), FertiliserProducts[[#Headers],[Company]],61)</f>
        <v>CK 88</v>
      </c>
      <c r="F174" s="177" t="str" cm="1">
        <f t="array" ref="F174">Common_InputFunctions.Utility_DisplayArrayInTable(Fertiliser_SourceData.Fertiliser_Products_Data3(), FertiliserProducts[[#Headers],[Company]],61)</f>
        <v>kg</v>
      </c>
      <c r="G174" s="177" cm="1">
        <f t="array" ref="G174">Common_InputFunctions.Utility_DisplayArrayInTable(Fertiliser_SourceData.Fertiliser_Products_Data3(), FertiliserProducts[[#Headers],[Company]],61)</f>
        <v>1</v>
      </c>
      <c r="H174" s="177" t="str" cm="1">
        <f t="array" ref="H174">Common_InputFunctions.Utility_DisplayArrayInTable(Fertiliser_SourceData.Fertiliser_Products_Data3(), FertiliserProducts[[#Headers],[Company]],61)</f>
        <v/>
      </c>
      <c r="I174" s="177" t="str" cm="1">
        <f t="array" ref="I174">Common_InputFunctions.Utility_DisplayArrayInTable(Fertiliser_SourceData.Fertiliser_Products_Data3(), FertiliserProducts[[#Headers],[Company]],61)</f>
        <v/>
      </c>
      <c r="J174" s="177" t="str" cm="1">
        <f t="array" ref="J174">Common_InputFunctions.Utility_DisplayArrayInTable(Fertiliser_SourceData.Fertiliser_Products_Data3(), FertiliserProducts[[#Headers],[Company]],61)</f>
        <v/>
      </c>
      <c r="K174" s="177" cm="1">
        <f t="array" ref="K174">Common_InputFunctions.Utility_DisplayArrayInTable(Fertiliser_SourceData.Fertiliser_Products_Data3(), FertiliserProducts[[#Headers],[Company]],61)</f>
        <v>15.1</v>
      </c>
      <c r="L174" s="177" cm="1">
        <f t="array" ref="L174">Common_InputFunctions.Utility_DisplayArrayInTable(Fertiliser_SourceData.Fertiliser_Products_Data3(), FertiliserProducts[[#Headers],[Company]],61)</f>
        <v>4.4000000000000004</v>
      </c>
      <c r="M174" s="177" cm="1">
        <f t="array" ref="M174">Common_InputFunctions.Utility_DisplayArrayInTable(Fertiliser_SourceData.Fertiliser_Products_Data3(), FertiliserProducts[[#Headers],[Company]],61)</f>
        <v>11.5</v>
      </c>
      <c r="N174" s="177" cm="1">
        <f t="array" ref="N174">Common_InputFunctions.Utility_DisplayArrayInTable(Fertiliser_SourceData.Fertiliser_Products_Data3(), FertiliserProducts[[#Headers],[Company]],61)</f>
        <v>13.6</v>
      </c>
      <c r="O174" s="177" t="str" cm="1">
        <f t="array" ref="O174">Common_InputFunctions.Utility_DisplayArrayInTable(Fertiliser_SourceData.Fertiliser_Products_Data3(), FertiliserProducts[[#Headers],[Company]],61)</f>
        <v>Nitrogen - Generic</v>
      </c>
      <c r="P174" s="177" cm="1">
        <f t="array" ref="P174">Common_InputFunctions.Utility_DisplayArrayInTable(Fertiliser_SourceData.Fertiliser_Products_Data3(), FertiliserProducts[[#Headers],[Company]],61)</f>
        <v>0.151</v>
      </c>
      <c r="Q174" s="177" t="str" cm="1">
        <f t="array" ref="Q174">Common_InputFunctions.Utility_DisplayArrayInTable(Fertiliser_SourceData.Fertiliser_Products_Data3(), FertiliserProducts[[#Headers],[Company]],61)</f>
        <v>Phosphorus - Generic</v>
      </c>
      <c r="R174" s="177" cm="1">
        <f t="array" ref="R174">Common_InputFunctions.Utility_DisplayArrayInTable(Fertiliser_SourceData.Fertiliser_Products_Data3(), FertiliserProducts[[#Headers],[Company]],61)</f>
        <v>4.3999999999999997E-2</v>
      </c>
      <c r="S174" s="177" t="str" cm="1">
        <f t="array" ref="S174">Common_InputFunctions.Utility_DisplayArrayInTable(Fertiliser_SourceData.Fertiliser_Products_Data3(), FertiliserProducts[[#Headers],[Company]],61)</f>
        <v>Potassium - Generic</v>
      </c>
      <c r="T174" s="177" cm="1">
        <f t="array" ref="T174">Common_InputFunctions.Utility_DisplayArrayInTable(Fertiliser_SourceData.Fertiliser_Products_Data3(), FertiliserProducts[[#Headers],[Company]],61)</f>
        <v>0.115</v>
      </c>
      <c r="U174" s="177" t="str" cm="1">
        <f t="array" ref="U174">Common_InputFunctions.Utility_DisplayArrayInTable(Fertiliser_SourceData.Fertiliser_Products_Data3(), FertiliserProducts[[#Headers],[Company]],61)</f>
        <v>Sulfur - Generic</v>
      </c>
      <c r="V174" s="177" cm="1">
        <f t="array" ref="V174">Common_InputFunctions.Utility_DisplayArrayInTable(Fertiliser_SourceData.Fertiliser_Products_Data3(), FertiliserProducts[[#Headers],[Company]],61)</f>
        <v>0.13600000000000001</v>
      </c>
      <c r="W174" s="177" t="str" cm="1">
        <f t="array" ref="W174">Common_InputFunctions.Utility_DisplayArrayInTable(Fertiliser_SourceData.Fertiliser_Products_Data3(), FertiliserProducts[[#Headers],[Company]],61)</f>
        <v/>
      </c>
      <c r="X174" s="177" t="str" cm="1">
        <f t="array" ref="X174">Common_InputFunctions.Utility_DisplayArrayInTable(Fertiliser_SourceData.Fertiliser_Products_Data3(), FertiliserProducts[[#Headers],[Company]],61)</f>
        <v/>
      </c>
      <c r="Y174" s="177" t="str" cm="1">
        <f t="array" ref="Y174">Common_InputFunctions.Utility_DisplayArrayInTable(Fertiliser_SourceData.Fertiliser_Products_Data3(), FertiliserProducts[[#Headers],[Company]],61)</f>
        <v/>
      </c>
      <c r="Z174" s="177" t="str" cm="1">
        <f t="array" ref="Z174">Common_InputFunctions.Utility_DisplayArrayInTable(Fertiliser_SourceData.Fertiliser_Products_Data3(), FertiliserProducts[[#Headers],[Company]],61)</f>
        <v/>
      </c>
      <c r="AA174" s="177" t="str" cm="1">
        <f t="array" ref="AA174">Common_InputFunctions.Utility_DisplayArrayInTable(Fertiliser_SourceData.Fertiliser_Products_Data3(), FertiliserProducts[[#Headers],[Company]],61)</f>
        <v/>
      </c>
      <c r="AB174" s="177" t="str" cm="1">
        <f t="array" ref="AB174">Common_InputFunctions.Utility_DisplayArrayInTable(Fertiliser_SourceData.Fertiliser_Products_Data3(), FertiliserProducts[[#Headers],[Company]],61)</f>
        <v/>
      </c>
      <c r="AC174" s="177" t="str" cm="1">
        <f t="array" ref="AC174">Common_InputFunctions.Utility_DisplayArrayInTable(Fertiliser_SourceData.Fertiliser_Products_Data3(), FertiliserProducts[[#Headers],[Company]],61)</f>
        <v/>
      </c>
      <c r="AD174" s="177" t="str" cm="1">
        <f t="array" ref="AD174">Common_InputFunctions.Utility_DisplayArrayInTable(Fertiliser_SourceData.Fertiliser_Products_Data3(), FertiliserProducts[[#Headers],[Company]],61)</f>
        <v/>
      </c>
      <c r="AE174" s="177" t="str" cm="1">
        <f t="array" ref="AE174">Common_InputFunctions.Utility_DisplayArrayInTable(Fertiliser_SourceData.Fertiliser_Products_Data3(), FertiliserProducts[[#Headers],[Company]],61)</f>
        <v/>
      </c>
      <c r="AF174" s="177" t="str" cm="1">
        <f t="array" ref="AF174">Common_InputFunctions.Utility_DisplayArrayInTable(Fertiliser_SourceData.Fertiliser_Products_Data3(), FertiliserProducts[[#Headers],[Company]],61)</f>
        <v/>
      </c>
      <c r="AG174" s="177" t="str" cm="1">
        <f t="array" ref="AG174">Common_InputFunctions.Utility_DisplayArrayInTable(Fertiliser_SourceData.Fertiliser_Products_Data3(), FertiliserProducts[[#Headers],[Company]],61)</f>
        <v/>
      </c>
      <c r="AH174" s="177" t="str" cm="1">
        <f t="array" ref="AH174">Common_InputFunctions.Utility_DisplayArrayInTable(Fertiliser_SourceData.Fertiliser_Products_Data3(), FertiliserProducts[[#Headers],[Company]],61)</f>
        <v/>
      </c>
      <c r="AK174" s="1"/>
    </row>
    <row r="175" spans="4:37" x14ac:dyDescent="0.25" ht="20" customHeight="1">
      <c r="D175" s="177" t="str" cm="1">
        <f t="array" ref="D175">Common_InputFunctions.Utility_DisplayArrayInTable(Fertiliser_SourceData.Fertiliser_Products_Data3(), FertiliserProducts[[#Headers],[Company]],61)</f>
        <v>Incitec Pivot Fertilisers</v>
      </c>
      <c r="E175" s="177" t="str" cm="1">
        <f t="array" ref="E175">Common_InputFunctions.Utility_DisplayArrayInTable(Fertiliser_SourceData.Fertiliser_Products_Data3(), FertiliserProducts[[#Headers],[Company]],61)</f>
        <v>CropLift 15</v>
      </c>
      <c r="F175" s="177" t="str" cm="1">
        <f t="array" ref="F175">Common_InputFunctions.Utility_DisplayArrayInTable(Fertiliser_SourceData.Fertiliser_Products_Data3(), FertiliserProducts[[#Headers],[Company]],61)</f>
        <v>kg</v>
      </c>
      <c r="G175" s="177" cm="1">
        <f t="array" ref="G175">Common_InputFunctions.Utility_DisplayArrayInTable(Fertiliser_SourceData.Fertiliser_Products_Data3(), FertiliserProducts[[#Headers],[Company]],61)</f>
        <v>1</v>
      </c>
      <c r="H175" s="177" t="str" cm="1">
        <f t="array" ref="H175">Common_InputFunctions.Utility_DisplayArrayInTable(Fertiliser_SourceData.Fertiliser_Products_Data3(), FertiliserProducts[[#Headers],[Company]],61)</f>
        <v/>
      </c>
      <c r="I175" s="177" t="str" cm="1">
        <f t="array" ref="I175">Common_InputFunctions.Utility_DisplayArrayInTable(Fertiliser_SourceData.Fertiliser_Products_Data3(), FertiliserProducts[[#Headers],[Company]],61)</f>
        <v/>
      </c>
      <c r="J175" s="177" t="str" cm="1">
        <f t="array" ref="J175">Common_InputFunctions.Utility_DisplayArrayInTable(Fertiliser_SourceData.Fertiliser_Products_Data3(), FertiliserProducts[[#Headers],[Company]],61)</f>
        <v/>
      </c>
      <c r="K175" s="177" cm="1">
        <f t="array" ref="K175">Common_InputFunctions.Utility_DisplayArrayInTable(Fertiliser_SourceData.Fertiliser_Products_Data3(), FertiliserProducts[[#Headers],[Company]],61)</f>
        <v>14.6</v>
      </c>
      <c r="L175" s="177" cm="1">
        <f t="array" ref="L175">Common_InputFunctions.Utility_DisplayArrayInTable(Fertiliser_SourceData.Fertiliser_Products_Data3(), FertiliserProducts[[#Headers],[Company]],61)</f>
        <v>12.1</v>
      </c>
      <c r="M175" s="177" t="str" cm="1">
        <f t="array" ref="M175">Common_InputFunctions.Utility_DisplayArrayInTable(Fertiliser_SourceData.Fertiliser_Products_Data3(), FertiliserProducts[[#Headers],[Company]],61)</f>
        <v/>
      </c>
      <c r="N175" s="177" cm="1">
        <f t="array" ref="N175">Common_InputFunctions.Utility_DisplayArrayInTable(Fertiliser_SourceData.Fertiliser_Products_Data3(), FertiliserProducts[[#Headers],[Company]],61)</f>
        <v>11.6</v>
      </c>
      <c r="O175" s="177" t="str" cm="1">
        <f t="array" ref="O175">Common_InputFunctions.Utility_DisplayArrayInTable(Fertiliser_SourceData.Fertiliser_Products_Data3(), FertiliserProducts[[#Headers],[Company]],61)</f>
        <v>Nitrogen - Generic</v>
      </c>
      <c r="P175" s="177" cm="1">
        <f t="array" ref="P175">Common_InputFunctions.Utility_DisplayArrayInTable(Fertiliser_SourceData.Fertiliser_Products_Data3(), FertiliserProducts[[#Headers],[Company]],61)</f>
        <v>0.14599999999999999</v>
      </c>
      <c r="Q175" s="177" t="str" cm="1">
        <f t="array" ref="Q175">Common_InputFunctions.Utility_DisplayArrayInTable(Fertiliser_SourceData.Fertiliser_Products_Data3(), FertiliserProducts[[#Headers],[Company]],61)</f>
        <v>Phosphorus - Generic</v>
      </c>
      <c r="R175" s="177" cm="1">
        <f t="array" ref="R175">Common_InputFunctions.Utility_DisplayArrayInTable(Fertiliser_SourceData.Fertiliser_Products_Data3(), FertiliserProducts[[#Headers],[Company]],61)</f>
        <v>0.121</v>
      </c>
      <c r="S175" s="177" t="str" cm="1">
        <f t="array" ref="S175">Common_InputFunctions.Utility_DisplayArrayInTable(Fertiliser_SourceData.Fertiliser_Products_Data3(), FertiliserProducts[[#Headers],[Company]],61)</f>
        <v>Sulfur - Generic</v>
      </c>
      <c r="T175" s="177" cm="1">
        <f t="array" ref="T175">Common_InputFunctions.Utility_DisplayArrayInTable(Fertiliser_SourceData.Fertiliser_Products_Data3(), FertiliserProducts[[#Headers],[Company]],61)</f>
        <v>0.11600000000000001</v>
      </c>
      <c r="U175" s="177" t="str" cm="1">
        <f t="array" ref="U175">Common_InputFunctions.Utility_DisplayArrayInTable(Fertiliser_SourceData.Fertiliser_Products_Data3(), FertiliserProducts[[#Headers],[Company]],61)</f>
        <v/>
      </c>
      <c r="V175" s="177" t="str" cm="1">
        <f t="array" ref="V175">Common_InputFunctions.Utility_DisplayArrayInTable(Fertiliser_SourceData.Fertiliser_Products_Data3(), FertiliserProducts[[#Headers],[Company]],61)</f>
        <v/>
      </c>
      <c r="W175" s="177" t="str" cm="1">
        <f t="array" ref="W175">Common_InputFunctions.Utility_DisplayArrayInTable(Fertiliser_SourceData.Fertiliser_Products_Data3(), FertiliserProducts[[#Headers],[Company]],61)</f>
        <v/>
      </c>
      <c r="X175" s="177" t="str" cm="1">
        <f t="array" ref="X175">Common_InputFunctions.Utility_DisplayArrayInTable(Fertiliser_SourceData.Fertiliser_Products_Data3(), FertiliserProducts[[#Headers],[Company]],61)</f>
        <v/>
      </c>
      <c r="Y175" s="177" t="str" cm="1">
        <f t="array" ref="Y175">Common_InputFunctions.Utility_DisplayArrayInTable(Fertiliser_SourceData.Fertiliser_Products_Data3(), FertiliserProducts[[#Headers],[Company]],61)</f>
        <v/>
      </c>
      <c r="Z175" s="177" t="str" cm="1">
        <f t="array" ref="Z175">Common_InputFunctions.Utility_DisplayArrayInTable(Fertiliser_SourceData.Fertiliser_Products_Data3(), FertiliserProducts[[#Headers],[Company]],61)</f>
        <v/>
      </c>
      <c r="AA175" s="177" t="str" cm="1">
        <f t="array" ref="AA175">Common_InputFunctions.Utility_DisplayArrayInTable(Fertiliser_SourceData.Fertiliser_Products_Data3(), FertiliserProducts[[#Headers],[Company]],61)</f>
        <v/>
      </c>
      <c r="AB175" s="177" t="str" cm="1">
        <f t="array" ref="AB175">Common_InputFunctions.Utility_DisplayArrayInTable(Fertiliser_SourceData.Fertiliser_Products_Data3(), FertiliserProducts[[#Headers],[Company]],61)</f>
        <v/>
      </c>
      <c r="AC175" s="177" t="str" cm="1">
        <f t="array" ref="AC175">Common_InputFunctions.Utility_DisplayArrayInTable(Fertiliser_SourceData.Fertiliser_Products_Data3(), FertiliserProducts[[#Headers],[Company]],61)</f>
        <v/>
      </c>
      <c r="AD175" s="177" t="str" cm="1">
        <f t="array" ref="AD175">Common_InputFunctions.Utility_DisplayArrayInTable(Fertiliser_SourceData.Fertiliser_Products_Data3(), FertiliserProducts[[#Headers],[Company]],61)</f>
        <v/>
      </c>
      <c r="AE175" s="177" t="str" cm="1">
        <f t="array" ref="AE175">Common_InputFunctions.Utility_DisplayArrayInTable(Fertiliser_SourceData.Fertiliser_Products_Data3(), FertiliserProducts[[#Headers],[Company]],61)</f>
        <v/>
      </c>
      <c r="AF175" s="177" t="str" cm="1">
        <f t="array" ref="AF175">Common_InputFunctions.Utility_DisplayArrayInTable(Fertiliser_SourceData.Fertiliser_Products_Data3(), FertiliserProducts[[#Headers],[Company]],61)</f>
        <v/>
      </c>
      <c r="AG175" s="177" t="str" cm="1">
        <f t="array" ref="AG175">Common_InputFunctions.Utility_DisplayArrayInTable(Fertiliser_SourceData.Fertiliser_Products_Data3(), FertiliserProducts[[#Headers],[Company]],61)</f>
        <v/>
      </c>
      <c r="AH175" s="177" t="str" cm="1">
        <f t="array" ref="AH175">Common_InputFunctions.Utility_DisplayArrayInTable(Fertiliser_SourceData.Fertiliser_Products_Data3(), FertiliserProducts[[#Headers],[Company]],61)</f>
        <v/>
      </c>
      <c r="AK175" s="1"/>
    </row>
    <row r="176" spans="4:37" x14ac:dyDescent="0.25" ht="20" customHeight="1">
      <c r="D176" s="177" t="str" cm="1">
        <f t="array" ref="D176">Common_InputFunctions.Utility_DisplayArrayInTable(Fertiliser_SourceData.Fertiliser_Products_Data3(), FertiliserProducts[[#Headers],[Company]],61)</f>
        <v>Incitec Pivot Fertilisers</v>
      </c>
      <c r="E176" s="177" t="str" cm="1">
        <f t="array" ref="E176">Common_InputFunctions.Utility_DisplayArrayInTable(Fertiliser_SourceData.Fertiliser_Products_Data3(), FertiliserProducts[[#Headers],[Company]],61)</f>
        <v>NPKS 19-13-0-9</v>
      </c>
      <c r="F176" s="177" t="str" cm="1">
        <f t="array" ref="F176">Common_InputFunctions.Utility_DisplayArrayInTable(Fertiliser_SourceData.Fertiliser_Products_Data3(), FertiliserProducts[[#Headers],[Company]],61)</f>
        <v>kg</v>
      </c>
      <c r="G176" s="177" cm="1">
        <f t="array" ref="G176">Common_InputFunctions.Utility_DisplayArrayInTable(Fertiliser_SourceData.Fertiliser_Products_Data3(), FertiliserProducts[[#Headers],[Company]],61)</f>
        <v>1</v>
      </c>
      <c r="H176" s="177" t="str" cm="1">
        <f t="array" ref="H176">Common_InputFunctions.Utility_DisplayArrayInTable(Fertiliser_SourceData.Fertiliser_Products_Data3(), FertiliserProducts[[#Headers],[Company]],61)</f>
        <v/>
      </c>
      <c r="I176" s="177" t="str" cm="1">
        <f t="array" ref="I176">Common_InputFunctions.Utility_DisplayArrayInTable(Fertiliser_SourceData.Fertiliser_Products_Data3(), FertiliserProducts[[#Headers],[Company]],61)</f>
        <v/>
      </c>
      <c r="J176" s="177" t="str" cm="1">
        <f t="array" ref="J176">Common_InputFunctions.Utility_DisplayArrayInTable(Fertiliser_SourceData.Fertiliser_Products_Data3(), FertiliserProducts[[#Headers],[Company]],61)</f>
        <v/>
      </c>
      <c r="K176" s="177" cm="1">
        <f t="array" ref="K176">Common_InputFunctions.Utility_DisplayArrayInTable(Fertiliser_SourceData.Fertiliser_Products_Data3(), FertiliserProducts[[#Headers],[Company]],61)</f>
        <v>19</v>
      </c>
      <c r="L176" s="177" cm="1">
        <f t="array" ref="L176">Common_InputFunctions.Utility_DisplayArrayInTable(Fertiliser_SourceData.Fertiliser_Products_Data3(), FertiliserProducts[[#Headers],[Company]],61)</f>
        <v>13</v>
      </c>
      <c r="M176" s="177" cm="1">
        <f t="array" ref="M176">Common_InputFunctions.Utility_DisplayArrayInTable(Fertiliser_SourceData.Fertiliser_Products_Data3(), FertiliserProducts[[#Headers],[Company]],61)</f>
        <v>0</v>
      </c>
      <c r="N176" s="177" cm="1">
        <f t="array" ref="N176">Common_InputFunctions.Utility_DisplayArrayInTable(Fertiliser_SourceData.Fertiliser_Products_Data3(), FertiliserProducts[[#Headers],[Company]],61)</f>
        <v>9</v>
      </c>
      <c r="O176" s="177" t="str" cm="1">
        <f t="array" ref="O176">Common_InputFunctions.Utility_DisplayArrayInTable(Fertiliser_SourceData.Fertiliser_Products_Data3(), FertiliserProducts[[#Headers],[Company]],61)</f>
        <v>Nitrogen - Generic</v>
      </c>
      <c r="P176" s="177" cm="1">
        <f t="array" ref="P176">Common_InputFunctions.Utility_DisplayArrayInTable(Fertiliser_SourceData.Fertiliser_Products_Data3(), FertiliserProducts[[#Headers],[Company]],61)</f>
        <v>0.19</v>
      </c>
      <c r="Q176" s="177" t="str" cm="1">
        <f t="array" ref="Q176">Common_InputFunctions.Utility_DisplayArrayInTable(Fertiliser_SourceData.Fertiliser_Products_Data3(), FertiliserProducts[[#Headers],[Company]],61)</f>
        <v>Phosphorus - Generic</v>
      </c>
      <c r="R176" s="177" cm="1">
        <f t="array" ref="R176">Common_InputFunctions.Utility_DisplayArrayInTable(Fertiliser_SourceData.Fertiliser_Products_Data3(), FertiliserProducts[[#Headers],[Company]],61)</f>
        <v>0.13</v>
      </c>
      <c r="S176" s="177" t="str" cm="1">
        <f t="array" ref="S176">Common_InputFunctions.Utility_DisplayArrayInTable(Fertiliser_SourceData.Fertiliser_Products_Data3(), FertiliserProducts[[#Headers],[Company]],61)</f>
        <v>Sulfur - Generic</v>
      </c>
      <c r="T176" s="177" cm="1">
        <f t="array" ref="T176">Common_InputFunctions.Utility_DisplayArrayInTable(Fertiliser_SourceData.Fertiliser_Products_Data3(), FertiliserProducts[[#Headers],[Company]],61)</f>
        <v>0.09</v>
      </c>
      <c r="U176" s="177" t="str" cm="1">
        <f t="array" ref="U176">Common_InputFunctions.Utility_DisplayArrayInTable(Fertiliser_SourceData.Fertiliser_Products_Data3(), FertiliserProducts[[#Headers],[Company]],61)</f>
        <v/>
      </c>
      <c r="V176" s="177" t="str" cm="1">
        <f t="array" ref="V176">Common_InputFunctions.Utility_DisplayArrayInTable(Fertiliser_SourceData.Fertiliser_Products_Data3(), FertiliserProducts[[#Headers],[Company]],61)</f>
        <v/>
      </c>
      <c r="W176" s="177" t="str" cm="1">
        <f t="array" ref="W176">Common_InputFunctions.Utility_DisplayArrayInTable(Fertiliser_SourceData.Fertiliser_Products_Data3(), FertiliserProducts[[#Headers],[Company]],61)</f>
        <v/>
      </c>
      <c r="X176" s="177" t="str" cm="1">
        <f t="array" ref="X176">Common_InputFunctions.Utility_DisplayArrayInTable(Fertiliser_SourceData.Fertiliser_Products_Data3(), FertiliserProducts[[#Headers],[Company]],61)</f>
        <v/>
      </c>
      <c r="Y176" s="177" t="str" cm="1">
        <f t="array" ref="Y176">Common_InputFunctions.Utility_DisplayArrayInTable(Fertiliser_SourceData.Fertiliser_Products_Data3(), FertiliserProducts[[#Headers],[Company]],61)</f>
        <v/>
      </c>
      <c r="Z176" s="177" t="str" cm="1">
        <f t="array" ref="Z176">Common_InputFunctions.Utility_DisplayArrayInTable(Fertiliser_SourceData.Fertiliser_Products_Data3(), FertiliserProducts[[#Headers],[Company]],61)</f>
        <v/>
      </c>
      <c r="AA176" s="177" t="str" cm="1">
        <f t="array" ref="AA176">Common_InputFunctions.Utility_DisplayArrayInTable(Fertiliser_SourceData.Fertiliser_Products_Data3(), FertiliserProducts[[#Headers],[Company]],61)</f>
        <v/>
      </c>
      <c r="AB176" s="177" t="str" cm="1">
        <f t="array" ref="AB176">Common_InputFunctions.Utility_DisplayArrayInTable(Fertiliser_SourceData.Fertiliser_Products_Data3(), FertiliserProducts[[#Headers],[Company]],61)</f>
        <v/>
      </c>
      <c r="AC176" s="177" t="str" cm="1">
        <f t="array" ref="AC176">Common_InputFunctions.Utility_DisplayArrayInTable(Fertiliser_SourceData.Fertiliser_Products_Data3(), FertiliserProducts[[#Headers],[Company]],61)</f>
        <v/>
      </c>
      <c r="AD176" s="177" t="str" cm="1">
        <f t="array" ref="AD176">Common_InputFunctions.Utility_DisplayArrayInTable(Fertiliser_SourceData.Fertiliser_Products_Data3(), FertiliserProducts[[#Headers],[Company]],61)</f>
        <v/>
      </c>
      <c r="AE176" s="177" t="str" cm="1">
        <f t="array" ref="AE176">Common_InputFunctions.Utility_DisplayArrayInTable(Fertiliser_SourceData.Fertiliser_Products_Data3(), FertiliserProducts[[#Headers],[Company]],61)</f>
        <v/>
      </c>
      <c r="AF176" s="177" t="str" cm="1">
        <f t="array" ref="AF176">Common_InputFunctions.Utility_DisplayArrayInTable(Fertiliser_SourceData.Fertiliser_Products_Data3(), FertiliserProducts[[#Headers],[Company]],61)</f>
        <v/>
      </c>
      <c r="AG176" s="177" t="str" cm="1">
        <f t="array" ref="AG176">Common_InputFunctions.Utility_DisplayArrayInTable(Fertiliser_SourceData.Fertiliser_Products_Data3(), FertiliserProducts[[#Headers],[Company]],61)</f>
        <v/>
      </c>
      <c r="AH176" s="177" t="str" cm="1">
        <f t="array" ref="AH176">Common_InputFunctions.Utility_DisplayArrayInTable(Fertiliser_SourceData.Fertiliser_Products_Data3(), FertiliserProducts[[#Headers],[Company]],61)</f>
        <v/>
      </c>
      <c r="AK176" s="1"/>
    </row>
    <row r="177" spans="4:37" x14ac:dyDescent="0.25" ht="20" customHeight="1">
      <c r="D177" s="177" t="str" cm="1">
        <f t="array" ref="D177">Common_InputFunctions.Utility_DisplayArrayInTable(Fertiliser_SourceData.Fertiliser_Products_Data3(), FertiliserProducts[[#Headers],[Company]],61)</f>
        <v>Incitec Pivot Fertilisers</v>
      </c>
      <c r="E177" s="177" t="str" cm="1">
        <f t="array" ref="E177">Common_InputFunctions.Utility_DisplayArrayInTable(Fertiliser_SourceData.Fertiliser_Products_Data3(), FertiliserProducts[[#Headers],[Company]],61)</f>
        <v>PastureBoosta</v>
      </c>
      <c r="F177" s="177" t="str" cm="1">
        <f t="array" ref="F177">Common_InputFunctions.Utility_DisplayArrayInTable(Fertiliser_SourceData.Fertiliser_Products_Data3(), FertiliserProducts[[#Headers],[Company]],61)</f>
        <v>kg</v>
      </c>
      <c r="G177" s="177" cm="1">
        <f t="array" ref="G177">Common_InputFunctions.Utility_DisplayArrayInTable(Fertiliser_SourceData.Fertiliser_Products_Data3(), FertiliserProducts[[#Headers],[Company]],61)</f>
        <v>1</v>
      </c>
      <c r="H177" s="177" t="str" cm="1">
        <f t="array" ref="H177">Common_InputFunctions.Utility_DisplayArrayInTable(Fertiliser_SourceData.Fertiliser_Products_Data3(), FertiliserProducts[[#Headers],[Company]],61)</f>
        <v/>
      </c>
      <c r="I177" s="177" t="str" cm="1">
        <f t="array" ref="I177">Common_InputFunctions.Utility_DisplayArrayInTable(Fertiliser_SourceData.Fertiliser_Products_Data3(), FertiliserProducts[[#Headers],[Company]],61)</f>
        <v/>
      </c>
      <c r="J177" s="177" t="str" cm="1">
        <f t="array" ref="J177">Common_InputFunctions.Utility_DisplayArrayInTable(Fertiliser_SourceData.Fertiliser_Products_Data3(), FertiliserProducts[[#Headers],[Company]],61)</f>
        <v/>
      </c>
      <c r="K177" s="177" cm="1">
        <f t="array" ref="K177">Common_InputFunctions.Utility_DisplayArrayInTable(Fertiliser_SourceData.Fertiliser_Products_Data3(), FertiliserProducts[[#Headers],[Company]],61)</f>
        <v>23.8</v>
      </c>
      <c r="L177" s="177" cm="1">
        <f t="array" ref="L177">Common_InputFunctions.Utility_DisplayArrayInTable(Fertiliser_SourceData.Fertiliser_Products_Data3(), FertiliserProducts[[#Headers],[Company]],61)</f>
        <v>3.7</v>
      </c>
      <c r="M177" s="177" cm="1">
        <f t="array" ref="M177">Common_InputFunctions.Utility_DisplayArrayInTable(Fertiliser_SourceData.Fertiliser_Products_Data3(), FertiliserProducts[[#Headers],[Company]],61)</f>
        <v>13</v>
      </c>
      <c r="N177" s="177" cm="1">
        <f t="array" ref="N177">Common_InputFunctions.Utility_DisplayArrayInTable(Fertiliser_SourceData.Fertiliser_Products_Data3(), FertiliserProducts[[#Headers],[Company]],61)</f>
        <v>4.0999999999999996</v>
      </c>
      <c r="O177" s="177" t="str" cm="1">
        <f t="array" ref="O177">Common_InputFunctions.Utility_DisplayArrayInTable(Fertiliser_SourceData.Fertiliser_Products_Data3(), FertiliserProducts[[#Headers],[Company]],61)</f>
        <v>Nitrogen - Generic</v>
      </c>
      <c r="P177" s="177" cm="1">
        <f t="array" ref="P177">Common_InputFunctions.Utility_DisplayArrayInTable(Fertiliser_SourceData.Fertiliser_Products_Data3(), FertiliserProducts[[#Headers],[Company]],61)</f>
        <v>0.23799999999999999</v>
      </c>
      <c r="Q177" s="177" t="str" cm="1">
        <f t="array" ref="Q177">Common_InputFunctions.Utility_DisplayArrayInTable(Fertiliser_SourceData.Fertiliser_Products_Data3(), FertiliserProducts[[#Headers],[Company]],61)</f>
        <v>Phosphorus - Generic</v>
      </c>
      <c r="R177" s="177" cm="1">
        <f t="array" ref="R177">Common_InputFunctions.Utility_DisplayArrayInTable(Fertiliser_SourceData.Fertiliser_Products_Data3(), FertiliserProducts[[#Headers],[Company]],61)</f>
        <v>3.6999999999999998E-2</v>
      </c>
      <c r="S177" s="177" t="str" cm="1">
        <f t="array" ref="S177">Common_InputFunctions.Utility_DisplayArrayInTable(Fertiliser_SourceData.Fertiliser_Products_Data3(), FertiliserProducts[[#Headers],[Company]],61)</f>
        <v>Potassium - Generic</v>
      </c>
      <c r="T177" s="177" cm="1">
        <f t="array" ref="T177">Common_InputFunctions.Utility_DisplayArrayInTable(Fertiliser_SourceData.Fertiliser_Products_Data3(), FertiliserProducts[[#Headers],[Company]],61)</f>
        <v>0.13</v>
      </c>
      <c r="U177" s="177" t="str" cm="1">
        <f t="array" ref="U177">Common_InputFunctions.Utility_DisplayArrayInTable(Fertiliser_SourceData.Fertiliser_Products_Data3(), FertiliserProducts[[#Headers],[Company]],61)</f>
        <v>Sulfur - Generic</v>
      </c>
      <c r="V177" s="177" cm="1">
        <f t="array" ref="V177">Common_InputFunctions.Utility_DisplayArrayInTable(Fertiliser_SourceData.Fertiliser_Products_Data3(), FertiliserProducts[[#Headers],[Company]],61)</f>
        <v>4.1000000000000002E-2</v>
      </c>
      <c r="W177" s="177" t="str" cm="1">
        <f t="array" ref="W177">Common_InputFunctions.Utility_DisplayArrayInTable(Fertiliser_SourceData.Fertiliser_Products_Data3(), FertiliserProducts[[#Headers],[Company]],61)</f>
        <v/>
      </c>
      <c r="X177" s="177" t="str" cm="1">
        <f t="array" ref="X177">Common_InputFunctions.Utility_DisplayArrayInTable(Fertiliser_SourceData.Fertiliser_Products_Data3(), FertiliserProducts[[#Headers],[Company]],61)</f>
        <v/>
      </c>
      <c r="Y177" s="177" t="str" cm="1">
        <f t="array" ref="Y177">Common_InputFunctions.Utility_DisplayArrayInTable(Fertiliser_SourceData.Fertiliser_Products_Data3(), FertiliserProducts[[#Headers],[Company]],61)</f>
        <v/>
      </c>
      <c r="Z177" s="177" t="str" cm="1">
        <f t="array" ref="Z177">Common_InputFunctions.Utility_DisplayArrayInTable(Fertiliser_SourceData.Fertiliser_Products_Data3(), FertiliserProducts[[#Headers],[Company]],61)</f>
        <v/>
      </c>
      <c r="AA177" s="177" t="str" cm="1">
        <f t="array" ref="AA177">Common_InputFunctions.Utility_DisplayArrayInTable(Fertiliser_SourceData.Fertiliser_Products_Data3(), FertiliserProducts[[#Headers],[Company]],61)</f>
        <v/>
      </c>
      <c r="AB177" s="177" t="str" cm="1">
        <f t="array" ref="AB177">Common_InputFunctions.Utility_DisplayArrayInTable(Fertiliser_SourceData.Fertiliser_Products_Data3(), FertiliserProducts[[#Headers],[Company]],61)</f>
        <v/>
      </c>
      <c r="AC177" s="177" t="str" cm="1">
        <f t="array" ref="AC177">Common_InputFunctions.Utility_DisplayArrayInTable(Fertiliser_SourceData.Fertiliser_Products_Data3(), FertiliserProducts[[#Headers],[Company]],61)</f>
        <v/>
      </c>
      <c r="AD177" s="177" t="str" cm="1">
        <f t="array" ref="AD177">Common_InputFunctions.Utility_DisplayArrayInTable(Fertiliser_SourceData.Fertiliser_Products_Data3(), FertiliserProducts[[#Headers],[Company]],61)</f>
        <v/>
      </c>
      <c r="AE177" s="177" t="str" cm="1">
        <f t="array" ref="AE177">Common_InputFunctions.Utility_DisplayArrayInTable(Fertiliser_SourceData.Fertiliser_Products_Data3(), FertiliserProducts[[#Headers],[Company]],61)</f>
        <v/>
      </c>
      <c r="AF177" s="177" t="str" cm="1">
        <f t="array" ref="AF177">Common_InputFunctions.Utility_DisplayArrayInTable(Fertiliser_SourceData.Fertiliser_Products_Data3(), FertiliserProducts[[#Headers],[Company]],61)</f>
        <v/>
      </c>
      <c r="AG177" s="177" t="str" cm="1">
        <f t="array" ref="AG177">Common_InputFunctions.Utility_DisplayArrayInTable(Fertiliser_SourceData.Fertiliser_Products_Data3(), FertiliserProducts[[#Headers],[Company]],61)</f>
        <v/>
      </c>
      <c r="AH177" s="177" t="str" cm="1">
        <f t="array" ref="AH177">Common_InputFunctions.Utility_DisplayArrayInTable(Fertiliser_SourceData.Fertiliser_Products_Data3(), FertiliserProducts[[#Headers],[Company]],61)</f>
        <v/>
      </c>
      <c r="AK177" s="1"/>
    </row>
    <row r="178" spans="4:37" x14ac:dyDescent="0.25" ht="20" customHeight="1">
      <c r="D178" s="177" t="str" cm="1">
        <f t="array" ref="D178">Common_InputFunctions.Utility_DisplayArrayInTable(Fertiliser_SourceData.Fertiliser_Products_Data3(), FertiliserProducts[[#Headers],[Company]],61)</f>
        <v>Incitec Pivot Fertilisers</v>
      </c>
      <c r="E178" s="177" t="str" cm="1">
        <f t="array" ref="E178">Common_InputFunctions.Utility_DisplayArrayInTable(Fertiliser_SourceData.Fertiliser_Products_Data3(), FertiliserProducts[[#Headers],[Company]],61)</f>
        <v>Greentop K</v>
      </c>
      <c r="F178" s="177" t="str" cm="1">
        <f t="array" ref="F178">Common_InputFunctions.Utility_DisplayArrayInTable(Fertiliser_SourceData.Fertiliser_Products_Data3(), FertiliserProducts[[#Headers],[Company]],61)</f>
        <v>kg</v>
      </c>
      <c r="G178" s="177" cm="1">
        <f t="array" ref="G178">Common_InputFunctions.Utility_DisplayArrayInTable(Fertiliser_SourceData.Fertiliser_Products_Data3(), FertiliserProducts[[#Headers],[Company]],61)</f>
        <v>1</v>
      </c>
      <c r="H178" s="177" t="str" cm="1">
        <f t="array" ref="H178">Common_InputFunctions.Utility_DisplayArrayInTable(Fertiliser_SourceData.Fertiliser_Products_Data3(), FertiliserProducts[[#Headers],[Company]],61)</f>
        <v/>
      </c>
      <c r="I178" s="177" t="str" cm="1">
        <f t="array" ref="I178">Common_InputFunctions.Utility_DisplayArrayInTable(Fertiliser_SourceData.Fertiliser_Products_Data3(), FertiliserProducts[[#Headers],[Company]],61)</f>
        <v/>
      </c>
      <c r="J178" s="177" t="str" cm="1">
        <f t="array" ref="J178">Common_InputFunctions.Utility_DisplayArrayInTable(Fertiliser_SourceData.Fertiliser_Products_Data3(), FertiliserProducts[[#Headers],[Company]],61)</f>
        <v/>
      </c>
      <c r="K178" s="177" cm="1">
        <f t="array" ref="K178">Common_InputFunctions.Utility_DisplayArrayInTable(Fertiliser_SourceData.Fertiliser_Products_Data3(), FertiliserProducts[[#Headers],[Company]],61)</f>
        <v>32.799999999999997</v>
      </c>
      <c r="L178" s="177" t="str" cm="1">
        <f t="array" ref="L178">Common_InputFunctions.Utility_DisplayArrayInTable(Fertiliser_SourceData.Fertiliser_Products_Data3(), FertiliserProducts[[#Headers],[Company]],61)</f>
        <v/>
      </c>
      <c r="M178" s="177" cm="1">
        <f t="array" ref="M178">Common_InputFunctions.Utility_DisplayArrayInTable(Fertiliser_SourceData.Fertiliser_Products_Data3(), FertiliserProducts[[#Headers],[Company]],61)</f>
        <v>11</v>
      </c>
      <c r="N178" s="177" cm="1">
        <f t="array" ref="N178">Common_InputFunctions.Utility_DisplayArrayInTable(Fertiliser_SourceData.Fertiliser_Products_Data3(), FertiliserProducts[[#Headers],[Company]],61)</f>
        <v>2.9</v>
      </c>
      <c r="O178" s="177" t="str" cm="1">
        <f t="array" ref="O178">Common_InputFunctions.Utility_DisplayArrayInTable(Fertiliser_SourceData.Fertiliser_Products_Data3(), FertiliserProducts[[#Headers],[Company]],61)</f>
        <v>Urea</v>
      </c>
      <c r="P178" s="177" cm="1">
        <f t="array" ref="P178">Common_InputFunctions.Utility_DisplayArrayInTable(Fertiliser_SourceData.Fertiliser_Products_Data3(), FertiliserProducts[[#Headers],[Company]],61)</f>
        <v>0.66086999999999996</v>
      </c>
      <c r="Q178" s="177" t="str" cm="1">
        <f t="array" ref="Q178">Common_InputFunctions.Utility_DisplayArrayInTable(Fertiliser_SourceData.Fertiliser_Products_Data3(), FertiliserProducts[[#Headers],[Company]],61)</f>
        <v>Nitrogen - Ammoniacal</v>
      </c>
      <c r="R178" s="177" cm="1">
        <f t="array" ref="R178">Common_InputFunctions.Utility_DisplayArrayInTable(Fertiliser_SourceData.Fertiliser_Products_Data3(), FertiliserProducts[[#Headers],[Company]],61)</f>
        <v>2.4E-2</v>
      </c>
      <c r="S178" s="177" t="str" cm="1">
        <f t="array" ref="S178">Common_InputFunctions.Utility_DisplayArrayInTable(Fertiliser_SourceData.Fertiliser_Products_Data3(), FertiliserProducts[[#Headers],[Company]],61)</f>
        <v>Potassium - Generic</v>
      </c>
      <c r="T178" s="177" cm="1">
        <f t="array" ref="T178">Common_InputFunctions.Utility_DisplayArrayInTable(Fertiliser_SourceData.Fertiliser_Products_Data3(), FertiliserProducts[[#Headers],[Company]],61)</f>
        <v>0.11</v>
      </c>
      <c r="U178" s="177" t="str" cm="1">
        <f t="array" ref="U178">Common_InputFunctions.Utility_DisplayArrayInTable(Fertiliser_SourceData.Fertiliser_Products_Data3(), FertiliserProducts[[#Headers],[Company]],61)</f>
        <v>Sulfur - Generic</v>
      </c>
      <c r="V178" s="177" cm="1">
        <f t="array" ref="V178">Common_InputFunctions.Utility_DisplayArrayInTable(Fertiliser_SourceData.Fertiliser_Products_Data3(), FertiliserProducts[[#Headers],[Company]],61)</f>
        <v>2.9000000000000001E-2</v>
      </c>
      <c r="W178" s="177" t="str" cm="1">
        <f t="array" ref="W178">Common_InputFunctions.Utility_DisplayArrayInTable(Fertiliser_SourceData.Fertiliser_Products_Data3(), FertiliserProducts[[#Headers],[Company]],61)</f>
        <v/>
      </c>
      <c r="X178" s="177" t="str" cm="1">
        <f t="array" ref="X178">Common_InputFunctions.Utility_DisplayArrayInTable(Fertiliser_SourceData.Fertiliser_Products_Data3(), FertiliserProducts[[#Headers],[Company]],61)</f>
        <v/>
      </c>
      <c r="Y178" s="177" t="str" cm="1">
        <f t="array" ref="Y178">Common_InputFunctions.Utility_DisplayArrayInTable(Fertiliser_SourceData.Fertiliser_Products_Data3(), FertiliserProducts[[#Headers],[Company]],61)</f>
        <v/>
      </c>
      <c r="Z178" s="177" t="str" cm="1">
        <f t="array" ref="Z178">Common_InputFunctions.Utility_DisplayArrayInTable(Fertiliser_SourceData.Fertiliser_Products_Data3(), FertiliserProducts[[#Headers],[Company]],61)</f>
        <v/>
      </c>
      <c r="AA178" s="177" t="str" cm="1">
        <f t="array" ref="AA178">Common_InputFunctions.Utility_DisplayArrayInTable(Fertiliser_SourceData.Fertiliser_Products_Data3(), FertiliserProducts[[#Headers],[Company]],61)</f>
        <v/>
      </c>
      <c r="AB178" s="177" t="str" cm="1">
        <f t="array" ref="AB178">Common_InputFunctions.Utility_DisplayArrayInTable(Fertiliser_SourceData.Fertiliser_Products_Data3(), FertiliserProducts[[#Headers],[Company]],61)</f>
        <v/>
      </c>
      <c r="AC178" s="177" t="str" cm="1">
        <f t="array" ref="AC178">Common_InputFunctions.Utility_DisplayArrayInTable(Fertiliser_SourceData.Fertiliser_Products_Data3(), FertiliserProducts[[#Headers],[Company]],61)</f>
        <v/>
      </c>
      <c r="AD178" s="177" t="str" cm="1">
        <f t="array" ref="AD178">Common_InputFunctions.Utility_DisplayArrayInTable(Fertiliser_SourceData.Fertiliser_Products_Data3(), FertiliserProducts[[#Headers],[Company]],61)</f>
        <v/>
      </c>
      <c r="AE178" s="177" t="str" cm="1">
        <f t="array" ref="AE178">Common_InputFunctions.Utility_DisplayArrayInTable(Fertiliser_SourceData.Fertiliser_Products_Data3(), FertiliserProducts[[#Headers],[Company]],61)</f>
        <v/>
      </c>
      <c r="AF178" s="177" t="str" cm="1">
        <f t="array" ref="AF178">Common_InputFunctions.Utility_DisplayArrayInTable(Fertiliser_SourceData.Fertiliser_Products_Data3(), FertiliserProducts[[#Headers],[Company]],61)</f>
        <v/>
      </c>
      <c r="AG178" s="177" t="str" cm="1">
        <f t="array" ref="AG178">Common_InputFunctions.Utility_DisplayArrayInTable(Fertiliser_SourceData.Fertiliser_Products_Data3(), FertiliserProducts[[#Headers],[Company]],61)</f>
        <v/>
      </c>
      <c r="AH178" s="177" t="str" cm="1">
        <f t="array" ref="AH178">Common_InputFunctions.Utility_DisplayArrayInTable(Fertiliser_SourceData.Fertiliser_Products_Data3(), FertiliserProducts[[#Headers],[Company]],61)</f>
        <v/>
      </c>
      <c r="AK178" s="1"/>
    </row>
    <row r="179" spans="4:37" x14ac:dyDescent="0.25" ht="20" customHeight="1">
      <c r="D179" s="177" t="str" cm="1">
        <f t="array" ref="D179">Common_InputFunctions.Utility_DisplayArrayInTable(Fertiliser_SourceData.Fertiliser_Products_Data3(), FertiliserProducts[[#Headers],[Company]],61)</f>
        <v>Incitec Pivot Fertilisers</v>
      </c>
      <c r="E179" s="177" t="str" cm="1">
        <f t="array" ref="E179">Common_InputFunctions.Utility_DisplayArrayInTable(Fertiliser_SourceData.Fertiliser_Products_Data3(), FertiliserProducts[[#Headers],[Company]],61)</f>
        <v>HayBoosta</v>
      </c>
      <c r="F179" s="177" t="str" cm="1">
        <f t="array" ref="F179">Common_InputFunctions.Utility_DisplayArrayInTable(Fertiliser_SourceData.Fertiliser_Products_Data3(), FertiliserProducts[[#Headers],[Company]],61)</f>
        <v>kg</v>
      </c>
      <c r="G179" s="177" cm="1">
        <f t="array" ref="G179">Common_InputFunctions.Utility_DisplayArrayInTable(Fertiliser_SourceData.Fertiliser_Products_Data3(), FertiliserProducts[[#Headers],[Company]],61)</f>
        <v>1</v>
      </c>
      <c r="H179" s="177" t="str" cm="1">
        <f t="array" ref="H179">Common_InputFunctions.Utility_DisplayArrayInTable(Fertiliser_SourceData.Fertiliser_Products_Data3(), FertiliserProducts[[#Headers],[Company]],61)</f>
        <v/>
      </c>
      <c r="I179" s="177" t="str" cm="1">
        <f t="array" ref="I179">Common_InputFunctions.Utility_DisplayArrayInTable(Fertiliser_SourceData.Fertiliser_Products_Data3(), FertiliserProducts[[#Headers],[Company]],61)</f>
        <v/>
      </c>
      <c r="J179" s="177" t="str" cm="1">
        <f t="array" ref="J179">Common_InputFunctions.Utility_DisplayArrayInTable(Fertiliser_SourceData.Fertiliser_Products_Data3(), FertiliserProducts[[#Headers],[Company]],61)</f>
        <v/>
      </c>
      <c r="K179" s="177" cm="1">
        <f t="array" ref="K179">Common_InputFunctions.Utility_DisplayArrayInTable(Fertiliser_SourceData.Fertiliser_Products_Data3(), FertiliserProducts[[#Headers],[Company]],61)</f>
        <v>11.7</v>
      </c>
      <c r="L179" s="177" cm="1">
        <f t="array" ref="L179">Common_InputFunctions.Utility_DisplayArrayInTable(Fertiliser_SourceData.Fertiliser_Products_Data3(), FertiliserProducts[[#Headers],[Company]],61)</f>
        <v>4.7</v>
      </c>
      <c r="M179" s="177" cm="1">
        <f t="array" ref="M179">Common_InputFunctions.Utility_DisplayArrayInTable(Fertiliser_SourceData.Fertiliser_Products_Data3(), FertiliserProducts[[#Headers],[Company]],61)</f>
        <v>23.9</v>
      </c>
      <c r="N179" s="177" cm="1">
        <f t="array" ref="N179">Common_InputFunctions.Utility_DisplayArrayInTable(Fertiliser_SourceData.Fertiliser_Products_Data3(), FertiliserProducts[[#Headers],[Company]],61)</f>
        <v>4.5999999999999996</v>
      </c>
      <c r="O179" s="177" t="str" cm="1">
        <f t="array" ref="O179">Common_InputFunctions.Utility_DisplayArrayInTable(Fertiliser_SourceData.Fertiliser_Products_Data3(), FertiliserProducts[[#Headers],[Company]],61)</f>
        <v>Nitrogen - Generic</v>
      </c>
      <c r="P179" s="177" cm="1">
        <f t="array" ref="P179">Common_InputFunctions.Utility_DisplayArrayInTable(Fertiliser_SourceData.Fertiliser_Products_Data3(), FertiliserProducts[[#Headers],[Company]],61)</f>
        <v>0.11700000000000001</v>
      </c>
      <c r="Q179" s="177" t="str" cm="1">
        <f t="array" ref="Q179">Common_InputFunctions.Utility_DisplayArrayInTable(Fertiliser_SourceData.Fertiliser_Products_Data3(), FertiliserProducts[[#Headers],[Company]],61)</f>
        <v>Phosphorus - Generic</v>
      </c>
      <c r="R179" s="177" cm="1">
        <f t="array" ref="R179">Common_InputFunctions.Utility_DisplayArrayInTable(Fertiliser_SourceData.Fertiliser_Products_Data3(), FertiliserProducts[[#Headers],[Company]],61)</f>
        <v>4.7E-2</v>
      </c>
      <c r="S179" s="177" t="str" cm="1">
        <f t="array" ref="S179">Common_InputFunctions.Utility_DisplayArrayInTable(Fertiliser_SourceData.Fertiliser_Products_Data3(), FertiliserProducts[[#Headers],[Company]],61)</f>
        <v>Potassium - Generic</v>
      </c>
      <c r="T179" s="177" cm="1">
        <f t="array" ref="T179">Common_InputFunctions.Utility_DisplayArrayInTable(Fertiliser_SourceData.Fertiliser_Products_Data3(), FertiliserProducts[[#Headers],[Company]],61)</f>
        <v>0.23899999999999999</v>
      </c>
      <c r="U179" s="177" t="str" cm="1">
        <f t="array" ref="U179">Common_InputFunctions.Utility_DisplayArrayInTable(Fertiliser_SourceData.Fertiliser_Products_Data3(), FertiliserProducts[[#Headers],[Company]],61)</f>
        <v>Sulfur - Generic</v>
      </c>
      <c r="V179" s="177" cm="1">
        <f t="array" ref="V179">Common_InputFunctions.Utility_DisplayArrayInTable(Fertiliser_SourceData.Fertiliser_Products_Data3(), FertiliserProducts[[#Headers],[Company]],61)</f>
        <v>4.5999999999999999E-2</v>
      </c>
      <c r="W179" s="177" t="str" cm="1">
        <f t="array" ref="W179">Common_InputFunctions.Utility_DisplayArrayInTable(Fertiliser_SourceData.Fertiliser_Products_Data3(), FertiliserProducts[[#Headers],[Company]],61)</f>
        <v/>
      </c>
      <c r="X179" s="177" t="str" cm="1">
        <f t="array" ref="X179">Common_InputFunctions.Utility_DisplayArrayInTable(Fertiliser_SourceData.Fertiliser_Products_Data3(), FertiliserProducts[[#Headers],[Company]],61)</f>
        <v/>
      </c>
      <c r="Y179" s="177" t="str" cm="1">
        <f t="array" ref="Y179">Common_InputFunctions.Utility_DisplayArrayInTable(Fertiliser_SourceData.Fertiliser_Products_Data3(), FertiliserProducts[[#Headers],[Company]],61)</f>
        <v/>
      </c>
      <c r="Z179" s="177" t="str" cm="1">
        <f t="array" ref="Z179">Common_InputFunctions.Utility_DisplayArrayInTable(Fertiliser_SourceData.Fertiliser_Products_Data3(), FertiliserProducts[[#Headers],[Company]],61)</f>
        <v/>
      </c>
      <c r="AA179" s="177" t="str" cm="1">
        <f t="array" ref="AA179">Common_InputFunctions.Utility_DisplayArrayInTable(Fertiliser_SourceData.Fertiliser_Products_Data3(), FertiliserProducts[[#Headers],[Company]],61)</f>
        <v/>
      </c>
      <c r="AB179" s="177" t="str" cm="1">
        <f t="array" ref="AB179">Common_InputFunctions.Utility_DisplayArrayInTable(Fertiliser_SourceData.Fertiliser_Products_Data3(), FertiliserProducts[[#Headers],[Company]],61)</f>
        <v/>
      </c>
      <c r="AC179" s="177" t="str" cm="1">
        <f t="array" ref="AC179">Common_InputFunctions.Utility_DisplayArrayInTable(Fertiliser_SourceData.Fertiliser_Products_Data3(), FertiliserProducts[[#Headers],[Company]],61)</f>
        <v/>
      </c>
      <c r="AD179" s="177" t="str" cm="1">
        <f t="array" ref="AD179">Common_InputFunctions.Utility_DisplayArrayInTable(Fertiliser_SourceData.Fertiliser_Products_Data3(), FertiliserProducts[[#Headers],[Company]],61)</f>
        <v/>
      </c>
      <c r="AE179" s="177" t="str" cm="1">
        <f t="array" ref="AE179">Common_InputFunctions.Utility_DisplayArrayInTable(Fertiliser_SourceData.Fertiliser_Products_Data3(), FertiliserProducts[[#Headers],[Company]],61)</f>
        <v/>
      </c>
      <c r="AF179" s="177" t="str" cm="1">
        <f t="array" ref="AF179">Common_InputFunctions.Utility_DisplayArrayInTable(Fertiliser_SourceData.Fertiliser_Products_Data3(), FertiliserProducts[[#Headers],[Company]],61)</f>
        <v/>
      </c>
      <c r="AG179" s="177" t="str" cm="1">
        <f t="array" ref="AG179">Common_InputFunctions.Utility_DisplayArrayInTable(Fertiliser_SourceData.Fertiliser_Products_Data3(), FertiliserProducts[[#Headers],[Company]],61)</f>
        <v/>
      </c>
      <c r="AH179" s="177" t="str" cm="1">
        <f t="array" ref="AH179">Common_InputFunctions.Utility_DisplayArrayInTable(Fertiliser_SourceData.Fertiliser_Products_Data3(), FertiliserProducts[[#Headers],[Company]],61)</f>
        <v/>
      </c>
      <c r="AK179" s="1"/>
    </row>
    <row r="180" spans="4:37" x14ac:dyDescent="0.25" ht="20" customHeight="1">
      <c r="D180" s="177" t="str" cm="1">
        <f t="array" ref="D180">Common_InputFunctions.Utility_DisplayArrayInTable(Fertiliser_SourceData.Fertiliser_Products_Data4(),FertiliserProducts[[#Headers],[Company]], 91)</f>
        <v>Impact Fertilisers</v>
      </c>
      <c r="E180" s="177" t="str" cm="1">
        <f t="array" ref="E180">Common_InputFunctions.Utility_DisplayArrayInTable(Fertiliser_SourceData.Fertiliser_Products_Data4(),FertiliserProducts[[#Headers],[Company]], 91)</f>
        <v>Impact Super Potash 1&amp;1</v>
      </c>
      <c r="F180" s="177" t="str" cm="1">
        <f t="array" ref="F180">Common_InputFunctions.Utility_DisplayArrayInTable(Fertiliser_SourceData.Fertiliser_Products_Data4(),FertiliserProducts[[#Headers],[Company]], 91)</f>
        <v>kg</v>
      </c>
      <c r="G180" s="177" cm="1">
        <f t="array" ref="G180">Common_InputFunctions.Utility_DisplayArrayInTable(Fertiliser_SourceData.Fertiliser_Products_Data4(),FertiliserProducts[[#Headers],[Company]], 91)</f>
        <v>1</v>
      </c>
      <c r="H180" s="177" t="str" cm="1">
        <f t="array" ref="H180">Common_InputFunctions.Utility_DisplayArrayInTable(Fertiliser_SourceData.Fertiliser_Products_Data4(),FertiliserProducts[[#Headers],[Company]], 91)</f>
        <v/>
      </c>
      <c r="I180" s="177" t="str" cm="1">
        <f t="array" ref="I180">Common_InputFunctions.Utility_DisplayArrayInTable(Fertiliser_SourceData.Fertiliser_Products_Data4(),FertiliserProducts[[#Headers],[Company]], 91)</f>
        <v/>
      </c>
      <c r="J180" s="177" t="str" cm="1">
        <f t="array" ref="J180">Common_InputFunctions.Utility_DisplayArrayInTable(Fertiliser_SourceData.Fertiliser_Products_Data4(),FertiliserProducts[[#Headers],[Company]], 91)</f>
        <v/>
      </c>
      <c r="K180" s="177" t="str" cm="1">
        <f t="array" ref="K180">Common_InputFunctions.Utility_DisplayArrayInTable(Fertiliser_SourceData.Fertiliser_Products_Data4(),FertiliserProducts[[#Headers],[Company]], 91)</f>
        <v/>
      </c>
      <c r="L180" s="177" cm="1">
        <f t="array" ref="L180">Common_InputFunctions.Utility_DisplayArrayInTable(Fertiliser_SourceData.Fertiliser_Products_Data4(),FertiliserProducts[[#Headers],[Company]], 91)</f>
        <v>4.4000000000000004</v>
      </c>
      <c r="M180" s="177" cm="1">
        <f t="array" ref="M180">Common_InputFunctions.Utility_DisplayArrayInTable(Fertiliser_SourceData.Fertiliser_Products_Data4(),FertiliserProducts[[#Headers],[Company]], 91)</f>
        <v>25</v>
      </c>
      <c r="N180" s="177" cm="1">
        <f t="array" ref="N180">Common_InputFunctions.Utility_DisplayArrayInTable(Fertiliser_SourceData.Fertiliser_Products_Data4(),FertiliserProducts[[#Headers],[Company]], 91)</f>
        <v>5.5</v>
      </c>
      <c r="O180" s="177" t="str" cm="1">
        <f t="array" ref="O180">Common_InputFunctions.Utility_DisplayArrayInTable(Fertiliser_SourceData.Fertiliser_Products_Data4(),FertiliserProducts[[#Headers],[Company]], 91)</f>
        <v>Single superphosphate (SSP)</v>
      </c>
      <c r="P180" s="177" cm="1">
        <f t="array" ref="P180">Common_InputFunctions.Utility_DisplayArrayInTable(Fertiliser_SourceData.Fertiliser_Products_Data4(),FertiliserProducts[[#Headers],[Company]], 91)</f>
        <v>0.5</v>
      </c>
      <c r="Q180" s="177" t="str" cm="1">
        <f t="array" ref="Q180">Common_InputFunctions.Utility_DisplayArrayInTable(Fertiliser_SourceData.Fertiliser_Products_Data4(),FertiliserProducts[[#Headers],[Company]], 91)</f>
        <v>Muriate of potash (MOP)</v>
      </c>
      <c r="R180" s="177" cm="1">
        <f t="array" ref="R180">Common_InputFunctions.Utility_DisplayArrayInTable(Fertiliser_SourceData.Fertiliser_Products_Data4(),FertiliserProducts[[#Headers],[Company]], 91)</f>
        <v>0.5</v>
      </c>
      <c r="S180" s="177" t="str" cm="1">
        <f t="array" ref="S180">Common_InputFunctions.Utility_DisplayArrayInTable(Fertiliser_SourceData.Fertiliser_Products_Data4(),FertiliserProducts[[#Headers],[Company]], 91)</f>
        <v/>
      </c>
      <c r="T180" s="177" t="str" cm="1">
        <f t="array" ref="T180">Common_InputFunctions.Utility_DisplayArrayInTable(Fertiliser_SourceData.Fertiliser_Products_Data4(),FertiliserProducts[[#Headers],[Company]], 91)</f>
        <v/>
      </c>
      <c r="U180" s="177" t="str" cm="1">
        <f t="array" ref="U180">Common_InputFunctions.Utility_DisplayArrayInTable(Fertiliser_SourceData.Fertiliser_Products_Data4(),FertiliserProducts[[#Headers],[Company]], 91)</f>
        <v/>
      </c>
      <c r="V180" s="177" t="str" cm="1">
        <f t="array" ref="V180">Common_InputFunctions.Utility_DisplayArrayInTable(Fertiliser_SourceData.Fertiliser_Products_Data4(),FertiliserProducts[[#Headers],[Company]], 91)</f>
        <v/>
      </c>
      <c r="W180" s="177" t="str" cm="1">
        <f t="array" ref="W180">Common_InputFunctions.Utility_DisplayArrayInTable(Fertiliser_SourceData.Fertiliser_Products_Data4(),FertiliserProducts[[#Headers],[Company]], 91)</f>
        <v/>
      </c>
      <c r="X180" s="177" t="str" cm="1">
        <f t="array" ref="X180">Common_InputFunctions.Utility_DisplayArrayInTable(Fertiliser_SourceData.Fertiliser_Products_Data4(),FertiliserProducts[[#Headers],[Company]], 91)</f>
        <v/>
      </c>
      <c r="Y180" s="177" t="str" cm="1">
        <f t="array" ref="Y180">Common_InputFunctions.Utility_DisplayArrayInTable(Fertiliser_SourceData.Fertiliser_Products_Data4(),FertiliserProducts[[#Headers],[Company]], 91)</f>
        <v/>
      </c>
      <c r="Z180" s="177" t="str" cm="1">
        <f t="array" ref="Z180">Common_InputFunctions.Utility_DisplayArrayInTable(Fertiliser_SourceData.Fertiliser_Products_Data4(),FertiliserProducts[[#Headers],[Company]], 91)</f>
        <v/>
      </c>
      <c r="AA180" s="177" t="str" cm="1">
        <f t="array" ref="AA180">Common_InputFunctions.Utility_DisplayArrayInTable(Fertiliser_SourceData.Fertiliser_Products_Data4(),FertiliserProducts[[#Headers],[Company]], 91)</f>
        <v/>
      </c>
      <c r="AB180" s="177" t="str" cm="1">
        <f t="array" ref="AB180">Common_InputFunctions.Utility_DisplayArrayInTable(Fertiliser_SourceData.Fertiliser_Products_Data4(),FertiliserProducts[[#Headers],[Company]], 91)</f>
        <v/>
      </c>
      <c r="AC180" s="177" t="str" cm="1">
        <f t="array" ref="AC180">Common_InputFunctions.Utility_DisplayArrayInTable(Fertiliser_SourceData.Fertiliser_Products_Data4(),FertiliserProducts[[#Headers],[Company]], 91)</f>
        <v/>
      </c>
      <c r="AD180" s="177" t="str" cm="1">
        <f t="array" ref="AD180">Common_InputFunctions.Utility_DisplayArrayInTable(Fertiliser_SourceData.Fertiliser_Products_Data4(),FertiliserProducts[[#Headers],[Company]], 91)</f>
        <v/>
      </c>
      <c r="AE180" s="177" t="str" cm="1">
        <f t="array" ref="AE180">Common_InputFunctions.Utility_DisplayArrayInTable(Fertiliser_SourceData.Fertiliser_Products_Data4(),FertiliserProducts[[#Headers],[Company]], 91)</f>
        <v/>
      </c>
      <c r="AF180" s="177" t="str" cm="1">
        <f t="array" ref="AF180">Common_InputFunctions.Utility_DisplayArrayInTable(Fertiliser_SourceData.Fertiliser_Products_Data4(),FertiliserProducts[[#Headers],[Company]], 91)</f>
        <v/>
      </c>
      <c r="AG180" s="177" t="str" cm="1">
        <f t="array" ref="AG180">Common_InputFunctions.Utility_DisplayArrayInTable(Fertiliser_SourceData.Fertiliser_Products_Data4(),FertiliserProducts[[#Headers],[Company]], 91)</f>
        <v/>
      </c>
      <c r="AH180" s="177" t="str" cm="1">
        <f t="array" ref="AH180">Common_InputFunctions.Utility_DisplayArrayInTable(Fertiliser_SourceData.Fertiliser_Products_Data4(),FertiliserProducts[[#Headers],[Company]], 91)</f>
        <v/>
      </c>
    </row>
    <row r="181" spans="4:37" x14ac:dyDescent="0.25" ht="20" customHeight="1">
      <c r="D181" s="177" t="str" cm="1">
        <f t="array" ref="D181">Common_InputFunctions.Utility_DisplayArrayInTable(Fertiliser_SourceData.Fertiliser_Products_Data4(),FertiliserProducts[[#Headers],[Company]], 91)</f>
        <v>Impact Fertilisers</v>
      </c>
      <c r="E181" s="177" t="str" cm="1">
        <f t="array" ref="E181">Common_InputFunctions.Utility_DisplayArrayInTable(Fertiliser_SourceData.Fertiliser_Products_Data4(),FertiliserProducts[[#Headers],[Company]], 91)</f>
        <v>Impact Super Potash 2&amp;1</v>
      </c>
      <c r="F181" s="177" t="str" cm="1">
        <f t="array" ref="F181">Common_InputFunctions.Utility_DisplayArrayInTable(Fertiliser_SourceData.Fertiliser_Products_Data4(),FertiliserProducts[[#Headers],[Company]], 91)</f>
        <v>kg</v>
      </c>
      <c r="G181" s="177" cm="1">
        <f t="array" ref="G181">Common_InputFunctions.Utility_DisplayArrayInTable(Fertiliser_SourceData.Fertiliser_Products_Data4(),FertiliserProducts[[#Headers],[Company]], 91)</f>
        <v>1</v>
      </c>
      <c r="H181" s="177" t="str" cm="1">
        <f t="array" ref="H181">Common_InputFunctions.Utility_DisplayArrayInTable(Fertiliser_SourceData.Fertiliser_Products_Data4(),FertiliserProducts[[#Headers],[Company]], 91)</f>
        <v/>
      </c>
      <c r="I181" s="177" t="str" cm="1">
        <f t="array" ref="I181">Common_InputFunctions.Utility_DisplayArrayInTable(Fertiliser_SourceData.Fertiliser_Products_Data4(),FertiliserProducts[[#Headers],[Company]], 91)</f>
        <v/>
      </c>
      <c r="J181" s="177" t="str" cm="1">
        <f t="array" ref="J181">Common_InputFunctions.Utility_DisplayArrayInTable(Fertiliser_SourceData.Fertiliser_Products_Data4(),FertiliserProducts[[#Headers],[Company]], 91)</f>
        <v/>
      </c>
      <c r="K181" s="177" t="str" cm="1">
        <f t="array" ref="K181">Common_InputFunctions.Utility_DisplayArrayInTable(Fertiliser_SourceData.Fertiliser_Products_Data4(),FertiliserProducts[[#Headers],[Company]], 91)</f>
        <v/>
      </c>
      <c r="L181" s="177" cm="1">
        <f t="array" ref="L181">Common_InputFunctions.Utility_DisplayArrayInTable(Fertiliser_SourceData.Fertiliser_Products_Data4(),FertiliserProducts[[#Headers],[Company]], 91)</f>
        <v>5.84</v>
      </c>
      <c r="M181" s="177" cm="1">
        <f t="array" ref="M181">Common_InputFunctions.Utility_DisplayArrayInTable(Fertiliser_SourceData.Fertiliser_Products_Data4(),FertiliserProducts[[#Headers],[Company]], 91)</f>
        <v>16.8</v>
      </c>
      <c r="N181" s="177" cm="1">
        <f t="array" ref="N181">Common_InputFunctions.Utility_DisplayArrayInTable(Fertiliser_SourceData.Fertiliser_Products_Data4(),FertiliserProducts[[#Headers],[Company]], 91)</f>
        <v>7.29</v>
      </c>
      <c r="O181" s="177" t="str" cm="1">
        <f t="array" ref="O181">Common_InputFunctions.Utility_DisplayArrayInTable(Fertiliser_SourceData.Fertiliser_Products_Data4(),FertiliserProducts[[#Headers],[Company]], 91)</f>
        <v>Single superphosphate (SSP)</v>
      </c>
      <c r="P181" s="177" cm="1">
        <f t="array" ref="P181">Common_InputFunctions.Utility_DisplayArrayInTable(Fertiliser_SourceData.Fertiliser_Products_Data4(),FertiliserProducts[[#Headers],[Company]], 91)</f>
        <v>0.66315800000000003</v>
      </c>
      <c r="Q181" s="177" t="str" cm="1">
        <f t="array" ref="Q181">Common_InputFunctions.Utility_DisplayArrayInTable(Fertiliser_SourceData.Fertiliser_Products_Data4(),FertiliserProducts[[#Headers],[Company]], 91)</f>
        <v>Muriate of potash (MOP)</v>
      </c>
      <c r="R181" s="177" cm="1">
        <f t="array" ref="R181">Common_InputFunctions.Utility_DisplayArrayInTable(Fertiliser_SourceData.Fertiliser_Products_Data4(),FertiliserProducts[[#Headers],[Company]], 91)</f>
        <v>0.33600000000000002</v>
      </c>
      <c r="S181" s="177" t="str" cm="1">
        <f t="array" ref="S181">Common_InputFunctions.Utility_DisplayArrayInTable(Fertiliser_SourceData.Fertiliser_Products_Data4(),FertiliserProducts[[#Headers],[Company]], 91)</f>
        <v/>
      </c>
      <c r="T181" s="177" t="str" cm="1">
        <f t="array" ref="T181">Common_InputFunctions.Utility_DisplayArrayInTable(Fertiliser_SourceData.Fertiliser_Products_Data4(),FertiliserProducts[[#Headers],[Company]], 91)</f>
        <v/>
      </c>
      <c r="U181" s="177" t="str" cm="1">
        <f t="array" ref="U181">Common_InputFunctions.Utility_DisplayArrayInTable(Fertiliser_SourceData.Fertiliser_Products_Data4(),FertiliserProducts[[#Headers],[Company]], 91)</f>
        <v/>
      </c>
      <c r="V181" s="177" t="str" cm="1">
        <f t="array" ref="V181">Common_InputFunctions.Utility_DisplayArrayInTable(Fertiliser_SourceData.Fertiliser_Products_Data4(),FertiliserProducts[[#Headers],[Company]], 91)</f>
        <v/>
      </c>
      <c r="W181" s="177" t="str" cm="1">
        <f t="array" ref="W181">Common_InputFunctions.Utility_DisplayArrayInTable(Fertiliser_SourceData.Fertiliser_Products_Data4(),FertiliserProducts[[#Headers],[Company]], 91)</f>
        <v/>
      </c>
      <c r="X181" s="177" t="str" cm="1">
        <f t="array" ref="X181">Common_InputFunctions.Utility_DisplayArrayInTable(Fertiliser_SourceData.Fertiliser_Products_Data4(),FertiliserProducts[[#Headers],[Company]], 91)</f>
        <v/>
      </c>
      <c r="Y181" s="177" t="str" cm="1">
        <f t="array" ref="Y181">Common_InputFunctions.Utility_DisplayArrayInTable(Fertiliser_SourceData.Fertiliser_Products_Data4(),FertiliserProducts[[#Headers],[Company]], 91)</f>
        <v/>
      </c>
      <c r="Z181" s="177" t="str" cm="1">
        <f t="array" ref="Z181">Common_InputFunctions.Utility_DisplayArrayInTable(Fertiliser_SourceData.Fertiliser_Products_Data4(),FertiliserProducts[[#Headers],[Company]], 91)</f>
        <v/>
      </c>
      <c r="AA181" s="177" t="str" cm="1">
        <f t="array" ref="AA181">Common_InputFunctions.Utility_DisplayArrayInTable(Fertiliser_SourceData.Fertiliser_Products_Data4(),FertiliserProducts[[#Headers],[Company]], 91)</f>
        <v/>
      </c>
      <c r="AB181" s="177" t="str" cm="1">
        <f t="array" ref="AB181">Common_InputFunctions.Utility_DisplayArrayInTable(Fertiliser_SourceData.Fertiliser_Products_Data4(),FertiliserProducts[[#Headers],[Company]], 91)</f>
        <v/>
      </c>
      <c r="AC181" s="177" t="str" cm="1">
        <f t="array" ref="AC181">Common_InputFunctions.Utility_DisplayArrayInTable(Fertiliser_SourceData.Fertiliser_Products_Data4(),FertiliserProducts[[#Headers],[Company]], 91)</f>
        <v/>
      </c>
      <c r="AD181" s="177" t="str" cm="1">
        <f t="array" ref="AD181">Common_InputFunctions.Utility_DisplayArrayInTable(Fertiliser_SourceData.Fertiliser_Products_Data4(),FertiliserProducts[[#Headers],[Company]], 91)</f>
        <v/>
      </c>
      <c r="AE181" s="177" t="str" cm="1">
        <f t="array" ref="AE181">Common_InputFunctions.Utility_DisplayArrayInTable(Fertiliser_SourceData.Fertiliser_Products_Data4(),FertiliserProducts[[#Headers],[Company]], 91)</f>
        <v/>
      </c>
      <c r="AF181" s="177" t="str" cm="1">
        <f t="array" ref="AF181">Common_InputFunctions.Utility_DisplayArrayInTable(Fertiliser_SourceData.Fertiliser_Products_Data4(),FertiliserProducts[[#Headers],[Company]], 91)</f>
        <v/>
      </c>
      <c r="AG181" s="177" t="str" cm="1">
        <f t="array" ref="AG181">Common_InputFunctions.Utility_DisplayArrayInTable(Fertiliser_SourceData.Fertiliser_Products_Data4(),FertiliserProducts[[#Headers],[Company]], 91)</f>
        <v/>
      </c>
      <c r="AH181" s="177" t="str" cm="1">
        <f t="array" ref="AH181">Common_InputFunctions.Utility_DisplayArrayInTable(Fertiliser_SourceData.Fertiliser_Products_Data4(),FertiliserProducts[[#Headers],[Company]], 91)</f>
        <v/>
      </c>
    </row>
    <row r="182" spans="4:37" x14ac:dyDescent="0.25" ht="20" customHeight="1">
      <c r="D182" s="177" t="str" cm="1">
        <f t="array" ref="D182">Common_InputFunctions.Utility_DisplayArrayInTable(Fertiliser_SourceData.Fertiliser_Products_Data4(),FertiliserProducts[[#Headers],[Company]], 91)</f>
        <v>Impact Fertilisers</v>
      </c>
      <c r="E182" s="177" t="str" cm="1">
        <f t="array" ref="E182">Common_InputFunctions.Utility_DisplayArrayInTable(Fertiliser_SourceData.Fertiliser_Products_Data4(),FertiliserProducts[[#Headers],[Company]], 91)</f>
        <v>Impact Super Potash 3&amp;1</v>
      </c>
      <c r="F182" s="177" t="str" cm="1">
        <f t="array" ref="F182">Common_InputFunctions.Utility_DisplayArrayInTable(Fertiliser_SourceData.Fertiliser_Products_Data4(),FertiliserProducts[[#Headers],[Company]], 91)</f>
        <v>kg</v>
      </c>
      <c r="G182" s="177" cm="1">
        <f t="array" ref="G182">Common_InputFunctions.Utility_DisplayArrayInTable(Fertiliser_SourceData.Fertiliser_Products_Data4(),FertiliserProducts[[#Headers],[Company]], 91)</f>
        <v>1</v>
      </c>
      <c r="H182" s="177" t="str" cm="1">
        <f t="array" ref="H182">Common_InputFunctions.Utility_DisplayArrayInTable(Fertiliser_SourceData.Fertiliser_Products_Data4(),FertiliserProducts[[#Headers],[Company]], 91)</f>
        <v/>
      </c>
      <c r="I182" s="177" t="str" cm="1">
        <f t="array" ref="I182">Common_InputFunctions.Utility_DisplayArrayInTable(Fertiliser_SourceData.Fertiliser_Products_Data4(),FertiliserProducts[[#Headers],[Company]], 91)</f>
        <v/>
      </c>
      <c r="J182" s="177" t="str" cm="1">
        <f t="array" ref="J182">Common_InputFunctions.Utility_DisplayArrayInTable(Fertiliser_SourceData.Fertiliser_Products_Data4(),FertiliserProducts[[#Headers],[Company]], 91)</f>
        <v/>
      </c>
      <c r="K182" s="177" t="str" cm="1">
        <f t="array" ref="K182">Common_InputFunctions.Utility_DisplayArrayInTable(Fertiliser_SourceData.Fertiliser_Products_Data4(),FertiliserProducts[[#Headers],[Company]], 91)</f>
        <v/>
      </c>
      <c r="L182" s="177" cm="1">
        <f t="array" ref="L182">Common_InputFunctions.Utility_DisplayArrayInTable(Fertiliser_SourceData.Fertiliser_Products_Data4(),FertiliserProducts[[#Headers],[Company]], 91)</f>
        <v>6.58</v>
      </c>
      <c r="M182" s="177" cm="1">
        <f t="array" ref="M182">Common_InputFunctions.Utility_DisplayArrayInTable(Fertiliser_SourceData.Fertiliser_Products_Data4(),FertiliserProducts[[#Headers],[Company]], 91)</f>
        <v>12.5</v>
      </c>
      <c r="N182" s="177" cm="1">
        <f t="array" ref="N182">Common_InputFunctions.Utility_DisplayArrayInTable(Fertiliser_SourceData.Fertiliser_Products_Data4(),FertiliserProducts[[#Headers],[Company]], 91)</f>
        <v>8.2200000000000006</v>
      </c>
      <c r="O182" s="177" t="str" cm="1">
        <f t="array" ref="O182">Common_InputFunctions.Utility_DisplayArrayInTable(Fertiliser_SourceData.Fertiliser_Products_Data4(),FertiliserProducts[[#Headers],[Company]], 91)</f>
        <v>Single superphosphate (SSP)</v>
      </c>
      <c r="P182" s="177" cm="1">
        <f t="array" ref="P182">Common_InputFunctions.Utility_DisplayArrayInTable(Fertiliser_SourceData.Fertiliser_Products_Data4(),FertiliserProducts[[#Headers],[Company]], 91)</f>
        <v>0.74736800000000003</v>
      </c>
      <c r="Q182" s="177" t="str" cm="1">
        <f t="array" ref="Q182">Common_InputFunctions.Utility_DisplayArrayInTable(Fertiliser_SourceData.Fertiliser_Products_Data4(),FertiliserProducts[[#Headers],[Company]], 91)</f>
        <v>Muriate of potash (MOP)</v>
      </c>
      <c r="R182" s="177" cm="1">
        <f t="array" ref="R182">Common_InputFunctions.Utility_DisplayArrayInTable(Fertiliser_SourceData.Fertiliser_Products_Data4(),FertiliserProducts[[#Headers],[Company]], 91)</f>
        <v>0.25</v>
      </c>
      <c r="S182" s="177" t="str" cm="1">
        <f t="array" ref="S182">Common_InputFunctions.Utility_DisplayArrayInTable(Fertiliser_SourceData.Fertiliser_Products_Data4(),FertiliserProducts[[#Headers],[Company]], 91)</f>
        <v/>
      </c>
      <c r="T182" s="177" t="str" cm="1">
        <f t="array" ref="T182">Common_InputFunctions.Utility_DisplayArrayInTable(Fertiliser_SourceData.Fertiliser_Products_Data4(),FertiliserProducts[[#Headers],[Company]], 91)</f>
        <v/>
      </c>
      <c r="U182" s="177" t="str" cm="1">
        <f t="array" ref="U182">Common_InputFunctions.Utility_DisplayArrayInTable(Fertiliser_SourceData.Fertiliser_Products_Data4(),FertiliserProducts[[#Headers],[Company]], 91)</f>
        <v/>
      </c>
      <c r="V182" s="177" t="str" cm="1">
        <f t="array" ref="V182">Common_InputFunctions.Utility_DisplayArrayInTable(Fertiliser_SourceData.Fertiliser_Products_Data4(),FertiliserProducts[[#Headers],[Company]], 91)</f>
        <v/>
      </c>
      <c r="W182" s="177" t="str" cm="1">
        <f t="array" ref="W182">Common_InputFunctions.Utility_DisplayArrayInTable(Fertiliser_SourceData.Fertiliser_Products_Data4(),FertiliserProducts[[#Headers],[Company]], 91)</f>
        <v/>
      </c>
      <c r="X182" s="177" t="str" cm="1">
        <f t="array" ref="X182">Common_InputFunctions.Utility_DisplayArrayInTable(Fertiliser_SourceData.Fertiliser_Products_Data4(),FertiliserProducts[[#Headers],[Company]], 91)</f>
        <v/>
      </c>
      <c r="Y182" s="177" t="str" cm="1">
        <f t="array" ref="Y182">Common_InputFunctions.Utility_DisplayArrayInTable(Fertiliser_SourceData.Fertiliser_Products_Data4(),FertiliserProducts[[#Headers],[Company]], 91)</f>
        <v/>
      </c>
      <c r="Z182" s="177" t="str" cm="1">
        <f t="array" ref="Z182">Common_InputFunctions.Utility_DisplayArrayInTable(Fertiliser_SourceData.Fertiliser_Products_Data4(),FertiliserProducts[[#Headers],[Company]], 91)</f>
        <v/>
      </c>
      <c r="AA182" s="177" t="str" cm="1">
        <f t="array" ref="AA182">Common_InputFunctions.Utility_DisplayArrayInTable(Fertiliser_SourceData.Fertiliser_Products_Data4(),FertiliserProducts[[#Headers],[Company]], 91)</f>
        <v/>
      </c>
      <c r="AB182" s="177" t="str" cm="1">
        <f t="array" ref="AB182">Common_InputFunctions.Utility_DisplayArrayInTable(Fertiliser_SourceData.Fertiliser_Products_Data4(),FertiliserProducts[[#Headers],[Company]], 91)</f>
        <v/>
      </c>
      <c r="AC182" s="177" t="str" cm="1">
        <f t="array" ref="AC182">Common_InputFunctions.Utility_DisplayArrayInTable(Fertiliser_SourceData.Fertiliser_Products_Data4(),FertiliserProducts[[#Headers],[Company]], 91)</f>
        <v/>
      </c>
      <c r="AD182" s="177" t="str" cm="1">
        <f t="array" ref="AD182">Common_InputFunctions.Utility_DisplayArrayInTable(Fertiliser_SourceData.Fertiliser_Products_Data4(),FertiliserProducts[[#Headers],[Company]], 91)</f>
        <v/>
      </c>
      <c r="AE182" s="177" t="str" cm="1">
        <f t="array" ref="AE182">Common_InputFunctions.Utility_DisplayArrayInTable(Fertiliser_SourceData.Fertiliser_Products_Data4(),FertiliserProducts[[#Headers],[Company]], 91)</f>
        <v/>
      </c>
      <c r="AF182" s="177" t="str" cm="1">
        <f t="array" ref="AF182">Common_InputFunctions.Utility_DisplayArrayInTable(Fertiliser_SourceData.Fertiliser_Products_Data4(),FertiliserProducts[[#Headers],[Company]], 91)</f>
        <v/>
      </c>
      <c r="AG182" s="177" t="str" cm="1">
        <f t="array" ref="AG182">Common_InputFunctions.Utility_DisplayArrayInTable(Fertiliser_SourceData.Fertiliser_Products_Data4(),FertiliserProducts[[#Headers],[Company]], 91)</f>
        <v/>
      </c>
      <c r="AH182" s="177" t="str" cm="1">
        <f t="array" ref="AH182">Common_InputFunctions.Utility_DisplayArrayInTable(Fertiliser_SourceData.Fertiliser_Products_Data4(),FertiliserProducts[[#Headers],[Company]], 91)</f>
        <v/>
      </c>
    </row>
    <row r="183" spans="4:37" x14ac:dyDescent="0.25" ht="20" customHeight="1">
      <c r="D183" s="177" t="str" cm="1">
        <f t="array" ref="D183">Common_InputFunctions.Utility_DisplayArrayInTable(Fertiliser_SourceData.Fertiliser_Products_Data4(),FertiliserProducts[[#Headers],[Company]], 91)</f>
        <v>Impact Fertilisers</v>
      </c>
      <c r="E183" s="177" t="str" cm="1">
        <f t="array" ref="E183">Common_InputFunctions.Utility_DisplayArrayInTable(Fertiliser_SourceData.Fertiliser_Products_Data4(),FertiliserProducts[[#Headers],[Company]], 91)</f>
        <v>Impact Super Potash 4&amp;1</v>
      </c>
      <c r="F183" s="177" t="str" cm="1">
        <f t="array" ref="F183">Common_InputFunctions.Utility_DisplayArrayInTable(Fertiliser_SourceData.Fertiliser_Products_Data4(),FertiliserProducts[[#Headers],[Company]], 91)</f>
        <v>kg</v>
      </c>
      <c r="G183" s="177" cm="1">
        <f t="array" ref="G183">Common_InputFunctions.Utility_DisplayArrayInTable(Fertiliser_SourceData.Fertiliser_Products_Data4(),FertiliserProducts[[#Headers],[Company]], 91)</f>
        <v>1</v>
      </c>
      <c r="H183" s="177" t="str" cm="1">
        <f t="array" ref="H183">Common_InputFunctions.Utility_DisplayArrayInTable(Fertiliser_SourceData.Fertiliser_Products_Data4(),FertiliserProducts[[#Headers],[Company]], 91)</f>
        <v/>
      </c>
      <c r="I183" s="177" t="str" cm="1">
        <f t="array" ref="I183">Common_InputFunctions.Utility_DisplayArrayInTable(Fertiliser_SourceData.Fertiliser_Products_Data4(),FertiliserProducts[[#Headers],[Company]], 91)</f>
        <v/>
      </c>
      <c r="J183" s="177" t="str" cm="1">
        <f t="array" ref="J183">Common_InputFunctions.Utility_DisplayArrayInTable(Fertiliser_SourceData.Fertiliser_Products_Data4(),FertiliserProducts[[#Headers],[Company]], 91)</f>
        <v/>
      </c>
      <c r="K183" s="177" t="str" cm="1">
        <f t="array" ref="K183">Common_InputFunctions.Utility_DisplayArrayInTable(Fertiliser_SourceData.Fertiliser_Products_Data4(),FertiliserProducts[[#Headers],[Company]], 91)</f>
        <v/>
      </c>
      <c r="L183" s="177" cm="1">
        <f t="array" ref="L183">Common_InputFunctions.Utility_DisplayArrayInTable(Fertiliser_SourceData.Fertiliser_Products_Data4(),FertiliserProducts[[#Headers],[Company]], 91)</f>
        <v>7.04</v>
      </c>
      <c r="M183" s="177" cm="1">
        <f t="array" ref="M183">Common_InputFunctions.Utility_DisplayArrayInTable(Fertiliser_SourceData.Fertiliser_Products_Data4(),FertiliserProducts[[#Headers],[Company]], 91)</f>
        <v>10</v>
      </c>
      <c r="N183" s="177" cm="1">
        <f t="array" ref="N183">Common_InputFunctions.Utility_DisplayArrayInTable(Fertiliser_SourceData.Fertiliser_Products_Data4(),FertiliserProducts[[#Headers],[Company]], 91)</f>
        <v>8.8000000000000007</v>
      </c>
      <c r="O183" s="177" t="str" cm="1">
        <f t="array" ref="O183">Common_InputFunctions.Utility_DisplayArrayInTable(Fertiliser_SourceData.Fertiliser_Products_Data4(),FertiliserProducts[[#Headers],[Company]], 91)</f>
        <v>Single superphosphate (SSP)</v>
      </c>
      <c r="P183" s="177" cm="1">
        <f t="array" ref="P183">Common_InputFunctions.Utility_DisplayArrayInTable(Fertiliser_SourceData.Fertiliser_Products_Data4(),FertiliserProducts[[#Headers],[Company]], 91)</f>
        <v>0.8</v>
      </c>
      <c r="Q183" s="177" t="str" cm="1">
        <f t="array" ref="Q183">Common_InputFunctions.Utility_DisplayArrayInTable(Fertiliser_SourceData.Fertiliser_Products_Data4(),FertiliserProducts[[#Headers],[Company]], 91)</f>
        <v>Muriate of potash (MOP)</v>
      </c>
      <c r="R183" s="177" cm="1">
        <f t="array" ref="R183">Common_InputFunctions.Utility_DisplayArrayInTable(Fertiliser_SourceData.Fertiliser_Products_Data4(),FertiliserProducts[[#Headers],[Company]], 91)</f>
        <v>0.2</v>
      </c>
      <c r="S183" s="177" t="str" cm="1">
        <f t="array" ref="S183">Common_InputFunctions.Utility_DisplayArrayInTable(Fertiliser_SourceData.Fertiliser_Products_Data4(),FertiliserProducts[[#Headers],[Company]], 91)</f>
        <v/>
      </c>
      <c r="T183" s="177" t="str" cm="1">
        <f t="array" ref="T183">Common_InputFunctions.Utility_DisplayArrayInTable(Fertiliser_SourceData.Fertiliser_Products_Data4(),FertiliserProducts[[#Headers],[Company]], 91)</f>
        <v/>
      </c>
      <c r="U183" s="177" t="str" cm="1">
        <f t="array" ref="U183">Common_InputFunctions.Utility_DisplayArrayInTable(Fertiliser_SourceData.Fertiliser_Products_Data4(),FertiliserProducts[[#Headers],[Company]], 91)</f>
        <v/>
      </c>
      <c r="V183" s="177" t="str" cm="1">
        <f t="array" ref="V183">Common_InputFunctions.Utility_DisplayArrayInTable(Fertiliser_SourceData.Fertiliser_Products_Data4(),FertiliserProducts[[#Headers],[Company]], 91)</f>
        <v/>
      </c>
      <c r="W183" s="177" t="str" cm="1">
        <f t="array" ref="W183">Common_InputFunctions.Utility_DisplayArrayInTable(Fertiliser_SourceData.Fertiliser_Products_Data4(),FertiliserProducts[[#Headers],[Company]], 91)</f>
        <v/>
      </c>
      <c r="X183" s="177" t="str" cm="1">
        <f t="array" ref="X183">Common_InputFunctions.Utility_DisplayArrayInTable(Fertiliser_SourceData.Fertiliser_Products_Data4(),FertiliserProducts[[#Headers],[Company]], 91)</f>
        <v/>
      </c>
      <c r="Y183" s="177" t="str" cm="1">
        <f t="array" ref="Y183">Common_InputFunctions.Utility_DisplayArrayInTable(Fertiliser_SourceData.Fertiliser_Products_Data4(),FertiliserProducts[[#Headers],[Company]], 91)</f>
        <v/>
      </c>
      <c r="Z183" s="177" t="str" cm="1">
        <f t="array" ref="Z183">Common_InputFunctions.Utility_DisplayArrayInTable(Fertiliser_SourceData.Fertiliser_Products_Data4(),FertiliserProducts[[#Headers],[Company]], 91)</f>
        <v/>
      </c>
      <c r="AA183" s="177" t="str" cm="1">
        <f t="array" ref="AA183">Common_InputFunctions.Utility_DisplayArrayInTable(Fertiliser_SourceData.Fertiliser_Products_Data4(),FertiliserProducts[[#Headers],[Company]], 91)</f>
        <v/>
      </c>
      <c r="AB183" s="177" t="str" cm="1">
        <f t="array" ref="AB183">Common_InputFunctions.Utility_DisplayArrayInTable(Fertiliser_SourceData.Fertiliser_Products_Data4(),FertiliserProducts[[#Headers],[Company]], 91)</f>
        <v/>
      </c>
      <c r="AC183" s="177" t="str" cm="1">
        <f t="array" ref="AC183">Common_InputFunctions.Utility_DisplayArrayInTable(Fertiliser_SourceData.Fertiliser_Products_Data4(),FertiliserProducts[[#Headers],[Company]], 91)</f>
        <v/>
      </c>
      <c r="AD183" s="177" t="str" cm="1">
        <f t="array" ref="AD183">Common_InputFunctions.Utility_DisplayArrayInTable(Fertiliser_SourceData.Fertiliser_Products_Data4(),FertiliserProducts[[#Headers],[Company]], 91)</f>
        <v/>
      </c>
      <c r="AE183" s="177" t="str" cm="1">
        <f t="array" ref="AE183">Common_InputFunctions.Utility_DisplayArrayInTable(Fertiliser_SourceData.Fertiliser_Products_Data4(),FertiliserProducts[[#Headers],[Company]], 91)</f>
        <v/>
      </c>
      <c r="AF183" s="177" t="str" cm="1">
        <f t="array" ref="AF183">Common_InputFunctions.Utility_DisplayArrayInTable(Fertiliser_SourceData.Fertiliser_Products_Data4(),FertiliserProducts[[#Headers],[Company]], 91)</f>
        <v/>
      </c>
      <c r="AG183" s="177" t="str" cm="1">
        <f t="array" ref="AG183">Common_InputFunctions.Utility_DisplayArrayInTable(Fertiliser_SourceData.Fertiliser_Products_Data4(),FertiliserProducts[[#Headers],[Company]], 91)</f>
        <v/>
      </c>
      <c r="AH183" s="177" t="str" cm="1">
        <f t="array" ref="AH183">Common_InputFunctions.Utility_DisplayArrayInTable(Fertiliser_SourceData.Fertiliser_Products_Data4(),FertiliserProducts[[#Headers],[Company]], 91)</f>
        <v/>
      </c>
    </row>
    <row r="184" spans="4:37" x14ac:dyDescent="0.25" ht="20" customHeight="1">
      <c r="D184" s="177" t="str" cm="1">
        <f t="array" ref="D184">Common_InputFunctions.Utility_DisplayArrayInTable(Fertiliser_SourceData.Fertiliser_Products_Data4(),FertiliserProducts[[#Headers],[Company]], 91)</f>
        <v>Impact Fertilisers</v>
      </c>
      <c r="E184" s="177" t="str" cm="1">
        <f t="array" ref="E184">Common_InputFunctions.Utility_DisplayArrayInTable(Fertiliser_SourceData.Fertiliser_Products_Data4(),FertiliserProducts[[#Headers],[Company]], 91)</f>
        <v>Impact Super Potash 5&amp;1</v>
      </c>
      <c r="F184" s="177" t="str" cm="1">
        <f t="array" ref="F184">Common_InputFunctions.Utility_DisplayArrayInTable(Fertiliser_SourceData.Fertiliser_Products_Data4(),FertiliserProducts[[#Headers],[Company]], 91)</f>
        <v>kg</v>
      </c>
      <c r="G184" s="177" cm="1">
        <f t="array" ref="G184">Common_InputFunctions.Utility_DisplayArrayInTable(Fertiliser_SourceData.Fertiliser_Products_Data4(),FertiliserProducts[[#Headers],[Company]], 91)</f>
        <v>1</v>
      </c>
      <c r="H184" s="177" t="str" cm="1">
        <f t="array" ref="H184">Common_InputFunctions.Utility_DisplayArrayInTable(Fertiliser_SourceData.Fertiliser_Products_Data4(),FertiliserProducts[[#Headers],[Company]], 91)</f>
        <v/>
      </c>
      <c r="I184" s="177" t="str" cm="1">
        <f t="array" ref="I184">Common_InputFunctions.Utility_DisplayArrayInTable(Fertiliser_SourceData.Fertiliser_Products_Data4(),FertiliserProducts[[#Headers],[Company]], 91)</f>
        <v/>
      </c>
      <c r="J184" s="177" t="str" cm="1">
        <f t="array" ref="J184">Common_InputFunctions.Utility_DisplayArrayInTable(Fertiliser_SourceData.Fertiliser_Products_Data4(),FertiliserProducts[[#Headers],[Company]], 91)</f>
        <v/>
      </c>
      <c r="K184" s="177" t="str" cm="1">
        <f t="array" ref="K184">Common_InputFunctions.Utility_DisplayArrayInTable(Fertiliser_SourceData.Fertiliser_Products_Data4(),FertiliserProducts[[#Headers],[Company]], 91)</f>
        <v/>
      </c>
      <c r="L184" s="177" cm="1">
        <f t="array" ref="L184">Common_InputFunctions.Utility_DisplayArrayInTable(Fertiliser_SourceData.Fertiliser_Products_Data4(),FertiliserProducts[[#Headers],[Company]], 91)</f>
        <v>7.32</v>
      </c>
      <c r="M184" s="177" cm="1">
        <f t="array" ref="M184">Common_InputFunctions.Utility_DisplayArrayInTable(Fertiliser_SourceData.Fertiliser_Products_Data4(),FertiliserProducts[[#Headers],[Company]], 91)</f>
        <v>8.4</v>
      </c>
      <c r="N184" s="177" cm="1">
        <f t="array" ref="N184">Common_InputFunctions.Utility_DisplayArrayInTable(Fertiliser_SourceData.Fertiliser_Products_Data4(),FertiliserProducts[[#Headers],[Company]], 91)</f>
        <v>9.15</v>
      </c>
      <c r="O184" s="177" t="str" cm="1">
        <f t="array" ref="O184">Common_InputFunctions.Utility_DisplayArrayInTable(Fertiliser_SourceData.Fertiliser_Products_Data4(),FertiliserProducts[[#Headers],[Company]], 91)</f>
        <v>Single superphosphate (SSP)</v>
      </c>
      <c r="P184" s="177" cm="1">
        <f t="array" ref="P184">Common_InputFunctions.Utility_DisplayArrayInTable(Fertiliser_SourceData.Fertiliser_Products_Data4(),FertiliserProducts[[#Headers],[Company]], 91)</f>
        <v>0.83157899999999996</v>
      </c>
      <c r="Q184" s="177" t="str" cm="1">
        <f t="array" ref="Q184">Common_InputFunctions.Utility_DisplayArrayInTable(Fertiliser_SourceData.Fertiliser_Products_Data4(),FertiliserProducts[[#Headers],[Company]], 91)</f>
        <v>Muriate of potash (MOP)</v>
      </c>
      <c r="R184" s="177" cm="1">
        <f t="array" ref="R184">Common_InputFunctions.Utility_DisplayArrayInTable(Fertiliser_SourceData.Fertiliser_Products_Data4(),FertiliserProducts[[#Headers],[Company]], 91)</f>
        <v>0.16800000000000001</v>
      </c>
      <c r="S184" s="177" t="str" cm="1">
        <f t="array" ref="S184">Common_InputFunctions.Utility_DisplayArrayInTable(Fertiliser_SourceData.Fertiliser_Products_Data4(),FertiliserProducts[[#Headers],[Company]], 91)</f>
        <v/>
      </c>
      <c r="T184" s="177" t="str" cm="1">
        <f t="array" ref="T184">Common_InputFunctions.Utility_DisplayArrayInTable(Fertiliser_SourceData.Fertiliser_Products_Data4(),FertiliserProducts[[#Headers],[Company]], 91)</f>
        <v/>
      </c>
      <c r="U184" s="177" t="str" cm="1">
        <f t="array" ref="U184">Common_InputFunctions.Utility_DisplayArrayInTable(Fertiliser_SourceData.Fertiliser_Products_Data4(),FertiliserProducts[[#Headers],[Company]], 91)</f>
        <v/>
      </c>
      <c r="V184" s="177" t="str" cm="1">
        <f t="array" ref="V184">Common_InputFunctions.Utility_DisplayArrayInTable(Fertiliser_SourceData.Fertiliser_Products_Data4(),FertiliserProducts[[#Headers],[Company]], 91)</f>
        <v/>
      </c>
      <c r="W184" s="177" t="str" cm="1">
        <f t="array" ref="W184">Common_InputFunctions.Utility_DisplayArrayInTable(Fertiliser_SourceData.Fertiliser_Products_Data4(),FertiliserProducts[[#Headers],[Company]], 91)</f>
        <v/>
      </c>
      <c r="X184" s="177" t="str" cm="1">
        <f t="array" ref="X184">Common_InputFunctions.Utility_DisplayArrayInTable(Fertiliser_SourceData.Fertiliser_Products_Data4(),FertiliserProducts[[#Headers],[Company]], 91)</f>
        <v/>
      </c>
      <c r="Y184" s="177" t="str" cm="1">
        <f t="array" ref="Y184">Common_InputFunctions.Utility_DisplayArrayInTable(Fertiliser_SourceData.Fertiliser_Products_Data4(),FertiliserProducts[[#Headers],[Company]], 91)</f>
        <v/>
      </c>
      <c r="Z184" s="177" t="str" cm="1">
        <f t="array" ref="Z184">Common_InputFunctions.Utility_DisplayArrayInTable(Fertiliser_SourceData.Fertiliser_Products_Data4(),FertiliserProducts[[#Headers],[Company]], 91)</f>
        <v/>
      </c>
      <c r="AA184" s="177" t="str" cm="1">
        <f t="array" ref="AA184">Common_InputFunctions.Utility_DisplayArrayInTable(Fertiliser_SourceData.Fertiliser_Products_Data4(),FertiliserProducts[[#Headers],[Company]], 91)</f>
        <v/>
      </c>
      <c r="AB184" s="177" t="str" cm="1">
        <f t="array" ref="AB184">Common_InputFunctions.Utility_DisplayArrayInTable(Fertiliser_SourceData.Fertiliser_Products_Data4(),FertiliserProducts[[#Headers],[Company]], 91)</f>
        <v/>
      </c>
      <c r="AC184" s="177" t="str" cm="1">
        <f t="array" ref="AC184">Common_InputFunctions.Utility_DisplayArrayInTable(Fertiliser_SourceData.Fertiliser_Products_Data4(),FertiliserProducts[[#Headers],[Company]], 91)</f>
        <v/>
      </c>
      <c r="AD184" s="177" t="str" cm="1">
        <f t="array" ref="AD184">Common_InputFunctions.Utility_DisplayArrayInTable(Fertiliser_SourceData.Fertiliser_Products_Data4(),FertiliserProducts[[#Headers],[Company]], 91)</f>
        <v/>
      </c>
      <c r="AE184" s="177" t="str" cm="1">
        <f t="array" ref="AE184">Common_InputFunctions.Utility_DisplayArrayInTable(Fertiliser_SourceData.Fertiliser_Products_Data4(),FertiliserProducts[[#Headers],[Company]], 91)</f>
        <v/>
      </c>
      <c r="AF184" s="177" t="str" cm="1">
        <f t="array" ref="AF184">Common_InputFunctions.Utility_DisplayArrayInTable(Fertiliser_SourceData.Fertiliser_Products_Data4(),FertiliserProducts[[#Headers],[Company]], 91)</f>
        <v/>
      </c>
      <c r="AG184" s="177" t="str" cm="1">
        <f t="array" ref="AG184">Common_InputFunctions.Utility_DisplayArrayInTable(Fertiliser_SourceData.Fertiliser_Products_Data4(),FertiliserProducts[[#Headers],[Company]], 91)</f>
        <v/>
      </c>
      <c r="AH184" s="177" t="str" cm="1">
        <f t="array" ref="AH184">Common_InputFunctions.Utility_DisplayArrayInTable(Fertiliser_SourceData.Fertiliser_Products_Data4(),FertiliserProducts[[#Headers],[Company]], 91)</f>
        <v/>
      </c>
    </row>
    <row r="185" spans="4:37" x14ac:dyDescent="0.25" ht="20" customHeight="1">
      <c r="D185" s="177" t="str" cm="1">
        <f t="array" ref="D185">Common_InputFunctions.Utility_DisplayArrayInTable(Fertiliser_SourceData.Fertiliser_Products_Data4(),FertiliserProducts[[#Headers],[Company]], 91)</f>
        <v>Pacific Fertiliser / Incitec Pivot Fertilisers</v>
      </c>
      <c r="E185" s="177" t="str" cm="1">
        <f t="array" ref="E185">Common_InputFunctions.Utility_DisplayArrayInTable(Fertiliser_SourceData.Fertiliser_Products_Data4(),FertiliserProducts[[#Headers],[Company]], 91)</f>
        <v>Cal-Gran</v>
      </c>
      <c r="F185" s="177" t="str" cm="1">
        <f t="array" ref="F185">Common_InputFunctions.Utility_DisplayArrayInTable(Fertiliser_SourceData.Fertiliser_Products_Data4(),FertiliserProducts[[#Headers],[Company]], 91)</f>
        <v>kg</v>
      </c>
      <c r="G185" s="177" cm="1">
        <f t="array" ref="G185">Common_InputFunctions.Utility_DisplayArrayInTable(Fertiliser_SourceData.Fertiliser_Products_Data4(),FertiliserProducts[[#Headers],[Company]], 91)</f>
        <v>1</v>
      </c>
      <c r="H185" s="177" t="str" cm="1">
        <f t="array" ref="H185">Common_InputFunctions.Utility_DisplayArrayInTable(Fertiliser_SourceData.Fertiliser_Products_Data4(),FertiliserProducts[[#Headers],[Company]], 91)</f>
        <v/>
      </c>
      <c r="I185" s="177" t="str" cm="1">
        <f t="array" ref="I185">Common_InputFunctions.Utility_DisplayArrayInTable(Fertiliser_SourceData.Fertiliser_Products_Data4(),FertiliserProducts[[#Headers],[Company]], 91)</f>
        <v/>
      </c>
      <c r="J185" s="177" t="str" cm="1">
        <f t="array" ref="J185">Common_InputFunctions.Utility_DisplayArrayInTable(Fertiliser_SourceData.Fertiliser_Products_Data4(),FertiliserProducts[[#Headers],[Company]], 91)</f>
        <v/>
      </c>
      <c r="K185" s="177" cm="1">
        <f t="array" ref="K185">Common_InputFunctions.Utility_DisplayArrayInTable(Fertiliser_SourceData.Fertiliser_Products_Data4(),FertiliserProducts[[#Headers],[Company]], 91)</f>
        <v>23.9</v>
      </c>
      <c r="L185" s="177" t="str" cm="1">
        <f t="array" ref="L185">Common_InputFunctions.Utility_DisplayArrayInTable(Fertiliser_SourceData.Fertiliser_Products_Data4(),FertiliserProducts[[#Headers],[Company]], 91)</f>
        <v/>
      </c>
      <c r="M185" s="177" t="str" cm="1">
        <f t="array" ref="M185">Common_InputFunctions.Utility_DisplayArrayInTable(Fertiliser_SourceData.Fertiliser_Products_Data4(),FertiliserProducts[[#Headers],[Company]], 91)</f>
        <v/>
      </c>
      <c r="N185" s="177" cm="1">
        <f t="array" ref="N185">Common_InputFunctions.Utility_DisplayArrayInTable(Fertiliser_SourceData.Fertiliser_Products_Data4(),FertiliserProducts[[#Headers],[Company]], 91)</f>
        <v>10.8</v>
      </c>
      <c r="O185" s="177" t="str" cm="1">
        <f t="array" ref="O185">Common_InputFunctions.Utility_DisplayArrayInTable(Fertiliser_SourceData.Fertiliser_Products_Data4(),FertiliserProducts[[#Headers],[Company]], 91)</f>
        <v>Nitrogen - Nitrate</v>
      </c>
      <c r="P185" s="177" cm="1">
        <f t="array" ref="P185">Common_InputFunctions.Utility_DisplayArrayInTable(Fertiliser_SourceData.Fertiliser_Products_Data4(),FertiliserProducts[[#Headers],[Company]], 91)</f>
        <v>7.3999999999999996E-2</v>
      </c>
      <c r="Q185" s="177" t="str" cm="1">
        <f t="array" ref="Q185">Common_InputFunctions.Utility_DisplayArrayInTable(Fertiliser_SourceData.Fertiliser_Products_Data4(),FertiliserProducts[[#Headers],[Company]], 91)</f>
        <v>Nitrogen - Ammoniacal</v>
      </c>
      <c r="R185" s="177" cm="1">
        <f t="array" ref="R185">Common_InputFunctions.Utility_DisplayArrayInTable(Fertiliser_SourceData.Fertiliser_Products_Data4(),FertiliserProducts[[#Headers],[Company]], 91)</f>
        <v>0.16500000000000001</v>
      </c>
      <c r="S185" s="177" t="str" cm="1">
        <f t="array" ref="S185">Common_InputFunctions.Utility_DisplayArrayInTable(Fertiliser_SourceData.Fertiliser_Products_Data4(),FertiliserProducts[[#Headers],[Company]], 91)</f>
        <v>Sulfur - Generic</v>
      </c>
      <c r="T185" s="177" cm="1">
        <f t="array" ref="T185">Common_InputFunctions.Utility_DisplayArrayInTable(Fertiliser_SourceData.Fertiliser_Products_Data4(),FertiliserProducts[[#Headers],[Company]], 91)</f>
        <v>0.108</v>
      </c>
      <c r="U185" s="177" t="str" cm="1">
        <f t="array" ref="U185">Common_InputFunctions.Utility_DisplayArrayInTable(Fertiliser_SourceData.Fertiliser_Products_Data4(),FertiliserProducts[[#Headers],[Company]], 91)</f>
        <v>Calcium</v>
      </c>
      <c r="V185" s="177" cm="1">
        <f t="array" ref="V185">Common_InputFunctions.Utility_DisplayArrayInTable(Fertiliser_SourceData.Fertiliser_Products_Data4(),FertiliserProducts[[#Headers],[Company]], 91)</f>
        <v>4.3999999999999997E-2</v>
      </c>
      <c r="W185" s="177" t="str" cm="1">
        <f t="array" ref="W185">Common_InputFunctions.Utility_DisplayArrayInTable(Fertiliser_SourceData.Fertiliser_Products_Data4(),FertiliserProducts[[#Headers],[Company]], 91)</f>
        <v/>
      </c>
      <c r="X185" s="177" t="str" cm="1">
        <f t="array" ref="X185">Common_InputFunctions.Utility_DisplayArrayInTable(Fertiliser_SourceData.Fertiliser_Products_Data4(),FertiliserProducts[[#Headers],[Company]], 91)</f>
        <v/>
      </c>
      <c r="Y185" s="177" t="str" cm="1">
        <f t="array" ref="Y185">Common_InputFunctions.Utility_DisplayArrayInTable(Fertiliser_SourceData.Fertiliser_Products_Data4(),FertiliserProducts[[#Headers],[Company]], 91)</f>
        <v/>
      </c>
      <c r="Z185" s="177" t="str" cm="1">
        <f t="array" ref="Z185">Common_InputFunctions.Utility_DisplayArrayInTable(Fertiliser_SourceData.Fertiliser_Products_Data4(),FertiliserProducts[[#Headers],[Company]], 91)</f>
        <v/>
      </c>
      <c r="AA185" s="177" t="str" cm="1">
        <f t="array" ref="AA185">Common_InputFunctions.Utility_DisplayArrayInTable(Fertiliser_SourceData.Fertiliser_Products_Data4(),FertiliserProducts[[#Headers],[Company]], 91)</f>
        <v/>
      </c>
      <c r="AB185" s="177" t="str" cm="1">
        <f t="array" ref="AB185">Common_InputFunctions.Utility_DisplayArrayInTable(Fertiliser_SourceData.Fertiliser_Products_Data4(),FertiliserProducts[[#Headers],[Company]], 91)</f>
        <v/>
      </c>
      <c r="AC185" s="177" t="str" cm="1">
        <f t="array" ref="AC185">Common_InputFunctions.Utility_DisplayArrayInTable(Fertiliser_SourceData.Fertiliser_Products_Data4(),FertiliserProducts[[#Headers],[Company]], 91)</f>
        <v/>
      </c>
      <c r="AD185" s="177" t="str" cm="1">
        <f t="array" ref="AD185">Common_InputFunctions.Utility_DisplayArrayInTable(Fertiliser_SourceData.Fertiliser_Products_Data4(),FertiliserProducts[[#Headers],[Company]], 91)</f>
        <v/>
      </c>
      <c r="AE185" s="177" t="str" cm="1">
        <f t="array" ref="AE185">Common_InputFunctions.Utility_DisplayArrayInTable(Fertiliser_SourceData.Fertiliser_Products_Data4(),FertiliserProducts[[#Headers],[Company]], 91)</f>
        <v/>
      </c>
      <c r="AF185" s="177" t="str" cm="1">
        <f t="array" ref="AF185">Common_InputFunctions.Utility_DisplayArrayInTable(Fertiliser_SourceData.Fertiliser_Products_Data4(),FertiliserProducts[[#Headers],[Company]], 91)</f>
        <v/>
      </c>
      <c r="AG185" s="177" t="str" cm="1">
        <f t="array" ref="AG185">Common_InputFunctions.Utility_DisplayArrayInTable(Fertiliser_SourceData.Fertiliser_Products_Data4(),FertiliserProducts[[#Headers],[Company]], 91)</f>
        <v/>
      </c>
      <c r="AH185" s="177" t="str" cm="1">
        <f t="array" ref="AH185">Common_InputFunctions.Utility_DisplayArrayInTable(Fertiliser_SourceData.Fertiliser_Products_Data4(),FertiliserProducts[[#Headers],[Company]], 91)</f>
        <v/>
      </c>
    </row>
    <row r="186" spans="4:37" x14ac:dyDescent="0.25" ht="20" customHeight="1">
      <c r="D186" s="177" t="str" cm="1">
        <f t="array" ref="D186">Common_InputFunctions.Utility_DisplayArrayInTable(Fertiliser_SourceData.Fertiliser_Products_Data4(),FertiliserProducts[[#Headers],[Company]], 91)</f>
        <v>Pacific Fertiliser / Incitec Pivot Fertilisers</v>
      </c>
      <c r="E186" s="177" t="str" cm="1">
        <f t="array" ref="E186">Common_InputFunctions.Utility_DisplayArrayInTable(Fertiliser_SourceData.Fertiliser_Products_Data4(),FertiliserProducts[[#Headers],[Company]], 91)</f>
        <v>Cal-Gran 50/50</v>
      </c>
      <c r="F186" s="177" t="str" cm="1">
        <f t="array" ref="F186">Common_InputFunctions.Utility_DisplayArrayInTable(Fertiliser_SourceData.Fertiliser_Products_Data4(),FertiliserProducts[[#Headers],[Company]], 91)</f>
        <v>kg</v>
      </c>
      <c r="G186" s="177" cm="1">
        <f t="array" ref="G186">Common_InputFunctions.Utility_DisplayArrayInTable(Fertiliser_SourceData.Fertiliser_Products_Data4(),FertiliserProducts[[#Headers],[Company]], 91)</f>
        <v>1</v>
      </c>
      <c r="H186" s="177" t="str" cm="1">
        <f t="array" ref="H186">Common_InputFunctions.Utility_DisplayArrayInTable(Fertiliser_SourceData.Fertiliser_Products_Data4(),FertiliserProducts[[#Headers],[Company]], 91)</f>
        <v/>
      </c>
      <c r="I186" s="177" t="str" cm="1">
        <f t="array" ref="I186">Common_InputFunctions.Utility_DisplayArrayInTable(Fertiliser_SourceData.Fertiliser_Products_Data4(),FertiliserProducts[[#Headers],[Company]], 91)</f>
        <v/>
      </c>
      <c r="J186" s="177" t="str" cm="1">
        <f t="array" ref="J186">Common_InputFunctions.Utility_DisplayArrayInTable(Fertiliser_SourceData.Fertiliser_Products_Data4(),FertiliserProducts[[#Headers],[Company]], 91)</f>
        <v/>
      </c>
      <c r="K186" s="177" cm="1">
        <f t="array" ref="K186">Common_InputFunctions.Utility_DisplayArrayInTable(Fertiliser_SourceData.Fertiliser_Products_Data4(),FertiliserProducts[[#Headers],[Company]], 91)</f>
        <v>17.899999999999999</v>
      </c>
      <c r="L186" s="177" t="str" cm="1">
        <f t="array" ref="L186">Common_InputFunctions.Utility_DisplayArrayInTable(Fertiliser_SourceData.Fertiliser_Products_Data4(),FertiliserProducts[[#Headers],[Company]], 91)</f>
        <v/>
      </c>
      <c r="M186" s="177" cm="1">
        <f t="array" ref="M186">Common_InputFunctions.Utility_DisplayArrayInTable(Fertiliser_SourceData.Fertiliser_Products_Data4(),FertiliserProducts[[#Headers],[Company]], 91)</f>
        <v>15</v>
      </c>
      <c r="N186" s="177" cm="1">
        <f t="array" ref="N186">Common_InputFunctions.Utility_DisplayArrayInTable(Fertiliser_SourceData.Fertiliser_Products_Data4(),FertiliserProducts[[#Headers],[Company]], 91)</f>
        <v>3.6</v>
      </c>
      <c r="O186" s="177" t="str" cm="1">
        <f t="array" ref="O186">Common_InputFunctions.Utility_DisplayArrayInTable(Fertiliser_SourceData.Fertiliser_Products_Data4(),FertiliserProducts[[#Headers],[Company]], 91)</f>
        <v>Nitrogen - Nitrate</v>
      </c>
      <c r="P186" s="177" cm="1">
        <f t="array" ref="P186">Common_InputFunctions.Utility_DisplayArrayInTable(Fertiliser_SourceData.Fertiliser_Products_Data4(),FertiliserProducts[[#Headers],[Company]], 91)</f>
        <v>5.5E-2</v>
      </c>
      <c r="Q186" s="177" t="str" cm="1">
        <f t="array" ref="Q186">Common_InputFunctions.Utility_DisplayArrayInTable(Fertiliser_SourceData.Fertiliser_Products_Data4(),FertiliserProducts[[#Headers],[Company]], 91)</f>
        <v>Nitrogen - Ammoniacal</v>
      </c>
      <c r="R186" s="177" cm="1">
        <f t="array" ref="R186">Common_InputFunctions.Utility_DisplayArrayInTable(Fertiliser_SourceData.Fertiliser_Products_Data4(),FertiliserProducts[[#Headers],[Company]], 91)</f>
        <v>0.124</v>
      </c>
      <c r="S186" s="177" t="str" cm="1">
        <f t="array" ref="S186">Common_InputFunctions.Utility_DisplayArrayInTable(Fertiliser_SourceData.Fertiliser_Products_Data4(),FertiliserProducts[[#Headers],[Company]], 91)</f>
        <v>Potassium - Generic</v>
      </c>
      <c r="T186" s="177" cm="1">
        <f t="array" ref="T186">Common_InputFunctions.Utility_DisplayArrayInTable(Fertiliser_SourceData.Fertiliser_Products_Data4(),FertiliserProducts[[#Headers],[Company]], 91)</f>
        <v>0.15</v>
      </c>
      <c r="U186" s="177" t="str" cm="1">
        <f t="array" ref="U186">Common_InputFunctions.Utility_DisplayArrayInTable(Fertiliser_SourceData.Fertiliser_Products_Data4(),FertiliserProducts[[#Headers],[Company]], 91)</f>
        <v>Sulfur - Generic</v>
      </c>
      <c r="V186" s="177" cm="1">
        <f t="array" ref="V186">Common_InputFunctions.Utility_DisplayArrayInTable(Fertiliser_SourceData.Fertiliser_Products_Data4(),FertiliserProducts[[#Headers],[Company]], 91)</f>
        <v>3.5999999999999997E-2</v>
      </c>
      <c r="W186" s="177" t="str" cm="1">
        <f t="array" ref="W186">Common_InputFunctions.Utility_DisplayArrayInTable(Fertiliser_SourceData.Fertiliser_Products_Data4(),FertiliserProducts[[#Headers],[Company]], 91)</f>
        <v>Calcium</v>
      </c>
      <c r="X186" s="177" cm="1">
        <f t="array" ref="X186">Common_InputFunctions.Utility_DisplayArrayInTable(Fertiliser_SourceData.Fertiliser_Products_Data4(),FertiliserProducts[[#Headers],[Company]], 91)</f>
        <v>4.3999999999999997E-2</v>
      </c>
      <c r="Y186" s="177" t="str" cm="1">
        <f t="array" ref="Y186">Common_InputFunctions.Utility_DisplayArrayInTable(Fertiliser_SourceData.Fertiliser_Products_Data4(),FertiliserProducts[[#Headers],[Company]], 91)</f>
        <v/>
      </c>
      <c r="Z186" s="177" t="str" cm="1">
        <f t="array" ref="Z186">Common_InputFunctions.Utility_DisplayArrayInTable(Fertiliser_SourceData.Fertiliser_Products_Data4(),FertiliserProducts[[#Headers],[Company]], 91)</f>
        <v/>
      </c>
      <c r="AA186" s="177" t="str" cm="1">
        <f t="array" ref="AA186">Common_InputFunctions.Utility_DisplayArrayInTable(Fertiliser_SourceData.Fertiliser_Products_Data4(),FertiliserProducts[[#Headers],[Company]], 91)</f>
        <v/>
      </c>
      <c r="AB186" s="177" t="str" cm="1">
        <f t="array" ref="AB186">Common_InputFunctions.Utility_DisplayArrayInTable(Fertiliser_SourceData.Fertiliser_Products_Data4(),FertiliserProducts[[#Headers],[Company]], 91)</f>
        <v/>
      </c>
      <c r="AC186" s="177" t="str" cm="1">
        <f t="array" ref="AC186">Common_InputFunctions.Utility_DisplayArrayInTable(Fertiliser_SourceData.Fertiliser_Products_Data4(),FertiliserProducts[[#Headers],[Company]], 91)</f>
        <v/>
      </c>
      <c r="AD186" s="177" t="str" cm="1">
        <f t="array" ref="AD186">Common_InputFunctions.Utility_DisplayArrayInTable(Fertiliser_SourceData.Fertiliser_Products_Data4(),FertiliserProducts[[#Headers],[Company]], 91)</f>
        <v/>
      </c>
      <c r="AE186" s="177" t="str" cm="1">
        <f t="array" ref="AE186">Common_InputFunctions.Utility_DisplayArrayInTable(Fertiliser_SourceData.Fertiliser_Products_Data4(),FertiliserProducts[[#Headers],[Company]], 91)</f>
        <v/>
      </c>
      <c r="AF186" s="177" t="str" cm="1">
        <f t="array" ref="AF186">Common_InputFunctions.Utility_DisplayArrayInTable(Fertiliser_SourceData.Fertiliser_Products_Data4(),FertiliserProducts[[#Headers],[Company]], 91)</f>
        <v/>
      </c>
      <c r="AG186" s="177" t="str" cm="1">
        <f t="array" ref="AG186">Common_InputFunctions.Utility_DisplayArrayInTable(Fertiliser_SourceData.Fertiliser_Products_Data4(),FertiliserProducts[[#Headers],[Company]], 91)</f>
        <v/>
      </c>
      <c r="AH186" s="177" t="str" cm="1">
        <f t="array" ref="AH186">Common_InputFunctions.Utility_DisplayArrayInTable(Fertiliser_SourceData.Fertiliser_Products_Data4(),FertiliserProducts[[#Headers],[Company]], 91)</f>
        <v/>
      </c>
    </row>
    <row r="187" spans="4:37" x14ac:dyDescent="0.25" ht="20" customHeight="1">
      <c r="D187" s="177" t="str" cm="1">
        <f t="array" ref="D187">Common_InputFunctions.Utility_DisplayArrayInTable(Fertiliser_SourceData.Fertiliser_Products_Data4(),FertiliserProducts[[#Headers],[Company]], 91)</f>
        <v>Pacific Fertiliser / Incitec Pivot Fertilisers</v>
      </c>
      <c r="E187" s="177" t="str" cm="1">
        <f t="array" ref="E187">Common_InputFunctions.Utility_DisplayArrayInTable(Fertiliser_SourceData.Fertiliser_Products_Data4(),FertiliserProducts[[#Headers],[Company]], 91)</f>
        <v>Cal-Gran 50/50 (S)</v>
      </c>
      <c r="F187" s="177" t="str" cm="1">
        <f t="array" ref="F187">Common_InputFunctions.Utility_DisplayArrayInTable(Fertiliser_SourceData.Fertiliser_Products_Data4(),FertiliserProducts[[#Headers],[Company]], 91)</f>
        <v>kg</v>
      </c>
      <c r="G187" s="177" cm="1">
        <f t="array" ref="G187">Common_InputFunctions.Utility_DisplayArrayInTable(Fertiliser_SourceData.Fertiliser_Products_Data4(),FertiliserProducts[[#Headers],[Company]], 91)</f>
        <v>1</v>
      </c>
      <c r="H187" s="177" t="str" cm="1">
        <f t="array" ref="H187">Common_InputFunctions.Utility_DisplayArrayInTable(Fertiliser_SourceData.Fertiliser_Products_Data4(),FertiliserProducts[[#Headers],[Company]], 91)</f>
        <v/>
      </c>
      <c r="I187" s="177" t="str" cm="1">
        <f t="array" ref="I187">Common_InputFunctions.Utility_DisplayArrayInTable(Fertiliser_SourceData.Fertiliser_Products_Data4(),FertiliserProducts[[#Headers],[Company]], 91)</f>
        <v/>
      </c>
      <c r="J187" s="177" t="str" cm="1">
        <f t="array" ref="J187">Common_InputFunctions.Utility_DisplayArrayInTable(Fertiliser_SourceData.Fertiliser_Products_Data4(),FertiliserProducts[[#Headers],[Company]], 91)</f>
        <v/>
      </c>
      <c r="K187" s="177" cm="1">
        <f t="array" ref="K187">Common_InputFunctions.Utility_DisplayArrayInTable(Fertiliser_SourceData.Fertiliser_Products_Data4(),FertiliserProducts[[#Headers],[Company]], 91)</f>
        <v>16.899999999999999</v>
      </c>
      <c r="L187" s="177" t="str" cm="1">
        <f t="array" ref="L187">Common_InputFunctions.Utility_DisplayArrayInTable(Fertiliser_SourceData.Fertiliser_Products_Data4(),FertiliserProducts[[#Headers],[Company]], 91)</f>
        <v/>
      </c>
      <c r="M187" s="177" cm="1">
        <f t="array" ref="M187">Common_InputFunctions.Utility_DisplayArrayInTable(Fertiliser_SourceData.Fertiliser_Products_Data4(),FertiliserProducts[[#Headers],[Company]], 91)</f>
        <v>14.4</v>
      </c>
      <c r="N187" s="177" cm="1">
        <f t="array" ref="N187">Common_InputFunctions.Utility_DisplayArrayInTable(Fertiliser_SourceData.Fertiliser_Products_Data4(),FertiliserProducts[[#Headers],[Company]], 91)</f>
        <v>8.6999999999999993</v>
      </c>
      <c r="O187" s="177" t="str" cm="1">
        <f t="array" ref="O187">Common_InputFunctions.Utility_DisplayArrayInTable(Fertiliser_SourceData.Fertiliser_Products_Data4(),FertiliserProducts[[#Headers],[Company]], 91)</f>
        <v>Nitrogen - Nitrate</v>
      </c>
      <c r="P187" s="177" cm="1">
        <f t="array" ref="P187">Common_InputFunctions.Utility_DisplayArrayInTable(Fertiliser_SourceData.Fertiliser_Products_Data4(),FertiliserProducts[[#Headers],[Company]], 91)</f>
        <v>5.1999999999999998E-2</v>
      </c>
      <c r="Q187" s="177" t="str" cm="1">
        <f t="array" ref="Q187">Common_InputFunctions.Utility_DisplayArrayInTable(Fertiliser_SourceData.Fertiliser_Products_Data4(),FertiliserProducts[[#Headers],[Company]], 91)</f>
        <v>Nitrogen - Ammoniacal</v>
      </c>
      <c r="R187" s="177" cm="1">
        <f t="array" ref="R187">Common_InputFunctions.Utility_DisplayArrayInTable(Fertiliser_SourceData.Fertiliser_Products_Data4(),FertiliserProducts[[#Headers],[Company]], 91)</f>
        <v>0.11700000000000001</v>
      </c>
      <c r="S187" s="177" t="str" cm="1">
        <f t="array" ref="S187">Common_InputFunctions.Utility_DisplayArrayInTable(Fertiliser_SourceData.Fertiliser_Products_Data4(),FertiliserProducts[[#Headers],[Company]], 91)</f>
        <v>Potassium - Generic</v>
      </c>
      <c r="T187" s="177" cm="1">
        <f t="array" ref="T187">Common_InputFunctions.Utility_DisplayArrayInTable(Fertiliser_SourceData.Fertiliser_Products_Data4(),FertiliserProducts[[#Headers],[Company]], 91)</f>
        <v>0.14399999999999999</v>
      </c>
      <c r="U187" s="177" t="str" cm="1">
        <f t="array" ref="U187">Common_InputFunctions.Utility_DisplayArrayInTable(Fertiliser_SourceData.Fertiliser_Products_Data4(),FertiliserProducts[[#Headers],[Company]], 91)</f>
        <v>Sulfur - Generic</v>
      </c>
      <c r="V187" s="177" cm="1">
        <f t="array" ref="V187">Common_InputFunctions.Utility_DisplayArrayInTable(Fertiliser_SourceData.Fertiliser_Products_Data4(),FertiliserProducts[[#Headers],[Company]], 91)</f>
        <v>8.6999999999999994E-2</v>
      </c>
      <c r="W187" s="177" t="str" cm="1">
        <f t="array" ref="W187">Common_InputFunctions.Utility_DisplayArrayInTable(Fertiliser_SourceData.Fertiliser_Products_Data4(),FertiliserProducts[[#Headers],[Company]], 91)</f>
        <v>Calcium</v>
      </c>
      <c r="X187" s="177" cm="1">
        <f t="array" ref="X187">Common_InputFunctions.Utility_DisplayArrayInTable(Fertiliser_SourceData.Fertiliser_Products_Data4(),FertiliserProducts[[#Headers],[Company]], 91)</f>
        <v>4.3999999999999997E-2</v>
      </c>
      <c r="Y187" s="177" t="str" cm="1">
        <f t="array" ref="Y187">Common_InputFunctions.Utility_DisplayArrayInTable(Fertiliser_SourceData.Fertiliser_Products_Data4(),FertiliserProducts[[#Headers],[Company]], 91)</f>
        <v/>
      </c>
      <c r="Z187" s="177" t="str" cm="1">
        <f t="array" ref="Z187">Common_InputFunctions.Utility_DisplayArrayInTable(Fertiliser_SourceData.Fertiliser_Products_Data4(),FertiliserProducts[[#Headers],[Company]], 91)</f>
        <v/>
      </c>
      <c r="AA187" s="177" t="str" cm="1">
        <f t="array" ref="AA187">Common_InputFunctions.Utility_DisplayArrayInTable(Fertiliser_SourceData.Fertiliser_Products_Data4(),FertiliserProducts[[#Headers],[Company]], 91)</f>
        <v/>
      </c>
      <c r="AB187" s="177" t="str" cm="1">
        <f t="array" ref="AB187">Common_InputFunctions.Utility_DisplayArrayInTable(Fertiliser_SourceData.Fertiliser_Products_Data4(),FertiliserProducts[[#Headers],[Company]], 91)</f>
        <v/>
      </c>
      <c r="AC187" s="177" t="str" cm="1">
        <f t="array" ref="AC187">Common_InputFunctions.Utility_DisplayArrayInTable(Fertiliser_SourceData.Fertiliser_Products_Data4(),FertiliserProducts[[#Headers],[Company]], 91)</f>
        <v/>
      </c>
      <c r="AD187" s="177" t="str" cm="1">
        <f t="array" ref="AD187">Common_InputFunctions.Utility_DisplayArrayInTable(Fertiliser_SourceData.Fertiliser_Products_Data4(),FertiliserProducts[[#Headers],[Company]], 91)</f>
        <v/>
      </c>
      <c r="AE187" s="177" t="str" cm="1">
        <f t="array" ref="AE187">Common_InputFunctions.Utility_DisplayArrayInTable(Fertiliser_SourceData.Fertiliser_Products_Data4(),FertiliserProducts[[#Headers],[Company]], 91)</f>
        <v/>
      </c>
      <c r="AF187" s="177" t="str" cm="1">
        <f t="array" ref="AF187">Common_InputFunctions.Utility_DisplayArrayInTable(Fertiliser_SourceData.Fertiliser_Products_Data4(),FertiliserProducts[[#Headers],[Company]], 91)</f>
        <v/>
      </c>
      <c r="AG187" s="177" t="str" cm="1">
        <f t="array" ref="AG187">Common_InputFunctions.Utility_DisplayArrayInTable(Fertiliser_SourceData.Fertiliser_Products_Data4(),FertiliserProducts[[#Headers],[Company]], 91)</f>
        <v/>
      </c>
      <c r="AH187" s="177" t="str" cm="1">
        <f t="array" ref="AH187">Common_InputFunctions.Utility_DisplayArrayInTable(Fertiliser_SourceData.Fertiliser_Products_Data4(),FertiliserProducts[[#Headers],[Company]], 91)</f>
        <v/>
      </c>
    </row>
    <row r="188" spans="4:37" x14ac:dyDescent="0.25" ht="20" customHeight="1">
      <c r="D188" s="177" t="str" cm="1">
        <f t="array" ref="D188">Common_InputFunctions.Utility_DisplayArrayInTable(Fertiliser_SourceData.Fertiliser_Products_Data4(),FertiliserProducts[[#Headers],[Company]], 91)</f>
        <v>Pacific Fertiliser / Incitec Pivot Fertilisers</v>
      </c>
      <c r="E188" s="177" t="str" cm="1">
        <f t="array" ref="E188">Common_InputFunctions.Utility_DisplayArrayInTable(Fertiliser_SourceData.Fertiliser_Products_Data4(),FertiliserProducts[[#Headers],[Company]], 91)</f>
        <v>Cal-Gran 130</v>
      </c>
      <c r="F188" s="177" t="str" cm="1">
        <f t="array" ref="F188">Common_InputFunctions.Utility_DisplayArrayInTable(Fertiliser_SourceData.Fertiliser_Products_Data4(),FertiliserProducts[[#Headers],[Company]], 91)</f>
        <v>kg</v>
      </c>
      <c r="G188" s="177" cm="1">
        <f t="array" ref="G188">Common_InputFunctions.Utility_DisplayArrayInTable(Fertiliser_SourceData.Fertiliser_Products_Data4(),FertiliserProducts[[#Headers],[Company]], 91)</f>
        <v>1</v>
      </c>
      <c r="H188" s="177" t="str" cm="1">
        <f t="array" ref="H188">Common_InputFunctions.Utility_DisplayArrayInTable(Fertiliser_SourceData.Fertiliser_Products_Data4(),FertiliserProducts[[#Headers],[Company]], 91)</f>
        <v/>
      </c>
      <c r="I188" s="177" t="str" cm="1">
        <f t="array" ref="I188">Common_InputFunctions.Utility_DisplayArrayInTable(Fertiliser_SourceData.Fertiliser_Products_Data4(),FertiliserProducts[[#Headers],[Company]], 91)</f>
        <v/>
      </c>
      <c r="J188" s="177" t="str" cm="1">
        <f t="array" ref="J188">Common_InputFunctions.Utility_DisplayArrayInTable(Fertiliser_SourceData.Fertiliser_Products_Data4(),FertiliserProducts[[#Headers],[Company]], 91)</f>
        <v/>
      </c>
      <c r="K188" s="177" cm="1">
        <f t="array" ref="K188">Common_InputFunctions.Utility_DisplayArrayInTable(Fertiliser_SourceData.Fertiliser_Products_Data4(),FertiliserProducts[[#Headers],[Company]], 91)</f>
        <v>18.8</v>
      </c>
      <c r="L188" s="177" cm="1">
        <f t="array" ref="L188">Common_InputFunctions.Utility_DisplayArrayInTable(Fertiliser_SourceData.Fertiliser_Products_Data4(),FertiliserProducts[[#Headers],[Company]], 91)</f>
        <v>1</v>
      </c>
      <c r="M188" s="177" cm="1">
        <f t="array" ref="M188">Common_InputFunctions.Utility_DisplayArrayInTable(Fertiliser_SourceData.Fertiliser_Products_Data4(),FertiliserProducts[[#Headers],[Company]], 91)</f>
        <v>12.5</v>
      </c>
      <c r="N188" s="177" cm="1">
        <f t="array" ref="N188">Common_InputFunctions.Utility_DisplayArrayInTable(Fertiliser_SourceData.Fertiliser_Products_Data4(),FertiliserProducts[[#Headers],[Company]], 91)</f>
        <v>3.7</v>
      </c>
      <c r="O188" s="177" t="str" cm="1">
        <f t="array" ref="O188">Common_InputFunctions.Utility_DisplayArrayInTable(Fertiliser_SourceData.Fertiliser_Products_Data4(),FertiliserProducts[[#Headers],[Company]], 91)</f>
        <v>Nitrogen - Nitrate</v>
      </c>
      <c r="P188" s="177" cm="1">
        <f t="array" ref="P188">Common_InputFunctions.Utility_DisplayArrayInTable(Fertiliser_SourceData.Fertiliser_Products_Data4(),FertiliserProducts[[#Headers],[Company]], 91)</f>
        <v>5.8000000000000003E-2</v>
      </c>
      <c r="Q188" s="177" t="str" cm="1">
        <f t="array" ref="Q188">Common_InputFunctions.Utility_DisplayArrayInTable(Fertiliser_SourceData.Fertiliser_Products_Data4(),FertiliserProducts[[#Headers],[Company]], 91)</f>
        <v>Nitrogen - Ammoniacal</v>
      </c>
      <c r="R188" s="177" cm="1">
        <f t="array" ref="R188">Common_InputFunctions.Utility_DisplayArrayInTable(Fertiliser_SourceData.Fertiliser_Products_Data4(),FertiliserProducts[[#Headers],[Company]], 91)</f>
        <v>0.13</v>
      </c>
      <c r="S188" s="177" t="str" cm="1">
        <f t="array" ref="S188">Common_InputFunctions.Utility_DisplayArrayInTable(Fertiliser_SourceData.Fertiliser_Products_Data4(),FertiliserProducts[[#Headers],[Company]], 91)</f>
        <v>Phosphorus - Generic</v>
      </c>
      <c r="T188" s="177" cm="1">
        <f t="array" ref="T188">Common_InputFunctions.Utility_DisplayArrayInTable(Fertiliser_SourceData.Fertiliser_Products_Data4(),FertiliserProducts[[#Headers],[Company]], 91)</f>
        <v>0.01</v>
      </c>
      <c r="U188" s="177" t="str" cm="1">
        <f t="array" ref="U188">Common_InputFunctions.Utility_DisplayArrayInTable(Fertiliser_SourceData.Fertiliser_Products_Data4(),FertiliserProducts[[#Headers],[Company]], 91)</f>
        <v>Potassium - Generic</v>
      </c>
      <c r="V188" s="177" cm="1">
        <f t="array" ref="V188">Common_InputFunctions.Utility_DisplayArrayInTable(Fertiliser_SourceData.Fertiliser_Products_Data4(),FertiliserProducts[[#Headers],[Company]], 91)</f>
        <v>0.125</v>
      </c>
      <c r="W188" s="177" t="str" cm="1">
        <f t="array" ref="W188">Common_InputFunctions.Utility_DisplayArrayInTable(Fertiliser_SourceData.Fertiliser_Products_Data4(),FertiliserProducts[[#Headers],[Company]], 91)</f>
        <v>Sulfur - Generic</v>
      </c>
      <c r="X188" s="177" cm="1">
        <f t="array" ref="X188">Common_InputFunctions.Utility_DisplayArrayInTable(Fertiliser_SourceData.Fertiliser_Products_Data4(),FertiliserProducts[[#Headers],[Company]], 91)</f>
        <v>3.6999999999999998E-2</v>
      </c>
      <c r="Y188" s="177" t="str" cm="1">
        <f t="array" ref="Y188">Common_InputFunctions.Utility_DisplayArrayInTable(Fertiliser_SourceData.Fertiliser_Products_Data4(),FertiliserProducts[[#Headers],[Company]], 91)</f>
        <v>Calcium</v>
      </c>
      <c r="Z188" s="177" cm="1">
        <f t="array" ref="Z188">Common_InputFunctions.Utility_DisplayArrayInTable(Fertiliser_SourceData.Fertiliser_Products_Data4(),FertiliserProducts[[#Headers],[Company]], 91)</f>
        <v>4.3999999999999997E-2</v>
      </c>
      <c r="AA188" s="177" t="str" cm="1">
        <f t="array" ref="AA188">Common_InputFunctions.Utility_DisplayArrayInTable(Fertiliser_SourceData.Fertiliser_Products_Data4(),FertiliserProducts[[#Headers],[Company]], 91)</f>
        <v/>
      </c>
      <c r="AB188" s="177" t="str" cm="1">
        <f t="array" ref="AB188">Common_InputFunctions.Utility_DisplayArrayInTable(Fertiliser_SourceData.Fertiliser_Products_Data4(),FertiliserProducts[[#Headers],[Company]], 91)</f>
        <v/>
      </c>
      <c r="AC188" s="177" t="str" cm="1">
        <f t="array" ref="AC188">Common_InputFunctions.Utility_DisplayArrayInTable(Fertiliser_SourceData.Fertiliser_Products_Data4(),FertiliserProducts[[#Headers],[Company]], 91)</f>
        <v/>
      </c>
      <c r="AD188" s="177" t="str" cm="1">
        <f t="array" ref="AD188">Common_InputFunctions.Utility_DisplayArrayInTable(Fertiliser_SourceData.Fertiliser_Products_Data4(),FertiliserProducts[[#Headers],[Company]], 91)</f>
        <v/>
      </c>
      <c r="AE188" s="177" t="str" cm="1">
        <f t="array" ref="AE188">Common_InputFunctions.Utility_DisplayArrayInTable(Fertiliser_SourceData.Fertiliser_Products_Data4(),FertiliserProducts[[#Headers],[Company]], 91)</f>
        <v/>
      </c>
      <c r="AF188" s="177" t="str" cm="1">
        <f t="array" ref="AF188">Common_InputFunctions.Utility_DisplayArrayInTable(Fertiliser_SourceData.Fertiliser_Products_Data4(),FertiliserProducts[[#Headers],[Company]], 91)</f>
        <v/>
      </c>
      <c r="AG188" s="177" t="str" cm="1">
        <f t="array" ref="AG188">Common_InputFunctions.Utility_DisplayArrayInTable(Fertiliser_SourceData.Fertiliser_Products_Data4(),FertiliserProducts[[#Headers],[Company]], 91)</f>
        <v/>
      </c>
      <c r="AH188" s="177" t="str" cm="1">
        <f t="array" ref="AH188">Common_InputFunctions.Utility_DisplayArrayInTable(Fertiliser_SourceData.Fertiliser_Products_Data4(),FertiliserProducts[[#Headers],[Company]], 91)</f>
        <v/>
      </c>
    </row>
    <row r="189" spans="4:37" x14ac:dyDescent="0.25" ht="20" customHeight="1">
      <c r="D189" s="177" t="str" cm="1">
        <f t="array" ref="D189">Common_InputFunctions.Utility_DisplayArrayInTable(Fertiliser_SourceData.Fertiliser_Products_Data4(),FertiliserProducts[[#Headers],[Company]], 91)</f>
        <v>Pacific Fertiliser / Incitec Pivot Fertilisers</v>
      </c>
      <c r="E189" s="177" t="str" cm="1">
        <f t="array" ref="E189">Common_InputFunctions.Utility_DisplayArrayInTable(Fertiliser_SourceData.Fertiliser_Products_Data4(),FertiliserProducts[[#Headers],[Company]], 91)</f>
        <v>Cal-Gran 150</v>
      </c>
      <c r="F189" s="177" t="str" cm="1">
        <f t="array" ref="F189">Common_InputFunctions.Utility_DisplayArrayInTable(Fertiliser_SourceData.Fertiliser_Products_Data4(),FertiliserProducts[[#Headers],[Company]], 91)</f>
        <v>kg</v>
      </c>
      <c r="G189" s="177" cm="1">
        <f t="array" ref="G189">Common_InputFunctions.Utility_DisplayArrayInTable(Fertiliser_SourceData.Fertiliser_Products_Data4(),FertiliserProducts[[#Headers],[Company]], 91)</f>
        <v>1</v>
      </c>
      <c r="H189" s="177" t="str" cm="1">
        <f t="array" ref="H189">Common_InputFunctions.Utility_DisplayArrayInTable(Fertiliser_SourceData.Fertiliser_Products_Data4(),FertiliserProducts[[#Headers],[Company]], 91)</f>
        <v/>
      </c>
      <c r="I189" s="177" t="str" cm="1">
        <f t="array" ref="I189">Common_InputFunctions.Utility_DisplayArrayInTable(Fertiliser_SourceData.Fertiliser_Products_Data4(),FertiliserProducts[[#Headers],[Company]], 91)</f>
        <v/>
      </c>
      <c r="J189" s="177" t="str" cm="1">
        <f t="array" ref="J189">Common_InputFunctions.Utility_DisplayArrayInTable(Fertiliser_SourceData.Fertiliser_Products_Data4(),FertiliserProducts[[#Headers],[Company]], 91)</f>
        <v/>
      </c>
      <c r="K189" s="177" cm="1">
        <f t="array" ref="K189">Common_InputFunctions.Utility_DisplayArrayInTable(Fertiliser_SourceData.Fertiliser_Products_Data4(),FertiliserProducts[[#Headers],[Company]], 91)</f>
        <v>18.600000000000001</v>
      </c>
      <c r="L189" s="177" cm="1">
        <f t="array" ref="L189">Common_InputFunctions.Utility_DisplayArrayInTable(Fertiliser_SourceData.Fertiliser_Products_Data4(),FertiliserProducts[[#Headers],[Company]], 91)</f>
        <v>3</v>
      </c>
      <c r="M189" s="177" cm="1">
        <f t="array" ref="M189">Common_InputFunctions.Utility_DisplayArrayInTable(Fertiliser_SourceData.Fertiliser_Products_Data4(),FertiliserProducts[[#Headers],[Company]], 91)</f>
        <v>12.5</v>
      </c>
      <c r="N189" s="177" cm="1">
        <f t="array" ref="N189">Common_InputFunctions.Utility_DisplayArrayInTable(Fertiliser_SourceData.Fertiliser_Products_Data4(),FertiliserProducts[[#Headers],[Company]], 91)</f>
        <v>1.4</v>
      </c>
      <c r="O189" s="177" t="str" cm="1">
        <f t="array" ref="O189">Common_InputFunctions.Utility_DisplayArrayInTable(Fertiliser_SourceData.Fertiliser_Products_Data4(),FertiliserProducts[[#Headers],[Company]], 91)</f>
        <v>Nitrogen - Nitrate</v>
      </c>
      <c r="P189" s="177" cm="1">
        <f t="array" ref="P189">Common_InputFunctions.Utility_DisplayArrayInTable(Fertiliser_SourceData.Fertiliser_Products_Data4(),FertiliserProducts[[#Headers],[Company]], 91)</f>
        <v>5.8000000000000003E-2</v>
      </c>
      <c r="Q189" s="177" t="str" cm="1">
        <f t="array" ref="Q189">Common_InputFunctions.Utility_DisplayArrayInTable(Fertiliser_SourceData.Fertiliser_Products_Data4(),FertiliserProducts[[#Headers],[Company]], 91)</f>
        <v>Nitrogen - Ammoniacal</v>
      </c>
      <c r="R189" s="177" cm="1">
        <f t="array" ref="R189">Common_InputFunctions.Utility_DisplayArrayInTable(Fertiliser_SourceData.Fertiliser_Products_Data4(),FertiliserProducts[[#Headers],[Company]], 91)</f>
        <v>0.128</v>
      </c>
      <c r="S189" s="177" t="str" cm="1">
        <f t="array" ref="S189">Common_InputFunctions.Utility_DisplayArrayInTable(Fertiliser_SourceData.Fertiliser_Products_Data4(),FertiliserProducts[[#Headers],[Company]], 91)</f>
        <v>Phosphorus - Generic</v>
      </c>
      <c r="T189" s="177" cm="1">
        <f t="array" ref="T189">Common_InputFunctions.Utility_DisplayArrayInTable(Fertiliser_SourceData.Fertiliser_Products_Data4(),FertiliserProducts[[#Headers],[Company]], 91)</f>
        <v>0.03</v>
      </c>
      <c r="U189" s="177" t="str" cm="1">
        <f t="array" ref="U189">Common_InputFunctions.Utility_DisplayArrayInTable(Fertiliser_SourceData.Fertiliser_Products_Data4(),FertiliserProducts[[#Headers],[Company]], 91)</f>
        <v>Potassium - Generic</v>
      </c>
      <c r="V189" s="177" cm="1">
        <f t="array" ref="V189">Common_InputFunctions.Utility_DisplayArrayInTable(Fertiliser_SourceData.Fertiliser_Products_Data4(),FertiliserProducts[[#Headers],[Company]], 91)</f>
        <v>0.125</v>
      </c>
      <c r="W189" s="177" t="str" cm="1">
        <f t="array" ref="W189">Common_InputFunctions.Utility_DisplayArrayInTable(Fertiliser_SourceData.Fertiliser_Products_Data4(),FertiliserProducts[[#Headers],[Company]], 91)</f>
        <v>Sulfur - Generic</v>
      </c>
      <c r="X189" s="177" cm="1">
        <f t="array" ref="X189">Common_InputFunctions.Utility_DisplayArrayInTable(Fertiliser_SourceData.Fertiliser_Products_Data4(),FertiliserProducts[[#Headers],[Company]], 91)</f>
        <v>1.4E-2</v>
      </c>
      <c r="Y189" s="177" t="str" cm="1">
        <f t="array" ref="Y189">Common_InputFunctions.Utility_DisplayArrayInTable(Fertiliser_SourceData.Fertiliser_Products_Data4(),FertiliserProducts[[#Headers],[Company]], 91)</f>
        <v>Calcium</v>
      </c>
      <c r="Z189" s="177" cm="1">
        <f t="array" ref="Z189">Common_InputFunctions.Utility_DisplayArrayInTable(Fertiliser_SourceData.Fertiliser_Products_Data4(),FertiliserProducts[[#Headers],[Company]], 91)</f>
        <v>4.3999999999999997E-2</v>
      </c>
      <c r="AA189" s="177" t="str" cm="1">
        <f t="array" ref="AA189">Common_InputFunctions.Utility_DisplayArrayInTable(Fertiliser_SourceData.Fertiliser_Products_Data4(),FertiliserProducts[[#Headers],[Company]], 91)</f>
        <v/>
      </c>
      <c r="AB189" s="177" t="str" cm="1">
        <f t="array" ref="AB189">Common_InputFunctions.Utility_DisplayArrayInTable(Fertiliser_SourceData.Fertiliser_Products_Data4(),FertiliserProducts[[#Headers],[Company]], 91)</f>
        <v/>
      </c>
      <c r="AC189" s="177" t="str" cm="1">
        <f t="array" ref="AC189">Common_InputFunctions.Utility_DisplayArrayInTable(Fertiliser_SourceData.Fertiliser_Products_Data4(),FertiliserProducts[[#Headers],[Company]], 91)</f>
        <v/>
      </c>
      <c r="AD189" s="177" t="str" cm="1">
        <f t="array" ref="AD189">Common_InputFunctions.Utility_DisplayArrayInTable(Fertiliser_SourceData.Fertiliser_Products_Data4(),FertiliserProducts[[#Headers],[Company]], 91)</f>
        <v/>
      </c>
      <c r="AE189" s="177" t="str" cm="1">
        <f t="array" ref="AE189">Common_InputFunctions.Utility_DisplayArrayInTable(Fertiliser_SourceData.Fertiliser_Products_Data4(),FertiliserProducts[[#Headers],[Company]], 91)</f>
        <v/>
      </c>
      <c r="AF189" s="177" t="str" cm="1">
        <f t="array" ref="AF189">Common_InputFunctions.Utility_DisplayArrayInTable(Fertiliser_SourceData.Fertiliser_Products_Data4(),FertiliserProducts[[#Headers],[Company]], 91)</f>
        <v/>
      </c>
      <c r="AG189" s="177" t="str" cm="1">
        <f t="array" ref="AG189">Common_InputFunctions.Utility_DisplayArrayInTable(Fertiliser_SourceData.Fertiliser_Products_Data4(),FertiliserProducts[[#Headers],[Company]], 91)</f>
        <v/>
      </c>
      <c r="AH189" s="177" t="str" cm="1">
        <f t="array" ref="AH189">Common_InputFunctions.Utility_DisplayArrayInTable(Fertiliser_SourceData.Fertiliser_Products_Data4(),FertiliserProducts[[#Headers],[Company]], 91)</f>
        <v/>
      </c>
    </row>
    <row r="190" spans="4:37" x14ac:dyDescent="0.25" ht="20" customHeight="1">
      <c r="D190" s="177" t="str" cm="1">
        <f t="array" ref="D190">Common_InputFunctions.Utility_DisplayArrayInTable(Fertiliser_SourceData.Fertiliser_Products_Data4(),FertiliserProducts[[#Headers],[Company]], 91)</f>
        <v>Pacific Fertiliser / Incitec Pivot Fertilisers</v>
      </c>
      <c r="E190" s="177" t="str" cm="1">
        <f t="array" ref="E190">Common_InputFunctions.Utility_DisplayArrayInTable(Fertiliser_SourceData.Fertiliser_Products_Data4(),FertiliserProducts[[#Headers],[Company]], 91)</f>
        <v>Cal-Gran Extra K</v>
      </c>
      <c r="F190" s="177" t="str" cm="1">
        <f t="array" ref="F190">Common_InputFunctions.Utility_DisplayArrayInTable(Fertiliser_SourceData.Fertiliser_Products_Data4(),FertiliserProducts[[#Headers],[Company]], 91)</f>
        <v>kg</v>
      </c>
      <c r="G190" s="177" cm="1">
        <f t="array" ref="G190">Common_InputFunctions.Utility_DisplayArrayInTable(Fertiliser_SourceData.Fertiliser_Products_Data4(),FertiliserProducts[[#Headers],[Company]], 91)</f>
        <v>1</v>
      </c>
      <c r="H190" s="177" t="str" cm="1">
        <f t="array" ref="H190">Common_InputFunctions.Utility_DisplayArrayInTable(Fertiliser_SourceData.Fertiliser_Products_Data4(),FertiliserProducts[[#Headers],[Company]], 91)</f>
        <v/>
      </c>
      <c r="I190" s="177" t="str" cm="1">
        <f t="array" ref="I190">Common_InputFunctions.Utility_DisplayArrayInTable(Fertiliser_SourceData.Fertiliser_Products_Data4(),FertiliserProducts[[#Headers],[Company]], 91)</f>
        <v/>
      </c>
      <c r="J190" s="177" t="str" cm="1">
        <f t="array" ref="J190">Common_InputFunctions.Utility_DisplayArrayInTable(Fertiliser_SourceData.Fertiliser_Products_Data4(),FertiliserProducts[[#Headers],[Company]], 91)</f>
        <v/>
      </c>
      <c r="K190" s="177" cm="1">
        <f t="array" ref="K190">Common_InputFunctions.Utility_DisplayArrayInTable(Fertiliser_SourceData.Fertiliser_Products_Data4(),FertiliserProducts[[#Headers],[Company]], 91)</f>
        <v>15.8</v>
      </c>
      <c r="L190" s="177" t="str" cm="1">
        <f t="array" ref="L190">Common_InputFunctions.Utility_DisplayArrayInTable(Fertiliser_SourceData.Fertiliser_Products_Data4(),FertiliserProducts[[#Headers],[Company]], 91)</f>
        <v/>
      </c>
      <c r="M190" s="177" cm="1">
        <f t="array" ref="M190">Common_InputFunctions.Utility_DisplayArrayInTable(Fertiliser_SourceData.Fertiliser_Products_Data4(),FertiliserProducts[[#Headers],[Company]], 91)</f>
        <v>19</v>
      </c>
      <c r="N190" s="177" cm="1">
        <f t="array" ref="N190">Common_InputFunctions.Utility_DisplayArrayInTable(Fertiliser_SourceData.Fertiliser_Products_Data4(),FertiliserProducts[[#Headers],[Company]], 91)</f>
        <v>3.2</v>
      </c>
      <c r="O190" s="177" t="str" cm="1">
        <f t="array" ref="O190">Common_InputFunctions.Utility_DisplayArrayInTable(Fertiliser_SourceData.Fertiliser_Products_Data4(),FertiliserProducts[[#Headers],[Company]], 91)</f>
        <v>Nitrogen - Nitrate</v>
      </c>
      <c r="P190" s="177" cm="1">
        <f t="array" ref="P190">Common_InputFunctions.Utility_DisplayArrayInTable(Fertiliser_SourceData.Fertiliser_Products_Data4(),FertiliserProducts[[#Headers],[Company]], 91)</f>
        <v>4.9000000000000002E-2</v>
      </c>
      <c r="Q190" s="177" t="str" cm="1">
        <f t="array" ref="Q190">Common_InputFunctions.Utility_DisplayArrayInTable(Fertiliser_SourceData.Fertiliser_Products_Data4(),FertiliserProducts[[#Headers],[Company]], 91)</f>
        <v>Nitrogen - Ammoniacal</v>
      </c>
      <c r="R190" s="177" cm="1">
        <f t="array" ref="R190">Common_InputFunctions.Utility_DisplayArrayInTable(Fertiliser_SourceData.Fertiliser_Products_Data4(),FertiliserProducts[[#Headers],[Company]], 91)</f>
        <v>0.109</v>
      </c>
      <c r="S190" s="177" t="str" cm="1">
        <f t="array" ref="S190">Common_InputFunctions.Utility_DisplayArrayInTable(Fertiliser_SourceData.Fertiliser_Products_Data4(),FertiliserProducts[[#Headers],[Company]], 91)</f>
        <v>Potassium - Generic</v>
      </c>
      <c r="T190" s="177" cm="1">
        <f t="array" ref="T190">Common_InputFunctions.Utility_DisplayArrayInTable(Fertiliser_SourceData.Fertiliser_Products_Data4(),FertiliserProducts[[#Headers],[Company]], 91)</f>
        <v>0.19</v>
      </c>
      <c r="U190" s="177" t="str" cm="1">
        <f t="array" ref="U190">Common_InputFunctions.Utility_DisplayArrayInTable(Fertiliser_SourceData.Fertiliser_Products_Data4(),FertiliserProducts[[#Headers],[Company]], 91)</f>
        <v>Sulfur - Generic</v>
      </c>
      <c r="V190" s="177" cm="1">
        <f t="array" ref="V190">Common_InputFunctions.Utility_DisplayArrayInTable(Fertiliser_SourceData.Fertiliser_Products_Data4(),FertiliserProducts[[#Headers],[Company]], 91)</f>
        <v>3.2000000000000001E-2</v>
      </c>
      <c r="W190" s="177" t="str" cm="1">
        <f t="array" ref="W190">Common_InputFunctions.Utility_DisplayArrayInTable(Fertiliser_SourceData.Fertiliser_Products_Data4(),FertiliserProducts[[#Headers],[Company]], 91)</f>
        <v>Calcium</v>
      </c>
      <c r="X190" s="177" cm="1">
        <f t="array" ref="X190">Common_InputFunctions.Utility_DisplayArrayInTable(Fertiliser_SourceData.Fertiliser_Products_Data4(),FertiliserProducts[[#Headers],[Company]], 91)</f>
        <v>3.9E-2</v>
      </c>
      <c r="Y190" s="177" t="str" cm="1">
        <f t="array" ref="Y190">Common_InputFunctions.Utility_DisplayArrayInTable(Fertiliser_SourceData.Fertiliser_Products_Data4(),FertiliserProducts[[#Headers],[Company]], 91)</f>
        <v/>
      </c>
      <c r="Z190" s="177" t="str" cm="1">
        <f t="array" ref="Z190">Common_InputFunctions.Utility_DisplayArrayInTable(Fertiliser_SourceData.Fertiliser_Products_Data4(),FertiliserProducts[[#Headers],[Company]], 91)</f>
        <v/>
      </c>
      <c r="AA190" s="177" t="str" cm="1">
        <f t="array" ref="AA190">Common_InputFunctions.Utility_DisplayArrayInTable(Fertiliser_SourceData.Fertiliser_Products_Data4(),FertiliserProducts[[#Headers],[Company]], 91)</f>
        <v/>
      </c>
      <c r="AB190" s="177" t="str" cm="1">
        <f t="array" ref="AB190">Common_InputFunctions.Utility_DisplayArrayInTable(Fertiliser_SourceData.Fertiliser_Products_Data4(),FertiliserProducts[[#Headers],[Company]], 91)</f>
        <v/>
      </c>
      <c r="AC190" s="177" t="str" cm="1">
        <f t="array" ref="AC190">Common_InputFunctions.Utility_DisplayArrayInTable(Fertiliser_SourceData.Fertiliser_Products_Data4(),FertiliserProducts[[#Headers],[Company]], 91)</f>
        <v/>
      </c>
      <c r="AD190" s="177" t="str" cm="1">
        <f t="array" ref="AD190">Common_InputFunctions.Utility_DisplayArrayInTable(Fertiliser_SourceData.Fertiliser_Products_Data4(),FertiliserProducts[[#Headers],[Company]], 91)</f>
        <v/>
      </c>
      <c r="AE190" s="177" t="str" cm="1">
        <f t="array" ref="AE190">Common_InputFunctions.Utility_DisplayArrayInTable(Fertiliser_SourceData.Fertiliser_Products_Data4(),FertiliserProducts[[#Headers],[Company]], 91)</f>
        <v/>
      </c>
      <c r="AF190" s="177" t="str" cm="1">
        <f t="array" ref="AF190">Common_InputFunctions.Utility_DisplayArrayInTable(Fertiliser_SourceData.Fertiliser_Products_Data4(),FertiliserProducts[[#Headers],[Company]], 91)</f>
        <v/>
      </c>
      <c r="AG190" s="177" t="str" cm="1">
        <f t="array" ref="AG190">Common_InputFunctions.Utility_DisplayArrayInTable(Fertiliser_SourceData.Fertiliser_Products_Data4(),FertiliserProducts[[#Headers],[Company]], 91)</f>
        <v/>
      </c>
      <c r="AH190" s="177" t="str" cm="1">
        <f t="array" ref="AH190">Common_InputFunctions.Utility_DisplayArrayInTable(Fertiliser_SourceData.Fertiliser_Products_Data4(),FertiliserProducts[[#Headers],[Company]], 91)</f>
        <v/>
      </c>
    </row>
    <row r="191" spans="4:37" x14ac:dyDescent="0.25" ht="20" customHeight="1">
      <c r="D191" s="177" t="str" cm="1">
        <f t="array" ref="D191">Common_InputFunctions.Utility_DisplayArrayInTable(Fertiliser_SourceData.Fertiliser_Products_Data4(),FertiliserProducts[[#Headers],[Company]], 91)</f>
        <v>Incitec Pivot Fertilisers</v>
      </c>
      <c r="E191" s="177" t="str" cm="1">
        <f t="array" ref="E191">Common_InputFunctions.Utility_DisplayArrayInTable(Fertiliser_SourceData.Fertiliser_Products_Data4(),FertiliserProducts[[#Headers],[Company]], 91)</f>
        <v>Dairy Pro</v>
      </c>
      <c r="F191" s="177" t="str" cm="1">
        <f t="array" ref="F191">Common_InputFunctions.Utility_DisplayArrayInTable(Fertiliser_SourceData.Fertiliser_Products_Data4(),FertiliserProducts[[#Headers],[Company]], 91)</f>
        <v>kg</v>
      </c>
      <c r="G191" s="177" cm="1">
        <f t="array" ref="G191">Common_InputFunctions.Utility_DisplayArrayInTable(Fertiliser_SourceData.Fertiliser_Products_Data4(),FertiliserProducts[[#Headers],[Company]], 91)</f>
        <v>1</v>
      </c>
      <c r="H191" s="177" t="str" cm="1">
        <f t="array" ref="H191">Common_InputFunctions.Utility_DisplayArrayInTable(Fertiliser_SourceData.Fertiliser_Products_Data4(),FertiliserProducts[[#Headers],[Company]], 91)</f>
        <v/>
      </c>
      <c r="I191" s="177" t="str" cm="1">
        <f t="array" ref="I191">Common_InputFunctions.Utility_DisplayArrayInTable(Fertiliser_SourceData.Fertiliser_Products_Data4(),FertiliserProducts[[#Headers],[Company]], 91)</f>
        <v/>
      </c>
      <c r="J191" s="177" t="str" cm="1">
        <f t="array" ref="J191">Common_InputFunctions.Utility_DisplayArrayInTable(Fertiliser_SourceData.Fertiliser_Products_Data4(),FertiliserProducts[[#Headers],[Company]], 91)</f>
        <v/>
      </c>
      <c r="K191" s="177" cm="1">
        <f t="array" ref="K191">Common_InputFunctions.Utility_DisplayArrayInTable(Fertiliser_SourceData.Fertiliser_Products_Data4(),FertiliserProducts[[#Headers],[Company]], 91)</f>
        <v>25.9</v>
      </c>
      <c r="L191" s="177" cm="1">
        <f t="array" ref="L191">Common_InputFunctions.Utility_DisplayArrayInTable(Fertiliser_SourceData.Fertiliser_Products_Data4(),FertiliserProducts[[#Headers],[Company]], 91)</f>
        <v>3.9</v>
      </c>
      <c r="M191" s="177" cm="1">
        <f t="array" ref="M191">Common_InputFunctions.Utility_DisplayArrayInTable(Fertiliser_SourceData.Fertiliser_Products_Data4(),FertiliserProducts[[#Headers],[Company]], 91)</f>
        <v>15.9</v>
      </c>
      <c r="N191" s="177" cm="1">
        <f t="array" ref="N191">Common_InputFunctions.Utility_DisplayArrayInTable(Fertiliser_SourceData.Fertiliser_Products_Data4(),FertiliserProducts[[#Headers],[Company]], 91)</f>
        <v>0.3</v>
      </c>
      <c r="O191" s="177" t="str" cm="1">
        <f t="array" ref="O191">Common_InputFunctions.Utility_DisplayArrayInTable(Fertiliser_SourceData.Fertiliser_Products_Data4(),FertiliserProducts[[#Headers],[Company]], 91)</f>
        <v>Nitrogen - Generic</v>
      </c>
      <c r="P191" s="177" cm="1">
        <f t="array" ref="P191">Common_InputFunctions.Utility_DisplayArrayInTable(Fertiliser_SourceData.Fertiliser_Products_Data4(),FertiliserProducts[[#Headers],[Company]], 91)</f>
        <v>0.25900000000000001</v>
      </c>
      <c r="Q191" s="177" t="str" cm="1">
        <f t="array" ref="Q191">Common_InputFunctions.Utility_DisplayArrayInTable(Fertiliser_SourceData.Fertiliser_Products_Data4(),FertiliserProducts[[#Headers],[Company]], 91)</f>
        <v>Phosphorus - Generic</v>
      </c>
      <c r="R191" s="177" cm="1">
        <f t="array" ref="R191">Common_InputFunctions.Utility_DisplayArrayInTable(Fertiliser_SourceData.Fertiliser_Products_Data4(),FertiliserProducts[[#Headers],[Company]], 91)</f>
        <v>3.9E-2</v>
      </c>
      <c r="S191" s="177" t="str" cm="1">
        <f t="array" ref="S191">Common_InputFunctions.Utility_DisplayArrayInTable(Fertiliser_SourceData.Fertiliser_Products_Data4(),FertiliserProducts[[#Headers],[Company]], 91)</f>
        <v>Potassium - Generic</v>
      </c>
      <c r="T191" s="177" cm="1">
        <f t="array" ref="T191">Common_InputFunctions.Utility_DisplayArrayInTable(Fertiliser_SourceData.Fertiliser_Products_Data4(),FertiliserProducts[[#Headers],[Company]], 91)</f>
        <v>0.159</v>
      </c>
      <c r="U191" s="177" t="str" cm="1">
        <f t="array" ref="U191">Common_InputFunctions.Utility_DisplayArrayInTable(Fertiliser_SourceData.Fertiliser_Products_Data4(),FertiliserProducts[[#Headers],[Company]], 91)</f>
        <v>Sulfur - Generic</v>
      </c>
      <c r="V191" s="177" cm="1">
        <f t="array" ref="V191">Common_InputFunctions.Utility_DisplayArrayInTable(Fertiliser_SourceData.Fertiliser_Products_Data4(),FertiliserProducts[[#Headers],[Company]], 91)</f>
        <v>3.0000000000000001E-3</v>
      </c>
      <c r="W191" s="177" t="str" cm="1">
        <f t="array" ref="W191">Common_InputFunctions.Utility_DisplayArrayInTable(Fertiliser_SourceData.Fertiliser_Products_Data4(),FertiliserProducts[[#Headers],[Company]], 91)</f>
        <v/>
      </c>
      <c r="X191" s="177" t="str" cm="1">
        <f t="array" ref="X191">Common_InputFunctions.Utility_DisplayArrayInTable(Fertiliser_SourceData.Fertiliser_Products_Data4(),FertiliserProducts[[#Headers],[Company]], 91)</f>
        <v/>
      </c>
      <c r="Y191" s="177" t="str" cm="1">
        <f t="array" ref="Y191">Common_InputFunctions.Utility_DisplayArrayInTable(Fertiliser_SourceData.Fertiliser_Products_Data4(),FertiliserProducts[[#Headers],[Company]], 91)</f>
        <v/>
      </c>
      <c r="Z191" s="177" t="str" cm="1">
        <f t="array" ref="Z191">Common_InputFunctions.Utility_DisplayArrayInTable(Fertiliser_SourceData.Fertiliser_Products_Data4(),FertiliserProducts[[#Headers],[Company]], 91)</f>
        <v/>
      </c>
      <c r="AA191" s="177" t="str" cm="1">
        <f t="array" ref="AA191">Common_InputFunctions.Utility_DisplayArrayInTable(Fertiliser_SourceData.Fertiliser_Products_Data4(),FertiliserProducts[[#Headers],[Company]], 91)</f>
        <v/>
      </c>
      <c r="AB191" s="177" t="str" cm="1">
        <f t="array" ref="AB191">Common_InputFunctions.Utility_DisplayArrayInTable(Fertiliser_SourceData.Fertiliser_Products_Data4(),FertiliserProducts[[#Headers],[Company]], 91)</f>
        <v/>
      </c>
      <c r="AC191" s="177" t="str" cm="1">
        <f t="array" ref="AC191">Common_InputFunctions.Utility_DisplayArrayInTable(Fertiliser_SourceData.Fertiliser_Products_Data4(),FertiliserProducts[[#Headers],[Company]], 91)</f>
        <v/>
      </c>
      <c r="AD191" s="177" t="str" cm="1">
        <f t="array" ref="AD191">Common_InputFunctions.Utility_DisplayArrayInTable(Fertiliser_SourceData.Fertiliser_Products_Data4(),FertiliserProducts[[#Headers],[Company]], 91)</f>
        <v/>
      </c>
      <c r="AE191" s="177" t="str" cm="1">
        <f t="array" ref="AE191">Common_InputFunctions.Utility_DisplayArrayInTable(Fertiliser_SourceData.Fertiliser_Products_Data4(),FertiliserProducts[[#Headers],[Company]], 91)</f>
        <v/>
      </c>
      <c r="AF191" s="177" t="str" cm="1">
        <f t="array" ref="AF191">Common_InputFunctions.Utility_DisplayArrayInTable(Fertiliser_SourceData.Fertiliser_Products_Data4(),FertiliserProducts[[#Headers],[Company]], 91)</f>
        <v/>
      </c>
      <c r="AG191" s="177" t="str" cm="1">
        <f t="array" ref="AG191">Common_InputFunctions.Utility_DisplayArrayInTable(Fertiliser_SourceData.Fertiliser_Products_Data4(),FertiliserProducts[[#Headers],[Company]], 91)</f>
        <v/>
      </c>
      <c r="AH191" s="177" t="str" cm="1">
        <f t="array" ref="AH191">Common_InputFunctions.Utility_DisplayArrayInTable(Fertiliser_SourceData.Fertiliser_Products_Data4(),FertiliserProducts[[#Headers],[Company]], 91)</f>
        <v/>
      </c>
    </row>
    <row r="192" spans="4:37" x14ac:dyDescent="0.25" ht="20" customHeight="1">
      <c r="D192" s="177" t="str" cm="1">
        <f t="array" ref="D192">Common_InputFunctions.Utility_DisplayArrayInTable(Fertiliser_SourceData.Fertiliser_Products_Data4(),FertiliserProducts[[#Headers],[Company]], 91)</f>
        <v>Yara Australia</v>
      </c>
      <c r="E192" s="177" t="str" cm="1">
        <f t="array" ref="E192">Common_InputFunctions.Utility_DisplayArrayInTable(Fertiliser_SourceData.Fertiliser_Products_Data4(),FertiliserProducts[[#Headers],[Company]], 91)</f>
        <v>YaraMila ACTYVA S</v>
      </c>
      <c r="F192" s="177" t="str" cm="1">
        <f t="array" ref="F192">Common_InputFunctions.Utility_DisplayArrayInTable(Fertiliser_SourceData.Fertiliser_Products_Data4(),FertiliserProducts[[#Headers],[Company]], 91)</f>
        <v>kg</v>
      </c>
      <c r="G192" s="177" cm="1">
        <f t="array" ref="G192">Common_InputFunctions.Utility_DisplayArrayInTable(Fertiliser_SourceData.Fertiliser_Products_Data4(),FertiliserProducts[[#Headers],[Company]], 91)</f>
        <v>1</v>
      </c>
      <c r="H192" s="177" t="str" cm="1">
        <f t="array" ref="H192">Common_InputFunctions.Utility_DisplayArrayInTable(Fertiliser_SourceData.Fertiliser_Products_Data4(),FertiliserProducts[[#Headers],[Company]], 91)</f>
        <v/>
      </c>
      <c r="I192" s="177" t="str" cm="1">
        <f t="array" ref="I192">Common_InputFunctions.Utility_DisplayArrayInTable(Fertiliser_SourceData.Fertiliser_Products_Data4(),FertiliserProducts[[#Headers],[Company]], 91)</f>
        <v/>
      </c>
      <c r="J192" s="177" t="str" cm="1">
        <f t="array" ref="J192">Common_InputFunctions.Utility_DisplayArrayInTable(Fertiliser_SourceData.Fertiliser_Products_Data4(),FertiliserProducts[[#Headers],[Company]], 91)</f>
        <v/>
      </c>
      <c r="K192" s="177" cm="1">
        <f t="array" ref="K192">Common_InputFunctions.Utility_DisplayArrayInTable(Fertiliser_SourceData.Fertiliser_Products_Data4(),FertiliserProducts[[#Headers],[Company]], 91)</f>
        <v>15.6</v>
      </c>
      <c r="L192" s="177" cm="1">
        <f t="array" ref="L192">Common_InputFunctions.Utility_DisplayArrayInTable(Fertiliser_SourceData.Fertiliser_Products_Data4(),FertiliserProducts[[#Headers],[Company]], 91)</f>
        <v>6.37</v>
      </c>
      <c r="M192" s="177" cm="1">
        <f t="array" ref="M192">Common_InputFunctions.Utility_DisplayArrayInTable(Fertiliser_SourceData.Fertiliser_Products_Data4(),FertiliserProducts[[#Headers],[Company]], 91)</f>
        <v>12.45</v>
      </c>
      <c r="N192" s="177" cm="1">
        <f t="array" ref="N192">Common_InputFunctions.Utility_DisplayArrayInTable(Fertiliser_SourceData.Fertiliser_Products_Data4(),FertiliserProducts[[#Headers],[Company]], 91)</f>
        <v>2.6</v>
      </c>
      <c r="O192" s="177" t="str" cm="1">
        <f t="array" ref="O192">Common_InputFunctions.Utility_DisplayArrayInTable(Fertiliser_SourceData.Fertiliser_Products_Data4(),FertiliserProducts[[#Headers],[Company]], 91)</f>
        <v>Nitrogen - Nitrate</v>
      </c>
      <c r="P192" s="177" cm="1">
        <f t="array" ref="P192">Common_InputFunctions.Utility_DisplayArrayInTable(Fertiliser_SourceData.Fertiliser_Products_Data4(),FertiliserProducts[[#Headers],[Company]], 91)</f>
        <v>5.8000000000000003E-2</v>
      </c>
      <c r="Q192" s="177" t="str" cm="1">
        <f t="array" ref="Q192">Common_InputFunctions.Utility_DisplayArrayInTable(Fertiliser_SourceData.Fertiliser_Products_Data4(),FertiliserProducts[[#Headers],[Company]], 91)</f>
        <v>Nitrogen - Ammoniacal</v>
      </c>
      <c r="R192" s="177" cm="1">
        <f t="array" ref="R192">Common_InputFunctions.Utility_DisplayArrayInTable(Fertiliser_SourceData.Fertiliser_Products_Data4(),FertiliserProducts[[#Headers],[Company]], 91)</f>
        <v>9.8000000000000004E-2</v>
      </c>
      <c r="S192" s="177" t="str" cm="1">
        <f t="array" ref="S192">Common_InputFunctions.Utility_DisplayArrayInTable(Fertiliser_SourceData.Fertiliser_Products_Data4(),FertiliserProducts[[#Headers],[Company]], 91)</f>
        <v>Phosphorus - Generic</v>
      </c>
      <c r="T192" s="177" cm="1">
        <f t="array" ref="T192">Common_InputFunctions.Utility_DisplayArrayInTable(Fertiliser_SourceData.Fertiliser_Products_Data4(),FertiliserProducts[[#Headers],[Company]], 91)</f>
        <v>6.3714000000000007E-2</v>
      </c>
      <c r="U192" s="177" t="str" cm="1">
        <f t="array" ref="U192">Common_InputFunctions.Utility_DisplayArrayInTable(Fertiliser_SourceData.Fertiliser_Products_Data4(),FertiliserProducts[[#Headers],[Company]], 91)</f>
        <v>Potassium - Generic</v>
      </c>
      <c r="V192" s="177" cm="1">
        <f t="array" ref="V192">Common_InputFunctions.Utility_DisplayArrayInTable(Fertiliser_SourceData.Fertiliser_Products_Data4(),FertiliserProducts[[#Headers],[Company]], 91)</f>
        <v>0.124515</v>
      </c>
      <c r="W192" s="177" t="str" cm="1">
        <f t="array" ref="W192">Common_InputFunctions.Utility_DisplayArrayInTable(Fertiliser_SourceData.Fertiliser_Products_Data4(),FertiliserProducts[[#Headers],[Company]], 91)</f>
        <v>Sulfur - Generic</v>
      </c>
      <c r="X192" s="177" cm="1">
        <f t="array" ref="X192">Common_InputFunctions.Utility_DisplayArrayInTable(Fertiliser_SourceData.Fertiliser_Products_Data4(),FertiliserProducts[[#Headers],[Company]], 91)</f>
        <v>2.5999999999999999E-2</v>
      </c>
      <c r="Y192" s="177" t="str" cm="1">
        <f t="array" ref="Y192">Common_InputFunctions.Utility_DisplayArrayInTable(Fertiliser_SourceData.Fertiliser_Products_Data4(),FertiliserProducts[[#Headers],[Company]], 91)</f>
        <v/>
      </c>
      <c r="Z192" s="177" t="str" cm="1">
        <f t="array" ref="Z192">Common_InputFunctions.Utility_DisplayArrayInTable(Fertiliser_SourceData.Fertiliser_Products_Data4(),FertiliserProducts[[#Headers],[Company]], 91)</f>
        <v/>
      </c>
      <c r="AA192" s="177" t="str" cm="1">
        <f t="array" ref="AA192">Common_InputFunctions.Utility_DisplayArrayInTable(Fertiliser_SourceData.Fertiliser_Products_Data4(),FertiliserProducts[[#Headers],[Company]], 91)</f>
        <v/>
      </c>
      <c r="AB192" s="177" t="str" cm="1">
        <f t="array" ref="AB192">Common_InputFunctions.Utility_DisplayArrayInTable(Fertiliser_SourceData.Fertiliser_Products_Data4(),FertiliserProducts[[#Headers],[Company]], 91)</f>
        <v/>
      </c>
      <c r="AC192" s="177" t="str" cm="1">
        <f t="array" ref="AC192">Common_InputFunctions.Utility_DisplayArrayInTable(Fertiliser_SourceData.Fertiliser_Products_Data4(),FertiliserProducts[[#Headers],[Company]], 91)</f>
        <v/>
      </c>
      <c r="AD192" s="177" t="str" cm="1">
        <f t="array" ref="AD192">Common_InputFunctions.Utility_DisplayArrayInTable(Fertiliser_SourceData.Fertiliser_Products_Data4(),FertiliserProducts[[#Headers],[Company]], 91)</f>
        <v/>
      </c>
      <c r="AE192" s="177" t="str" cm="1">
        <f t="array" ref="AE192">Common_InputFunctions.Utility_DisplayArrayInTable(Fertiliser_SourceData.Fertiliser_Products_Data4(),FertiliserProducts[[#Headers],[Company]], 91)</f>
        <v/>
      </c>
      <c r="AF192" s="177" t="str" cm="1">
        <f t="array" ref="AF192">Common_InputFunctions.Utility_DisplayArrayInTable(Fertiliser_SourceData.Fertiliser_Products_Data4(),FertiliserProducts[[#Headers],[Company]], 91)</f>
        <v/>
      </c>
      <c r="AG192" s="177" t="str" cm="1">
        <f t="array" ref="AG192">Common_InputFunctions.Utility_DisplayArrayInTable(Fertiliser_SourceData.Fertiliser_Products_Data4(),FertiliserProducts[[#Headers],[Company]], 91)</f>
        <v/>
      </c>
      <c r="AH192" s="177" t="str" cm="1">
        <f t="array" ref="AH192">Common_InputFunctions.Utility_DisplayArrayInTable(Fertiliser_SourceData.Fertiliser_Products_Data4(),FertiliserProducts[[#Headers],[Company]], 91)</f>
        <v/>
      </c>
    </row>
    <row r="193" spans="4:34" x14ac:dyDescent="0.25" ht="20" customHeight="1">
      <c r="D193" s="177" t="str" cm="1">
        <f t="array" ref="D193">Common_InputFunctions.Utility_DisplayArrayInTable(Fertiliser_SourceData.Fertiliser_Products_Data4(),FertiliserProducts[[#Headers],[Company]], 91)</f>
        <v>CSBP</v>
      </c>
      <c r="E193" s="177" t="str" cm="1">
        <f t="array" ref="E193">Common_InputFunctions.Utility_DisplayArrayInTable(Fertiliser_SourceData.Fertiliser_Products_Data4(),FertiliserProducts[[#Headers],[Company]], 91)</f>
        <v>Agflow Extra</v>
      </c>
      <c r="F193" s="177" t="str" cm="1">
        <f t="array" ref="F193">Common_InputFunctions.Utility_DisplayArrayInTable(Fertiliser_SourceData.Fertiliser_Products_Data4(),FertiliserProducts[[#Headers],[Company]], 91)</f>
        <v>kg</v>
      </c>
      <c r="G193" s="177" cm="1">
        <f t="array" ref="G193">Common_InputFunctions.Utility_DisplayArrayInTable(Fertiliser_SourceData.Fertiliser_Products_Data4(),FertiliserProducts[[#Headers],[Company]], 91)</f>
        <v>1</v>
      </c>
      <c r="H193" s="177" t="str" cm="1">
        <f t="array" ref="H193">Common_InputFunctions.Utility_DisplayArrayInTable(Fertiliser_SourceData.Fertiliser_Products_Data4(),FertiliserProducts[[#Headers],[Company]], 91)</f>
        <v/>
      </c>
      <c r="I193" s="177" t="str" cm="1">
        <f t="array" ref="I193">Common_InputFunctions.Utility_DisplayArrayInTable(Fertiliser_SourceData.Fertiliser_Products_Data4(),FertiliserProducts[[#Headers],[Company]], 91)</f>
        <v/>
      </c>
      <c r="J193" s="177" t="str" cm="1">
        <f t="array" ref="J193">Common_InputFunctions.Utility_DisplayArrayInTable(Fertiliser_SourceData.Fertiliser_Products_Data4(),FertiliserProducts[[#Headers],[Company]], 91)</f>
        <v/>
      </c>
      <c r="K193" s="177" cm="1">
        <f t="array" ref="K193">Common_InputFunctions.Utility_DisplayArrayInTable(Fertiliser_SourceData.Fertiliser_Products_Data4(),FertiliserProducts[[#Headers],[Company]], 91)</f>
        <v>11.15</v>
      </c>
      <c r="L193" s="177" cm="1">
        <f t="array" ref="L193">Common_InputFunctions.Utility_DisplayArrayInTable(Fertiliser_SourceData.Fertiliser_Products_Data4(),FertiliserProducts[[#Headers],[Company]], 91)</f>
        <v>17.52</v>
      </c>
      <c r="M193" s="177" t="str" cm="1">
        <f t="array" ref="M193">Common_InputFunctions.Utility_DisplayArrayInTable(Fertiliser_SourceData.Fertiliser_Products_Data4(),FertiliserProducts[[#Headers],[Company]], 91)</f>
        <v/>
      </c>
      <c r="N193" s="177" cm="1">
        <f t="array" ref="N193">Common_InputFunctions.Utility_DisplayArrayInTable(Fertiliser_SourceData.Fertiliser_Products_Data4(),FertiliserProducts[[#Headers],[Company]], 91)</f>
        <v>3.6</v>
      </c>
      <c r="O193" s="177" t="str" cm="1">
        <f t="array" ref="O193">Common_InputFunctions.Utility_DisplayArrayInTable(Fertiliser_SourceData.Fertiliser_Products_Data4(),FertiliserProducts[[#Headers],[Company]], 91)</f>
        <v>Monoammonium phosphate (MAP)</v>
      </c>
      <c r="P193" s="177" cm="1">
        <f t="array" ref="P193">Common_InputFunctions.Utility_DisplayArrayInTable(Fertiliser_SourceData.Fertiliser_Products_Data4(),FertiliserProducts[[#Headers],[Company]], 91)</f>
        <v>0.8</v>
      </c>
      <c r="Q193" s="177" t="str" cm="1">
        <f t="array" ref="Q193">Common_InputFunctions.Utility_DisplayArrayInTable(Fertiliser_SourceData.Fertiliser_Products_Data4(),FertiliserProducts[[#Headers],[Company]], 91)</f>
        <v>Sulphate of ammonia (SOA)</v>
      </c>
      <c r="R193" s="177" cm="1">
        <f t="array" ref="R193">Common_InputFunctions.Utility_DisplayArrayInTable(Fertiliser_SourceData.Fertiliser_Products_Data4(),FertiliserProducts[[#Headers],[Company]], 91)</f>
        <v>0.15</v>
      </c>
      <c r="S193" s="177" t="str" cm="1">
        <f t="array" ref="S193">Common_InputFunctions.Utility_DisplayArrayInTable(Fertiliser_SourceData.Fertiliser_Products_Data4(),FertiliserProducts[[#Headers],[Company]], 91)</f>
        <v>Copper</v>
      </c>
      <c r="T193" s="177" t="str" cm="1">
        <f t="array" ref="T193">Common_InputFunctions.Utility_DisplayArrayInTable(Fertiliser_SourceData.Fertiliser_Products_Data4(),FertiliserProducts[[#Headers],[Company]], 91)</f>
        <v>No data</v>
      </c>
      <c r="U193" s="177" t="str" cm="1">
        <f t="array" ref="U193">Common_InputFunctions.Utility_DisplayArrayInTable(Fertiliser_SourceData.Fertiliser_Products_Data4(),FertiliserProducts[[#Headers],[Company]], 91)</f>
        <v>Molybdenum</v>
      </c>
      <c r="V193" s="177" t="str" cm="1">
        <f t="array" ref="V193">Common_InputFunctions.Utility_DisplayArrayInTable(Fertiliser_SourceData.Fertiliser_Products_Data4(),FertiliserProducts[[#Headers],[Company]], 91)</f>
        <v>No data</v>
      </c>
      <c r="W193" s="177" t="str" cm="1">
        <f t="array" ref="W193">Common_InputFunctions.Utility_DisplayArrayInTable(Fertiliser_SourceData.Fertiliser_Products_Data4(),FertiliserProducts[[#Headers],[Company]], 91)</f>
        <v>Zinc</v>
      </c>
      <c r="X193" s="177" t="str" cm="1">
        <f t="array" ref="X193">Common_InputFunctions.Utility_DisplayArrayInTable(Fertiliser_SourceData.Fertiliser_Products_Data4(),FertiliserProducts[[#Headers],[Company]], 91)</f>
        <v>No data</v>
      </c>
      <c r="Y193" s="177" t="str" cm="1">
        <f t="array" ref="Y193">Common_InputFunctions.Utility_DisplayArrayInTable(Fertiliser_SourceData.Fertiliser_Products_Data4(),FertiliserProducts[[#Headers],[Company]], 91)</f>
        <v/>
      </c>
      <c r="Z193" s="177" t="str" cm="1">
        <f t="array" ref="Z193">Common_InputFunctions.Utility_DisplayArrayInTable(Fertiliser_SourceData.Fertiliser_Products_Data4(),FertiliserProducts[[#Headers],[Company]], 91)</f>
        <v/>
      </c>
      <c r="AA193" s="177" t="str" cm="1">
        <f t="array" ref="AA193">Common_InputFunctions.Utility_DisplayArrayInTable(Fertiliser_SourceData.Fertiliser_Products_Data4(),FertiliserProducts[[#Headers],[Company]], 91)</f>
        <v/>
      </c>
      <c r="AB193" s="177" t="str" cm="1">
        <f t="array" ref="AB193">Common_InputFunctions.Utility_DisplayArrayInTable(Fertiliser_SourceData.Fertiliser_Products_Data4(),FertiliserProducts[[#Headers],[Company]], 91)</f>
        <v/>
      </c>
      <c r="AC193" s="177" t="str" cm="1">
        <f t="array" ref="AC193">Common_InputFunctions.Utility_DisplayArrayInTable(Fertiliser_SourceData.Fertiliser_Products_Data4(),FertiliserProducts[[#Headers],[Company]], 91)</f>
        <v/>
      </c>
      <c r="AD193" s="177" t="str" cm="1">
        <f t="array" ref="AD193">Common_InputFunctions.Utility_DisplayArrayInTable(Fertiliser_SourceData.Fertiliser_Products_Data4(),FertiliserProducts[[#Headers],[Company]], 91)</f>
        <v/>
      </c>
      <c r="AE193" s="177" t="str" cm="1">
        <f t="array" ref="AE193">Common_InputFunctions.Utility_DisplayArrayInTable(Fertiliser_SourceData.Fertiliser_Products_Data4(),FertiliserProducts[[#Headers],[Company]], 91)</f>
        <v/>
      </c>
      <c r="AF193" s="177" t="str" cm="1">
        <f t="array" ref="AF193">Common_InputFunctions.Utility_DisplayArrayInTable(Fertiliser_SourceData.Fertiliser_Products_Data4(),FertiliserProducts[[#Headers],[Company]], 91)</f>
        <v/>
      </c>
      <c r="AG193" s="177" t="str" cm="1">
        <f t="array" ref="AG193">Common_InputFunctions.Utility_DisplayArrayInTable(Fertiliser_SourceData.Fertiliser_Products_Data4(),FertiliserProducts[[#Headers],[Company]], 91)</f>
        <v/>
      </c>
      <c r="AH193" s="177" t="str" cm="1">
        <f t="array" ref="AH193">Common_InputFunctions.Utility_DisplayArrayInTable(Fertiliser_SourceData.Fertiliser_Products_Data4(),FertiliserProducts[[#Headers],[Company]], 91)</f>
        <v/>
      </c>
    </row>
    <row r="194" spans="4:34" x14ac:dyDescent="0.25" ht="20" customHeight="1">
      <c r="D194" s="177" t="str" cm="1">
        <f t="array" ref="D194">Common_InputFunctions.Utility_DisplayArrayInTable(Fertiliser_SourceData.Fertiliser_Products_Data4(),FertiliserProducts[[#Headers],[Company]], 91)</f>
        <v>CSBP</v>
      </c>
      <c r="E194" s="177" t="str" cm="1">
        <f t="array" ref="E194">Common_InputFunctions.Utility_DisplayArrayInTable(Fertiliser_SourceData.Fertiliser_Products_Data4(),FertiliserProducts[[#Headers],[Company]], 91)</f>
        <v>Super &amp; Potash 3:1</v>
      </c>
      <c r="F194" s="177" t="str" cm="1">
        <f t="array" ref="F194">Common_InputFunctions.Utility_DisplayArrayInTable(Fertiliser_SourceData.Fertiliser_Products_Data4(),FertiliserProducts[[#Headers],[Company]], 91)</f>
        <v>kg</v>
      </c>
      <c r="G194" s="177" cm="1">
        <f t="array" ref="G194">Common_InputFunctions.Utility_DisplayArrayInTable(Fertiliser_SourceData.Fertiliser_Products_Data4(),FertiliserProducts[[#Headers],[Company]], 91)</f>
        <v>1</v>
      </c>
      <c r="H194" s="177" t="str" cm="1">
        <f t="array" ref="H194">Common_InputFunctions.Utility_DisplayArrayInTable(Fertiliser_SourceData.Fertiliser_Products_Data4(),FertiliserProducts[[#Headers],[Company]], 91)</f>
        <v/>
      </c>
      <c r="I194" s="177" t="str" cm="1">
        <f t="array" ref="I194">Common_InputFunctions.Utility_DisplayArrayInTable(Fertiliser_SourceData.Fertiliser_Products_Data4(),FertiliserProducts[[#Headers],[Company]], 91)</f>
        <v/>
      </c>
      <c r="J194" s="177" t="str" cm="1">
        <f t="array" ref="J194">Common_InputFunctions.Utility_DisplayArrayInTable(Fertiliser_SourceData.Fertiliser_Products_Data4(),FertiliserProducts[[#Headers],[Company]], 91)</f>
        <v/>
      </c>
      <c r="K194" s="177" t="str" cm="1">
        <f t="array" ref="K194">Common_InputFunctions.Utility_DisplayArrayInTable(Fertiliser_SourceData.Fertiliser_Products_Data4(),FertiliserProducts[[#Headers],[Company]], 91)</f>
        <v/>
      </c>
      <c r="L194" s="177" cm="1">
        <f t="array" ref="L194">Common_InputFunctions.Utility_DisplayArrayInTable(Fertiliser_SourceData.Fertiliser_Products_Data4(),FertiliserProducts[[#Headers],[Company]], 91)</f>
        <v>5.5</v>
      </c>
      <c r="M194" s="177" cm="1">
        <f t="array" ref="M194">Common_InputFunctions.Utility_DisplayArrayInTable(Fertiliser_SourceData.Fertiliser_Products_Data4(),FertiliserProducts[[#Headers],[Company]], 91)</f>
        <v>15</v>
      </c>
      <c r="N194" s="177" cm="1">
        <f t="array" ref="N194">Common_InputFunctions.Utility_DisplayArrayInTable(Fertiliser_SourceData.Fertiliser_Products_Data4(),FertiliserProducts[[#Headers],[Company]], 91)</f>
        <v>6.88</v>
      </c>
      <c r="O194" s="177" t="str" cm="1">
        <f t="array" ref="O194">Common_InputFunctions.Utility_DisplayArrayInTable(Fertiliser_SourceData.Fertiliser_Products_Data4(),FertiliserProducts[[#Headers],[Company]], 91)</f>
        <v>Single superphosphate (SSP)</v>
      </c>
      <c r="P194" s="177" cm="1">
        <f t="array" ref="P194">Common_InputFunctions.Utility_DisplayArrayInTable(Fertiliser_SourceData.Fertiliser_Products_Data4(),FertiliserProducts[[#Headers],[Company]], 91)</f>
        <v>0.625</v>
      </c>
      <c r="Q194" s="177" t="str" cm="1">
        <f t="array" ref="Q194">Common_InputFunctions.Utility_DisplayArrayInTable(Fertiliser_SourceData.Fertiliser_Products_Data4(),FertiliserProducts[[#Headers],[Company]], 91)</f>
        <v>Muriate of potash (MOP)</v>
      </c>
      <c r="R194" s="177" cm="1">
        <f t="array" ref="R194">Common_InputFunctions.Utility_DisplayArrayInTable(Fertiliser_SourceData.Fertiliser_Products_Data4(),FertiliserProducts[[#Headers],[Company]], 91)</f>
        <v>0.3</v>
      </c>
      <c r="S194" s="177" t="str" cm="1">
        <f t="array" ref="S194">Common_InputFunctions.Utility_DisplayArrayInTable(Fertiliser_SourceData.Fertiliser_Products_Data4(),FertiliserProducts[[#Headers],[Company]], 91)</f>
        <v/>
      </c>
      <c r="T194" s="177" t="str" cm="1">
        <f t="array" ref="T194">Common_InputFunctions.Utility_DisplayArrayInTable(Fertiliser_SourceData.Fertiliser_Products_Data4(),FertiliserProducts[[#Headers],[Company]], 91)</f>
        <v/>
      </c>
      <c r="U194" s="177" t="str" cm="1">
        <f t="array" ref="U194">Common_InputFunctions.Utility_DisplayArrayInTable(Fertiliser_SourceData.Fertiliser_Products_Data4(),FertiliserProducts[[#Headers],[Company]], 91)</f>
        <v/>
      </c>
      <c r="V194" s="177" t="str" cm="1">
        <f t="array" ref="V194">Common_InputFunctions.Utility_DisplayArrayInTable(Fertiliser_SourceData.Fertiliser_Products_Data4(),FertiliserProducts[[#Headers],[Company]], 91)</f>
        <v/>
      </c>
      <c r="W194" s="177" t="str" cm="1">
        <f t="array" ref="W194">Common_InputFunctions.Utility_DisplayArrayInTable(Fertiliser_SourceData.Fertiliser_Products_Data4(),FertiliserProducts[[#Headers],[Company]], 91)</f>
        <v/>
      </c>
      <c r="X194" s="177" t="str" cm="1">
        <f t="array" ref="X194">Common_InputFunctions.Utility_DisplayArrayInTable(Fertiliser_SourceData.Fertiliser_Products_Data4(),FertiliserProducts[[#Headers],[Company]], 91)</f>
        <v/>
      </c>
      <c r="Y194" s="177" t="str" cm="1">
        <f t="array" ref="Y194">Common_InputFunctions.Utility_DisplayArrayInTable(Fertiliser_SourceData.Fertiliser_Products_Data4(),FertiliserProducts[[#Headers],[Company]], 91)</f>
        <v/>
      </c>
      <c r="Z194" s="177" t="str" cm="1">
        <f t="array" ref="Z194">Common_InputFunctions.Utility_DisplayArrayInTable(Fertiliser_SourceData.Fertiliser_Products_Data4(),FertiliserProducts[[#Headers],[Company]], 91)</f>
        <v/>
      </c>
      <c r="AA194" s="177" t="str" cm="1">
        <f t="array" ref="AA194">Common_InputFunctions.Utility_DisplayArrayInTable(Fertiliser_SourceData.Fertiliser_Products_Data4(),FertiliserProducts[[#Headers],[Company]], 91)</f>
        <v/>
      </c>
      <c r="AB194" s="177" t="str" cm="1">
        <f t="array" ref="AB194">Common_InputFunctions.Utility_DisplayArrayInTable(Fertiliser_SourceData.Fertiliser_Products_Data4(),FertiliserProducts[[#Headers],[Company]], 91)</f>
        <v/>
      </c>
      <c r="AC194" s="177" t="str" cm="1">
        <f t="array" ref="AC194">Common_InputFunctions.Utility_DisplayArrayInTable(Fertiliser_SourceData.Fertiliser_Products_Data4(),FertiliserProducts[[#Headers],[Company]], 91)</f>
        <v/>
      </c>
      <c r="AD194" s="177" t="str" cm="1">
        <f t="array" ref="AD194">Common_InputFunctions.Utility_DisplayArrayInTable(Fertiliser_SourceData.Fertiliser_Products_Data4(),FertiliserProducts[[#Headers],[Company]], 91)</f>
        <v/>
      </c>
      <c r="AE194" s="177" t="str" cm="1">
        <f t="array" ref="AE194">Common_InputFunctions.Utility_DisplayArrayInTable(Fertiliser_SourceData.Fertiliser_Products_Data4(),FertiliserProducts[[#Headers],[Company]], 91)</f>
        <v/>
      </c>
      <c r="AF194" s="177" t="str" cm="1">
        <f t="array" ref="AF194">Common_InputFunctions.Utility_DisplayArrayInTable(Fertiliser_SourceData.Fertiliser_Products_Data4(),FertiliserProducts[[#Headers],[Company]], 91)</f>
        <v/>
      </c>
      <c r="AG194" s="177" t="str" cm="1">
        <f t="array" ref="AG194">Common_InputFunctions.Utility_DisplayArrayInTable(Fertiliser_SourceData.Fertiliser_Products_Data4(),FertiliserProducts[[#Headers],[Company]], 91)</f>
        <v/>
      </c>
      <c r="AH194" s="177" t="str" cm="1">
        <f t="array" ref="AH194">Common_InputFunctions.Utility_DisplayArrayInTable(Fertiliser_SourceData.Fertiliser_Products_Data4(),FertiliserProducts[[#Headers],[Company]], 91)</f>
        <v/>
      </c>
    </row>
    <row r="195" spans="4:34" x14ac:dyDescent="0.25" ht="20" customHeight="1">
      <c r="D195" s="177" t="str" cm="1">
        <f t="array" ref="D195">Common_InputFunctions.Utility_DisplayArrayInTable(Fertiliser_SourceData.Fertiliser_Products_Data4(),FertiliserProducts[[#Headers],[Company]], 91)</f>
        <v>Yara</v>
      </c>
      <c r="E195" s="177" t="str" cm="1">
        <f t="array" ref="E195">Common_InputFunctions.Utility_DisplayArrayInTable(Fertiliser_SourceData.Fertiliser_Products_Data4(),FertiliserProducts[[#Headers],[Company]], 91)</f>
        <v>YaraBela CAN-27</v>
      </c>
      <c r="F195" s="177" t="str" cm="1">
        <f t="array" ref="F195">Common_InputFunctions.Utility_DisplayArrayInTable(Fertiliser_SourceData.Fertiliser_Products_Data4(),FertiliserProducts[[#Headers],[Company]], 91)</f>
        <v>kg</v>
      </c>
      <c r="G195" s="177" cm="1">
        <f t="array" ref="G195">Common_InputFunctions.Utility_DisplayArrayInTable(Fertiliser_SourceData.Fertiliser_Products_Data4(),FertiliserProducts[[#Headers],[Company]], 91)</f>
        <v>1</v>
      </c>
      <c r="H195" s="177" t="str" cm="1">
        <f t="array" ref="H195">Common_InputFunctions.Utility_DisplayArrayInTable(Fertiliser_SourceData.Fertiliser_Products_Data4(),FertiliserProducts[[#Headers],[Company]], 91)</f>
        <v/>
      </c>
      <c r="I195" s="177" t="str" cm="1">
        <f t="array" ref="I195">Common_InputFunctions.Utility_DisplayArrayInTable(Fertiliser_SourceData.Fertiliser_Products_Data4(),FertiliserProducts[[#Headers],[Company]], 91)</f>
        <v/>
      </c>
      <c r="J195" s="177" t="str" cm="1">
        <f t="array" ref="J195">Common_InputFunctions.Utility_DisplayArrayInTable(Fertiliser_SourceData.Fertiliser_Products_Data4(),FertiliserProducts[[#Headers],[Company]], 91)</f>
        <v/>
      </c>
      <c r="K195" s="177" cm="1">
        <f t="array" ref="K195">Common_InputFunctions.Utility_DisplayArrayInTable(Fertiliser_SourceData.Fertiliser_Products_Data4(),FertiliserProducts[[#Headers],[Company]], 91)</f>
        <v>27</v>
      </c>
      <c r="L195" s="177" t="str" cm="1">
        <f t="array" ref="L195">Common_InputFunctions.Utility_DisplayArrayInTable(Fertiliser_SourceData.Fertiliser_Products_Data4(),FertiliserProducts[[#Headers],[Company]], 91)</f>
        <v/>
      </c>
      <c r="M195" s="177" t="str" cm="1">
        <f t="array" ref="M195">Common_InputFunctions.Utility_DisplayArrayInTable(Fertiliser_SourceData.Fertiliser_Products_Data4(),FertiliserProducts[[#Headers],[Company]], 91)</f>
        <v/>
      </c>
      <c r="N195" s="177" t="str" cm="1">
        <f t="array" ref="N195">Common_InputFunctions.Utility_DisplayArrayInTable(Fertiliser_SourceData.Fertiliser_Products_Data4(),FertiliserProducts[[#Headers],[Company]], 91)</f>
        <v/>
      </c>
      <c r="O195" s="177" t="str" cm="1">
        <f t="array" ref="O195">Common_InputFunctions.Utility_DisplayArrayInTable(Fertiliser_SourceData.Fertiliser_Products_Data4(),FertiliserProducts[[#Headers],[Company]], 91)</f>
        <v>Calcium ammonium nitrate (CAN)</v>
      </c>
      <c r="P195" s="177" cm="1">
        <f t="array" ref="P195">Common_InputFunctions.Utility_DisplayArrayInTable(Fertiliser_SourceData.Fertiliser_Products_Data4(),FertiliserProducts[[#Headers],[Company]], 91)</f>
        <v>1</v>
      </c>
      <c r="Q195" s="177" t="str" cm="1">
        <f t="array" ref="Q195">Common_InputFunctions.Utility_DisplayArrayInTable(Fertiliser_SourceData.Fertiliser_Products_Data4(),FertiliserProducts[[#Headers],[Company]], 91)</f>
        <v/>
      </c>
      <c r="R195" s="177" t="str" cm="1">
        <f t="array" ref="R195">Common_InputFunctions.Utility_DisplayArrayInTable(Fertiliser_SourceData.Fertiliser_Products_Data4(),FertiliserProducts[[#Headers],[Company]], 91)</f>
        <v/>
      </c>
      <c r="S195" s="177" t="str" cm="1">
        <f t="array" ref="S195">Common_InputFunctions.Utility_DisplayArrayInTable(Fertiliser_SourceData.Fertiliser_Products_Data4(),FertiliserProducts[[#Headers],[Company]], 91)</f>
        <v/>
      </c>
      <c r="T195" s="177" t="str" cm="1">
        <f t="array" ref="T195">Common_InputFunctions.Utility_DisplayArrayInTable(Fertiliser_SourceData.Fertiliser_Products_Data4(),FertiliserProducts[[#Headers],[Company]], 91)</f>
        <v/>
      </c>
      <c r="U195" s="177" t="str" cm="1">
        <f t="array" ref="U195">Common_InputFunctions.Utility_DisplayArrayInTable(Fertiliser_SourceData.Fertiliser_Products_Data4(),FertiliserProducts[[#Headers],[Company]], 91)</f>
        <v/>
      </c>
      <c r="V195" s="177" t="str" cm="1">
        <f t="array" ref="V195">Common_InputFunctions.Utility_DisplayArrayInTable(Fertiliser_SourceData.Fertiliser_Products_Data4(),FertiliserProducts[[#Headers],[Company]], 91)</f>
        <v/>
      </c>
      <c r="W195" s="177" t="str" cm="1">
        <f t="array" ref="W195">Common_InputFunctions.Utility_DisplayArrayInTable(Fertiliser_SourceData.Fertiliser_Products_Data4(),FertiliserProducts[[#Headers],[Company]], 91)</f>
        <v/>
      </c>
      <c r="X195" s="177" t="str" cm="1">
        <f t="array" ref="X195">Common_InputFunctions.Utility_DisplayArrayInTable(Fertiliser_SourceData.Fertiliser_Products_Data4(),FertiliserProducts[[#Headers],[Company]], 91)</f>
        <v/>
      </c>
      <c r="Y195" s="177" t="str" cm="1">
        <f t="array" ref="Y195">Common_InputFunctions.Utility_DisplayArrayInTable(Fertiliser_SourceData.Fertiliser_Products_Data4(),FertiliserProducts[[#Headers],[Company]], 91)</f>
        <v/>
      </c>
      <c r="Z195" s="177" t="str" cm="1">
        <f t="array" ref="Z195">Common_InputFunctions.Utility_DisplayArrayInTable(Fertiliser_SourceData.Fertiliser_Products_Data4(),FertiliserProducts[[#Headers],[Company]], 91)</f>
        <v/>
      </c>
      <c r="AA195" s="177" t="str" cm="1">
        <f t="array" ref="AA195">Common_InputFunctions.Utility_DisplayArrayInTable(Fertiliser_SourceData.Fertiliser_Products_Data4(),FertiliserProducts[[#Headers],[Company]], 91)</f>
        <v/>
      </c>
      <c r="AB195" s="177" t="str" cm="1">
        <f t="array" ref="AB195">Common_InputFunctions.Utility_DisplayArrayInTable(Fertiliser_SourceData.Fertiliser_Products_Data4(),FertiliserProducts[[#Headers],[Company]], 91)</f>
        <v/>
      </c>
      <c r="AC195" s="177" t="str" cm="1">
        <f t="array" ref="AC195">Common_InputFunctions.Utility_DisplayArrayInTable(Fertiliser_SourceData.Fertiliser_Products_Data4(),FertiliserProducts[[#Headers],[Company]], 91)</f>
        <v/>
      </c>
      <c r="AD195" s="177" t="str" cm="1">
        <f t="array" ref="AD195">Common_InputFunctions.Utility_DisplayArrayInTable(Fertiliser_SourceData.Fertiliser_Products_Data4(),FertiliserProducts[[#Headers],[Company]], 91)</f>
        <v/>
      </c>
      <c r="AE195" s="177" t="str" cm="1">
        <f t="array" ref="AE195">Common_InputFunctions.Utility_DisplayArrayInTable(Fertiliser_SourceData.Fertiliser_Products_Data4(),FertiliserProducts[[#Headers],[Company]], 91)</f>
        <v/>
      </c>
      <c r="AF195" s="177" t="str" cm="1">
        <f t="array" ref="AF195">Common_InputFunctions.Utility_DisplayArrayInTable(Fertiliser_SourceData.Fertiliser_Products_Data4(),FertiliserProducts[[#Headers],[Company]], 91)</f>
        <v/>
      </c>
      <c r="AG195" s="177" t="str" cm="1">
        <f t="array" ref="AG195">Common_InputFunctions.Utility_DisplayArrayInTable(Fertiliser_SourceData.Fertiliser_Products_Data4(),FertiliserProducts[[#Headers],[Company]], 91)</f>
        <v/>
      </c>
      <c r="AH195" s="177" t="str" cm="1">
        <f t="array" ref="AH195">Common_InputFunctions.Utility_DisplayArrayInTable(Fertiliser_SourceData.Fertiliser_Products_Data4(),FertiliserProducts[[#Headers],[Company]], 91)</f>
        <v/>
      </c>
    </row>
    <row r="196" spans="4:34" x14ac:dyDescent="0.25" ht="20" customHeight="1">
      <c r="D196" s="177" t="str" cm="1">
        <f t="array" ref="D196">Common_InputFunctions.Utility_DisplayArrayInTable(Fertiliser_SourceData.Fertiliser_Products_Data4(),FertiliserProducts[[#Headers],[Company]], 91)</f>
        <v>Incitec Pivot Fertilisers</v>
      </c>
      <c r="E196" s="177" t="str" cm="1">
        <f t="array" ref="E196">Common_InputFunctions.Utility_DisplayArrayInTable(Fertiliser_SourceData.Fertiliser_Products_Data4(),FertiliserProducts[[#Headers],[Company]], 91)</f>
        <v>Cal-Gran Aftergraze</v>
      </c>
      <c r="F196" s="177" t="str" cm="1">
        <f t="array" ref="F196">Common_InputFunctions.Utility_DisplayArrayInTable(Fertiliser_SourceData.Fertiliser_Products_Data4(),FertiliserProducts[[#Headers],[Company]], 91)</f>
        <v>kg</v>
      </c>
      <c r="G196" s="177" cm="1">
        <f t="array" ref="G196">Common_InputFunctions.Utility_DisplayArrayInTable(Fertiliser_SourceData.Fertiliser_Products_Data4(),FertiliserProducts[[#Headers],[Company]], 91)</f>
        <v>1</v>
      </c>
      <c r="H196" s="177" t="str" cm="1">
        <f t="array" ref="H196">Common_InputFunctions.Utility_DisplayArrayInTable(Fertiliser_SourceData.Fertiliser_Products_Data4(),FertiliserProducts[[#Headers],[Company]], 91)</f>
        <v/>
      </c>
      <c r="I196" s="177" t="str" cm="1">
        <f t="array" ref="I196">Common_InputFunctions.Utility_DisplayArrayInTable(Fertiliser_SourceData.Fertiliser_Products_Data4(),FertiliserProducts[[#Headers],[Company]], 91)</f>
        <v/>
      </c>
      <c r="J196" s="177" t="str" cm="1">
        <f t="array" ref="J196">Common_InputFunctions.Utility_DisplayArrayInTable(Fertiliser_SourceData.Fertiliser_Products_Data4(),FertiliserProducts[[#Headers],[Company]], 91)</f>
        <v/>
      </c>
      <c r="K196" s="177" cm="1">
        <f t="array" ref="K196">Common_InputFunctions.Utility_DisplayArrayInTable(Fertiliser_SourceData.Fertiliser_Products_Data4(),FertiliserProducts[[#Headers],[Company]], 91)</f>
        <v>20.6</v>
      </c>
      <c r="L196" s="177" cm="1">
        <f t="array" ref="L196">Common_InputFunctions.Utility_DisplayArrayInTable(Fertiliser_SourceData.Fertiliser_Products_Data4(),FertiliserProducts[[#Headers],[Company]], 91)</f>
        <v>3</v>
      </c>
      <c r="M196" s="177" cm="1">
        <f t="array" ref="M196">Common_InputFunctions.Utility_DisplayArrayInTable(Fertiliser_SourceData.Fertiliser_Products_Data4(),FertiliserProducts[[#Headers],[Company]], 91)</f>
        <v>7.5</v>
      </c>
      <c r="N196" s="177" cm="1">
        <f t="array" ref="N196">Common_InputFunctions.Utility_DisplayArrayInTable(Fertiliser_SourceData.Fertiliser_Products_Data4(),FertiliserProducts[[#Headers],[Company]], 91)</f>
        <v>3.8</v>
      </c>
      <c r="O196" s="177" t="str" cm="1">
        <f t="array" ref="O196">Common_InputFunctions.Utility_DisplayArrayInTable(Fertiliser_SourceData.Fertiliser_Products_Data4(),FertiliserProducts[[#Headers],[Company]], 91)</f>
        <v>Nitrogen - Nitrate</v>
      </c>
      <c r="P196" s="177" cm="1">
        <f t="array" ref="P196">Common_InputFunctions.Utility_DisplayArrayInTable(Fertiliser_SourceData.Fertiliser_Products_Data4(),FertiliserProducts[[#Headers],[Company]], 91)</f>
        <v>6.4000000000000001E-2</v>
      </c>
      <c r="Q196" s="177" t="str" cm="1">
        <f t="array" ref="Q196">Common_InputFunctions.Utility_DisplayArrayInTable(Fertiliser_SourceData.Fertiliser_Products_Data4(),FertiliserProducts[[#Headers],[Company]], 91)</f>
        <v>Nitrogen - Ammoniacal</v>
      </c>
      <c r="R196" s="177" cm="1">
        <f t="array" ref="R196">Common_InputFunctions.Utility_DisplayArrayInTable(Fertiliser_SourceData.Fertiliser_Products_Data4(),FertiliserProducts[[#Headers],[Company]], 91)</f>
        <v>0.14199999999999999</v>
      </c>
      <c r="S196" s="177" t="str" cm="1">
        <f t="array" ref="S196">Common_InputFunctions.Utility_DisplayArrayInTable(Fertiliser_SourceData.Fertiliser_Products_Data4(),FertiliserProducts[[#Headers],[Company]], 91)</f>
        <v>Phosphorus - Generic</v>
      </c>
      <c r="T196" s="177" cm="1">
        <f t="array" ref="T196">Common_InputFunctions.Utility_DisplayArrayInTable(Fertiliser_SourceData.Fertiliser_Products_Data4(),FertiliserProducts[[#Headers],[Company]], 91)</f>
        <v>0.03</v>
      </c>
      <c r="U196" s="177" t="str" cm="1">
        <f t="array" ref="U196">Common_InputFunctions.Utility_DisplayArrayInTable(Fertiliser_SourceData.Fertiliser_Products_Data4(),FertiliserProducts[[#Headers],[Company]], 91)</f>
        <v>Potassium - Generic</v>
      </c>
      <c r="V196" s="177" cm="1">
        <f t="array" ref="V196">Common_InputFunctions.Utility_DisplayArrayInTable(Fertiliser_SourceData.Fertiliser_Products_Data4(),FertiliserProducts[[#Headers],[Company]], 91)</f>
        <v>7.4999999999999997E-2</v>
      </c>
      <c r="W196" s="177" t="str" cm="1">
        <f t="array" ref="W196">Common_InputFunctions.Utility_DisplayArrayInTable(Fertiliser_SourceData.Fertiliser_Products_Data4(),FertiliserProducts[[#Headers],[Company]], 91)</f>
        <v>Sulfur - Generic</v>
      </c>
      <c r="X196" s="177" cm="1">
        <f t="array" ref="X196">Common_InputFunctions.Utility_DisplayArrayInTable(Fertiliser_SourceData.Fertiliser_Products_Data4(),FertiliserProducts[[#Headers],[Company]], 91)</f>
        <v>3.7999999999999999E-2</v>
      </c>
      <c r="Y196" s="177" t="str" cm="1">
        <f t="array" ref="Y196">Common_InputFunctions.Utility_DisplayArrayInTable(Fertiliser_SourceData.Fertiliser_Products_Data4(),FertiliserProducts[[#Headers],[Company]], 91)</f>
        <v>Calcium</v>
      </c>
      <c r="Z196" s="177" cm="1">
        <f t="array" ref="Z196">Common_InputFunctions.Utility_DisplayArrayInTable(Fertiliser_SourceData.Fertiliser_Products_Data4(),FertiliserProducts[[#Headers],[Company]], 91)</f>
        <v>4.3999999999999997E-2</v>
      </c>
      <c r="AA196" s="177" t="str" cm="1">
        <f t="array" ref="AA196">Common_InputFunctions.Utility_DisplayArrayInTable(Fertiliser_SourceData.Fertiliser_Products_Data4(),FertiliserProducts[[#Headers],[Company]], 91)</f>
        <v/>
      </c>
      <c r="AB196" s="177" t="str" cm="1">
        <f t="array" ref="AB196">Common_InputFunctions.Utility_DisplayArrayInTable(Fertiliser_SourceData.Fertiliser_Products_Data4(),FertiliserProducts[[#Headers],[Company]], 91)</f>
        <v/>
      </c>
      <c r="AC196" s="177" t="str" cm="1">
        <f t="array" ref="AC196">Common_InputFunctions.Utility_DisplayArrayInTable(Fertiliser_SourceData.Fertiliser_Products_Data4(),FertiliserProducts[[#Headers],[Company]], 91)</f>
        <v/>
      </c>
      <c r="AD196" s="177" t="str" cm="1">
        <f t="array" ref="AD196">Common_InputFunctions.Utility_DisplayArrayInTable(Fertiliser_SourceData.Fertiliser_Products_Data4(),FertiliserProducts[[#Headers],[Company]], 91)</f>
        <v/>
      </c>
      <c r="AE196" s="177" t="str" cm="1">
        <f t="array" ref="AE196">Common_InputFunctions.Utility_DisplayArrayInTable(Fertiliser_SourceData.Fertiliser_Products_Data4(),FertiliserProducts[[#Headers],[Company]], 91)</f>
        <v/>
      </c>
      <c r="AF196" s="177" t="str" cm="1">
        <f t="array" ref="AF196">Common_InputFunctions.Utility_DisplayArrayInTable(Fertiliser_SourceData.Fertiliser_Products_Data4(),FertiliserProducts[[#Headers],[Company]], 91)</f>
        <v/>
      </c>
      <c r="AG196" s="177" t="str" cm="1">
        <f t="array" ref="AG196">Common_InputFunctions.Utility_DisplayArrayInTable(Fertiliser_SourceData.Fertiliser_Products_Data4(),FertiliserProducts[[#Headers],[Company]], 91)</f>
        <v/>
      </c>
      <c r="AH196" s="177" t="str" cm="1">
        <f t="array" ref="AH196">Common_InputFunctions.Utility_DisplayArrayInTable(Fertiliser_SourceData.Fertiliser_Products_Data4(),FertiliserProducts[[#Headers],[Company]], 91)</f>
        <v/>
      </c>
    </row>
    <row r="197" spans="4:34" x14ac:dyDescent="0.25" ht="20" customHeight="1">
      <c r="D197" s="177" t="str" cm="1">
        <f t="array" ref="D197">Common_InputFunctions.Utility_DisplayArrayInTable(Fertiliser_SourceData.Fertiliser_Products_Data4(),FertiliserProducts[[#Headers],[Company]], 91)</f>
        <v>Incitec Pivot Fertilisers</v>
      </c>
      <c r="E197" s="177" t="str" cm="1">
        <f t="array" ref="E197">Common_InputFunctions.Utility_DisplayArrayInTable(Fertiliser_SourceData.Fertiliser_Products_Data4(),FertiliserProducts[[#Headers],[Company]], 91)</f>
        <v>Cal-Gran Prodress</v>
      </c>
      <c r="F197" s="177" t="str" cm="1">
        <f t="array" ref="F197">Common_InputFunctions.Utility_DisplayArrayInTable(Fertiliser_SourceData.Fertiliser_Products_Data4(),FertiliserProducts[[#Headers],[Company]], 91)</f>
        <v>kg</v>
      </c>
      <c r="G197" s="177" cm="1">
        <f t="array" ref="G197">Common_InputFunctions.Utility_DisplayArrayInTable(Fertiliser_SourceData.Fertiliser_Products_Data4(),FertiliserProducts[[#Headers],[Company]], 91)</f>
        <v>1</v>
      </c>
      <c r="H197" s="177" t="str" cm="1">
        <f t="array" ref="H197">Common_InputFunctions.Utility_DisplayArrayInTable(Fertiliser_SourceData.Fertiliser_Products_Data4(),FertiliserProducts[[#Headers],[Company]], 91)</f>
        <v/>
      </c>
      <c r="I197" s="177" t="str" cm="1">
        <f t="array" ref="I197">Common_InputFunctions.Utility_DisplayArrayInTable(Fertiliser_SourceData.Fertiliser_Products_Data4(),FertiliserProducts[[#Headers],[Company]], 91)</f>
        <v/>
      </c>
      <c r="J197" s="177" t="str" cm="1">
        <f t="array" ref="J197">Common_InputFunctions.Utility_DisplayArrayInTable(Fertiliser_SourceData.Fertiliser_Products_Data4(),FertiliserProducts[[#Headers],[Company]], 91)</f>
        <v/>
      </c>
      <c r="K197" s="177" cm="1">
        <f t="array" ref="K197">Common_InputFunctions.Utility_DisplayArrayInTable(Fertiliser_SourceData.Fertiliser_Products_Data4(),FertiliserProducts[[#Headers],[Company]], 91)</f>
        <v>17.8</v>
      </c>
      <c r="L197" s="177" cm="1">
        <f t="array" ref="L197">Common_InputFunctions.Utility_DisplayArrayInTable(Fertiliser_SourceData.Fertiliser_Products_Data4(),FertiliserProducts[[#Headers],[Company]], 91)</f>
        <v>1</v>
      </c>
      <c r="M197" s="177" cm="1">
        <f t="array" ref="M197">Common_InputFunctions.Utility_DisplayArrayInTable(Fertiliser_SourceData.Fertiliser_Products_Data4(),FertiliserProducts[[#Headers],[Company]], 91)</f>
        <v>15</v>
      </c>
      <c r="N197" s="177" cm="1">
        <f t="array" ref="N197">Common_InputFunctions.Utility_DisplayArrayInTable(Fertiliser_SourceData.Fertiliser_Products_Data4(),FertiliserProducts[[#Headers],[Company]], 91)</f>
        <v>2.5</v>
      </c>
      <c r="O197" s="177" t="str" cm="1">
        <f t="array" ref="O197">Common_InputFunctions.Utility_DisplayArrayInTable(Fertiliser_SourceData.Fertiliser_Products_Data4(),FertiliserProducts[[#Headers],[Company]], 91)</f>
        <v>Nitrogen - Nitrate</v>
      </c>
      <c r="P197" s="177" cm="1">
        <f t="array" ref="P197">Common_InputFunctions.Utility_DisplayArrayInTable(Fertiliser_SourceData.Fertiliser_Products_Data4(),FertiliserProducts[[#Headers],[Company]], 91)</f>
        <v>5.5E-2</v>
      </c>
      <c r="Q197" s="177" t="str" cm="1">
        <f t="array" ref="Q197">Common_InputFunctions.Utility_DisplayArrayInTable(Fertiliser_SourceData.Fertiliser_Products_Data4(),FertiliserProducts[[#Headers],[Company]], 91)</f>
        <v>Nitrogen - Ammoniacal</v>
      </c>
      <c r="R197" s="177" cm="1">
        <f t="array" ref="R197">Common_InputFunctions.Utility_DisplayArrayInTable(Fertiliser_SourceData.Fertiliser_Products_Data4(),FertiliserProducts[[#Headers],[Company]], 91)</f>
        <v>0.123</v>
      </c>
      <c r="S197" s="177" t="str" cm="1">
        <f t="array" ref="S197">Common_InputFunctions.Utility_DisplayArrayInTable(Fertiliser_SourceData.Fertiliser_Products_Data4(),FertiliserProducts[[#Headers],[Company]], 91)</f>
        <v>Phosphorus - Generic</v>
      </c>
      <c r="T197" s="177" cm="1">
        <f t="array" ref="T197">Common_InputFunctions.Utility_DisplayArrayInTable(Fertiliser_SourceData.Fertiliser_Products_Data4(),FertiliserProducts[[#Headers],[Company]], 91)</f>
        <v>0.01</v>
      </c>
      <c r="U197" s="177" t="str" cm="1">
        <f t="array" ref="U197">Common_InputFunctions.Utility_DisplayArrayInTable(Fertiliser_SourceData.Fertiliser_Products_Data4(),FertiliserProducts[[#Headers],[Company]], 91)</f>
        <v>Potassium - Generic</v>
      </c>
      <c r="V197" s="177" cm="1">
        <f t="array" ref="V197">Common_InputFunctions.Utility_DisplayArrayInTable(Fertiliser_SourceData.Fertiliser_Products_Data4(),FertiliserProducts[[#Headers],[Company]], 91)</f>
        <v>0.15</v>
      </c>
      <c r="W197" s="177" t="str" cm="1">
        <f t="array" ref="W197">Common_InputFunctions.Utility_DisplayArrayInTable(Fertiliser_SourceData.Fertiliser_Products_Data4(),FertiliserProducts[[#Headers],[Company]], 91)</f>
        <v>Sulfur - Generic</v>
      </c>
      <c r="X197" s="177" cm="1">
        <f t="array" ref="X197">Common_InputFunctions.Utility_DisplayArrayInTable(Fertiliser_SourceData.Fertiliser_Products_Data4(),FertiliserProducts[[#Headers],[Company]], 91)</f>
        <v>2.5000000000000001E-2</v>
      </c>
      <c r="Y197" s="177" t="str" cm="1">
        <f t="array" ref="Y197">Common_InputFunctions.Utility_DisplayArrayInTable(Fertiliser_SourceData.Fertiliser_Products_Data4(),FertiliserProducts[[#Headers],[Company]], 91)</f>
        <v>Calcium</v>
      </c>
      <c r="Z197" s="177" cm="1">
        <f t="array" ref="Z197">Common_InputFunctions.Utility_DisplayArrayInTable(Fertiliser_SourceData.Fertiliser_Products_Data4(),FertiliserProducts[[#Headers],[Company]], 91)</f>
        <v>4.3999999999999997E-2</v>
      </c>
      <c r="AA197" s="177" t="str" cm="1">
        <f t="array" ref="AA197">Common_InputFunctions.Utility_DisplayArrayInTable(Fertiliser_SourceData.Fertiliser_Products_Data4(),FertiliserProducts[[#Headers],[Company]], 91)</f>
        <v/>
      </c>
      <c r="AB197" s="177" t="str" cm="1">
        <f t="array" ref="AB197">Common_InputFunctions.Utility_DisplayArrayInTable(Fertiliser_SourceData.Fertiliser_Products_Data4(),FertiliserProducts[[#Headers],[Company]], 91)</f>
        <v/>
      </c>
      <c r="AC197" s="177" t="str" cm="1">
        <f t="array" ref="AC197">Common_InputFunctions.Utility_DisplayArrayInTable(Fertiliser_SourceData.Fertiliser_Products_Data4(),FertiliserProducts[[#Headers],[Company]], 91)</f>
        <v/>
      </c>
      <c r="AD197" s="177" t="str" cm="1">
        <f t="array" ref="AD197">Common_InputFunctions.Utility_DisplayArrayInTable(Fertiliser_SourceData.Fertiliser_Products_Data4(),FertiliserProducts[[#Headers],[Company]], 91)</f>
        <v/>
      </c>
      <c r="AE197" s="177" t="str" cm="1">
        <f t="array" ref="AE197">Common_InputFunctions.Utility_DisplayArrayInTable(Fertiliser_SourceData.Fertiliser_Products_Data4(),FertiliserProducts[[#Headers],[Company]], 91)</f>
        <v/>
      </c>
      <c r="AF197" s="177" t="str" cm="1">
        <f t="array" ref="AF197">Common_InputFunctions.Utility_DisplayArrayInTable(Fertiliser_SourceData.Fertiliser_Products_Data4(),FertiliserProducts[[#Headers],[Company]], 91)</f>
        <v/>
      </c>
      <c r="AG197" s="177" t="str" cm="1">
        <f t="array" ref="AG197">Common_InputFunctions.Utility_DisplayArrayInTable(Fertiliser_SourceData.Fertiliser_Products_Data4(),FertiliserProducts[[#Headers],[Company]], 91)</f>
        <v/>
      </c>
      <c r="AH197" s="177" t="str" cm="1">
        <f t="array" ref="AH197">Common_InputFunctions.Utility_DisplayArrayInTable(Fertiliser_SourceData.Fertiliser_Products_Data4(),FertiliserProducts[[#Headers],[Company]], 91)</f>
        <v/>
      </c>
    </row>
    <row r="198" spans="4:34" x14ac:dyDescent="0.25" ht="20" customHeight="1">
      <c r="D198" s="177" t="str" cm="1">
        <f t="array" ref="D198">Common_InputFunctions.Utility_DisplayArrayInTable(Fertiliser_SourceData.Fertiliser_Products_Data4(),FertiliserProducts[[#Headers],[Company]], 91)</f>
        <v>Wengfu Australia</v>
      </c>
      <c r="E198" s="177" t="str" cm="1">
        <f t="array" ref="E198">Common_InputFunctions.Utility_DisplayArrayInTable(Fertiliser_SourceData.Fertiliser_Products_Data4(),FertiliserProducts[[#Headers],[Company]], 91)</f>
        <v>Wengfu PrimeZinc 10</v>
      </c>
      <c r="F198" s="177" t="str" cm="1">
        <f t="array" ref="F198">Common_InputFunctions.Utility_DisplayArrayInTable(Fertiliser_SourceData.Fertiliser_Products_Data4(),FertiliserProducts[[#Headers],[Company]], 91)</f>
        <v>kg</v>
      </c>
      <c r="G198" s="177" cm="1">
        <f t="array" ref="G198">Common_InputFunctions.Utility_DisplayArrayInTable(Fertiliser_SourceData.Fertiliser_Products_Data4(),FertiliserProducts[[#Headers],[Company]], 91)</f>
        <v>1</v>
      </c>
      <c r="H198" s="177" t="str" cm="1">
        <f t="array" ref="H198">Common_InputFunctions.Utility_DisplayArrayInTable(Fertiliser_SourceData.Fertiliser_Products_Data4(),FertiliserProducts[[#Headers],[Company]], 91)</f>
        <v/>
      </c>
      <c r="I198" s="177" t="str" cm="1">
        <f t="array" ref="I198">Common_InputFunctions.Utility_DisplayArrayInTable(Fertiliser_SourceData.Fertiliser_Products_Data4(),FertiliserProducts[[#Headers],[Company]], 91)</f>
        <v/>
      </c>
      <c r="J198" s="177" t="str" cm="1">
        <f t="array" ref="J198">Common_InputFunctions.Utility_DisplayArrayInTable(Fertiliser_SourceData.Fertiliser_Products_Data4(),FertiliserProducts[[#Headers],[Company]], 91)</f>
        <v/>
      </c>
      <c r="K198" s="177" cm="1">
        <f t="array" ref="K198">Common_InputFunctions.Utility_DisplayArrayInTable(Fertiliser_SourceData.Fertiliser_Products_Data4(),FertiliserProducts[[#Headers],[Company]], 91)</f>
        <v>10</v>
      </c>
      <c r="L198" s="177" cm="1">
        <f t="array" ref="L198">Common_InputFunctions.Utility_DisplayArrayInTable(Fertiliser_SourceData.Fertiliser_Products_Data4(),FertiliserProducts[[#Headers],[Company]], 91)</f>
        <v>22</v>
      </c>
      <c r="M198" s="177" t="str" cm="1">
        <f t="array" ref="M198">Common_InputFunctions.Utility_DisplayArrayInTable(Fertiliser_SourceData.Fertiliser_Products_Data4(),FertiliserProducts[[#Headers],[Company]], 91)</f>
        <v/>
      </c>
      <c r="N198" s="177" cm="1">
        <f t="array" ref="N198">Common_InputFunctions.Utility_DisplayArrayInTable(Fertiliser_SourceData.Fertiliser_Products_Data4(),FertiliserProducts[[#Headers],[Company]], 91)</f>
        <v>1.5</v>
      </c>
      <c r="O198" s="177" t="str" cm="1">
        <f t="array" ref="O198">Common_InputFunctions.Utility_DisplayArrayInTable(Fertiliser_SourceData.Fertiliser_Products_Data4(),FertiliserProducts[[#Headers],[Company]], 91)</f>
        <v>Nitrogen - Generic</v>
      </c>
      <c r="P198" s="177" cm="1">
        <f t="array" ref="P198">Common_InputFunctions.Utility_DisplayArrayInTable(Fertiliser_SourceData.Fertiliser_Products_Data4(),FertiliserProducts[[#Headers],[Company]], 91)</f>
        <v>0.1</v>
      </c>
      <c r="Q198" s="177" t="str" cm="1">
        <f t="array" ref="Q198">Common_InputFunctions.Utility_DisplayArrayInTable(Fertiliser_SourceData.Fertiliser_Products_Data4(),FertiliserProducts[[#Headers],[Company]], 91)</f>
        <v>Phosphorus - Generic</v>
      </c>
      <c r="R198" s="177" cm="1">
        <f t="array" ref="R198">Common_InputFunctions.Utility_DisplayArrayInTable(Fertiliser_SourceData.Fertiliser_Products_Data4(),FertiliserProducts[[#Headers],[Company]], 91)</f>
        <v>0.22</v>
      </c>
      <c r="S198" s="177" t="str" cm="1">
        <f t="array" ref="S198">Common_InputFunctions.Utility_DisplayArrayInTable(Fertiliser_SourceData.Fertiliser_Products_Data4(),FertiliserProducts[[#Headers],[Company]], 91)</f>
        <v>Sulfur - Generic</v>
      </c>
      <c r="T198" s="177" cm="1">
        <f t="array" ref="T198">Common_InputFunctions.Utility_DisplayArrayInTable(Fertiliser_SourceData.Fertiliser_Products_Data4(),FertiliserProducts[[#Headers],[Company]], 91)</f>
        <v>1.4999999999999999E-2</v>
      </c>
      <c r="U198" s="177" t="str" cm="1">
        <f t="array" ref="U198">Common_InputFunctions.Utility_DisplayArrayInTable(Fertiliser_SourceData.Fertiliser_Products_Data4(),FertiliserProducts[[#Headers],[Company]], 91)</f>
        <v>Zinc</v>
      </c>
      <c r="V198" s="177" cm="1">
        <f t="array" ref="V198">Common_InputFunctions.Utility_DisplayArrayInTable(Fertiliser_SourceData.Fertiliser_Products_Data4(),FertiliserProducts[[#Headers],[Company]], 91)</f>
        <v>0.01</v>
      </c>
      <c r="W198" s="177" t="str" cm="1">
        <f t="array" ref="W198">Common_InputFunctions.Utility_DisplayArrayInTable(Fertiliser_SourceData.Fertiliser_Products_Data4(),FertiliserProducts[[#Headers],[Company]], 91)</f>
        <v/>
      </c>
      <c r="X198" s="177" t="str" cm="1">
        <f t="array" ref="X198">Common_InputFunctions.Utility_DisplayArrayInTable(Fertiliser_SourceData.Fertiliser_Products_Data4(),FertiliserProducts[[#Headers],[Company]], 91)</f>
        <v/>
      </c>
      <c r="Y198" s="177" t="str" cm="1">
        <f t="array" ref="Y198">Common_InputFunctions.Utility_DisplayArrayInTable(Fertiliser_SourceData.Fertiliser_Products_Data4(),FertiliserProducts[[#Headers],[Company]], 91)</f>
        <v/>
      </c>
      <c r="Z198" s="177" t="str" cm="1">
        <f t="array" ref="Z198">Common_InputFunctions.Utility_DisplayArrayInTable(Fertiliser_SourceData.Fertiliser_Products_Data4(),FertiliserProducts[[#Headers],[Company]], 91)</f>
        <v/>
      </c>
      <c r="AA198" s="177" t="str" cm="1">
        <f t="array" ref="AA198">Common_InputFunctions.Utility_DisplayArrayInTable(Fertiliser_SourceData.Fertiliser_Products_Data4(),FertiliserProducts[[#Headers],[Company]], 91)</f>
        <v/>
      </c>
      <c r="AB198" s="177" t="str" cm="1">
        <f t="array" ref="AB198">Common_InputFunctions.Utility_DisplayArrayInTable(Fertiliser_SourceData.Fertiliser_Products_Data4(),FertiliserProducts[[#Headers],[Company]], 91)</f>
        <v/>
      </c>
      <c r="AC198" s="177" t="str" cm="1">
        <f t="array" ref="AC198">Common_InputFunctions.Utility_DisplayArrayInTable(Fertiliser_SourceData.Fertiliser_Products_Data4(),FertiliserProducts[[#Headers],[Company]], 91)</f>
        <v/>
      </c>
      <c r="AD198" s="177" t="str" cm="1">
        <f t="array" ref="AD198">Common_InputFunctions.Utility_DisplayArrayInTable(Fertiliser_SourceData.Fertiliser_Products_Data4(),FertiliserProducts[[#Headers],[Company]], 91)</f>
        <v/>
      </c>
      <c r="AE198" s="177" t="str" cm="1">
        <f t="array" ref="AE198">Common_InputFunctions.Utility_DisplayArrayInTable(Fertiliser_SourceData.Fertiliser_Products_Data4(),FertiliserProducts[[#Headers],[Company]], 91)</f>
        <v/>
      </c>
      <c r="AF198" s="177" t="str" cm="1">
        <f t="array" ref="AF198">Common_InputFunctions.Utility_DisplayArrayInTable(Fertiliser_SourceData.Fertiliser_Products_Data4(),FertiliserProducts[[#Headers],[Company]], 91)</f>
        <v/>
      </c>
      <c r="AG198" s="177" t="str" cm="1">
        <f t="array" ref="AG198">Common_InputFunctions.Utility_DisplayArrayInTable(Fertiliser_SourceData.Fertiliser_Products_Data4(),FertiliserProducts[[#Headers],[Company]], 91)</f>
        <v/>
      </c>
      <c r="AH198" s="177" t="str" cm="1">
        <f t="array" ref="AH198">Common_InputFunctions.Utility_DisplayArrayInTable(Fertiliser_SourceData.Fertiliser_Products_Data4(),FertiliserProducts[[#Headers],[Company]], 91)</f>
        <v/>
      </c>
    </row>
    <row r="199" spans="4:34" x14ac:dyDescent="0.25" ht="20" customHeight="1">
      <c r="D199" s="177" t="str" cm="1">
        <f t="array" ref="D199">Common_InputFunctions.Utility_DisplayArrayInTable(Fertiliser_SourceData.Fertiliser_Products_Data4(),FertiliserProducts[[#Headers],[Company]], 91)</f>
        <v>Wengfu Australia</v>
      </c>
      <c r="E199" s="177" t="str" cm="1">
        <f t="array" ref="E199">Common_InputFunctions.Utility_DisplayArrayInTable(Fertiliser_SourceData.Fertiliser_Products_Data4(),FertiliserProducts[[#Headers],[Company]], 91)</f>
        <v>Wengfu Pasture King</v>
      </c>
      <c r="F199" s="177" t="str" cm="1">
        <f t="array" ref="F199">Common_InputFunctions.Utility_DisplayArrayInTable(Fertiliser_SourceData.Fertiliser_Products_Data4(),FertiliserProducts[[#Headers],[Company]], 91)</f>
        <v>kg</v>
      </c>
      <c r="G199" s="177" cm="1">
        <f t="array" ref="G199">Common_InputFunctions.Utility_DisplayArrayInTable(Fertiliser_SourceData.Fertiliser_Products_Data4(),FertiliserProducts[[#Headers],[Company]], 91)</f>
        <v>1</v>
      </c>
      <c r="H199" s="177" t="str" cm="1">
        <f t="array" ref="H199">Common_InputFunctions.Utility_DisplayArrayInTable(Fertiliser_SourceData.Fertiliser_Products_Data4(),FertiliserProducts[[#Headers],[Company]], 91)</f>
        <v/>
      </c>
      <c r="I199" s="177" t="str" cm="1">
        <f t="array" ref="I199">Common_InputFunctions.Utility_DisplayArrayInTable(Fertiliser_SourceData.Fertiliser_Products_Data4(),FertiliserProducts[[#Headers],[Company]], 91)</f>
        <v/>
      </c>
      <c r="J199" s="177" t="str" cm="1">
        <f t="array" ref="J199">Common_InputFunctions.Utility_DisplayArrayInTable(Fertiliser_SourceData.Fertiliser_Products_Data4(),FertiliserProducts[[#Headers],[Company]], 91)</f>
        <v/>
      </c>
      <c r="K199" s="177" t="str" cm="1">
        <f t="array" ref="K199">Common_InputFunctions.Utility_DisplayArrayInTable(Fertiliser_SourceData.Fertiliser_Products_Data4(),FertiliserProducts[[#Headers],[Company]], 91)</f>
        <v/>
      </c>
      <c r="L199" s="177" cm="1">
        <f t="array" ref="L199">Common_InputFunctions.Utility_DisplayArrayInTable(Fertiliser_SourceData.Fertiliser_Products_Data4(),FertiliserProducts[[#Headers],[Company]], 91)</f>
        <v>15.7</v>
      </c>
      <c r="M199" s="177" t="str" cm="1">
        <f t="array" ref="M199">Common_InputFunctions.Utility_DisplayArrayInTable(Fertiliser_SourceData.Fertiliser_Products_Data4(),FertiliserProducts[[#Headers],[Company]], 91)</f>
        <v/>
      </c>
      <c r="N199" s="177" cm="1">
        <f t="array" ref="N199">Common_InputFunctions.Utility_DisplayArrayInTable(Fertiliser_SourceData.Fertiliser_Products_Data4(),FertiliserProducts[[#Headers],[Company]], 91)</f>
        <v>4.5999999999999996</v>
      </c>
      <c r="O199" s="177" t="str" cm="1">
        <f t="array" ref="O199">Common_InputFunctions.Utility_DisplayArrayInTable(Fertiliser_SourceData.Fertiliser_Products_Data4(),FertiliserProducts[[#Headers],[Company]], 91)</f>
        <v>Phosphorus - Generic</v>
      </c>
      <c r="P199" s="177" cm="1">
        <f t="array" ref="P199">Common_InputFunctions.Utility_DisplayArrayInTable(Fertiliser_SourceData.Fertiliser_Products_Data4(),FertiliserProducts[[#Headers],[Company]], 91)</f>
        <v>0.157</v>
      </c>
      <c r="Q199" s="177" t="str" cm="1">
        <f t="array" ref="Q199">Common_InputFunctions.Utility_DisplayArrayInTable(Fertiliser_SourceData.Fertiliser_Products_Data4(),FertiliserProducts[[#Headers],[Company]], 91)</f>
        <v>Sulfur - Generic</v>
      </c>
      <c r="R199" s="177" cm="1">
        <f t="array" ref="R199">Common_InputFunctions.Utility_DisplayArrayInTable(Fertiliser_SourceData.Fertiliser_Products_Data4(),FertiliserProducts[[#Headers],[Company]], 91)</f>
        <v>4.5999999999999999E-2</v>
      </c>
      <c r="S199" s="177" t="str" cm="1">
        <f t="array" ref="S199">Common_InputFunctions.Utility_DisplayArrayInTable(Fertiliser_SourceData.Fertiliser_Products_Data4(),FertiliserProducts[[#Headers],[Company]], 91)</f>
        <v>Calcium</v>
      </c>
      <c r="T199" s="177" cm="1">
        <f t="array" ref="T199">Common_InputFunctions.Utility_DisplayArrayInTable(Fertiliser_SourceData.Fertiliser_Products_Data4(),FertiliserProducts[[#Headers],[Company]], 91)</f>
        <v>0.14000000000000001</v>
      </c>
      <c r="U199" s="177" t="str" cm="1">
        <f t="array" ref="U199">Common_InputFunctions.Utility_DisplayArrayInTable(Fertiliser_SourceData.Fertiliser_Products_Data4(),FertiliserProducts[[#Headers],[Company]], 91)</f>
        <v/>
      </c>
      <c r="V199" s="177" t="str" cm="1">
        <f t="array" ref="V199">Common_InputFunctions.Utility_DisplayArrayInTable(Fertiliser_SourceData.Fertiliser_Products_Data4(),FertiliserProducts[[#Headers],[Company]], 91)</f>
        <v/>
      </c>
      <c r="W199" s="177" t="str" cm="1">
        <f t="array" ref="W199">Common_InputFunctions.Utility_DisplayArrayInTable(Fertiliser_SourceData.Fertiliser_Products_Data4(),FertiliserProducts[[#Headers],[Company]], 91)</f>
        <v/>
      </c>
      <c r="X199" s="177" t="str" cm="1">
        <f t="array" ref="X199">Common_InputFunctions.Utility_DisplayArrayInTable(Fertiliser_SourceData.Fertiliser_Products_Data4(),FertiliserProducts[[#Headers],[Company]], 91)</f>
        <v/>
      </c>
      <c r="Y199" s="177" t="str" cm="1">
        <f t="array" ref="Y199">Common_InputFunctions.Utility_DisplayArrayInTable(Fertiliser_SourceData.Fertiliser_Products_Data4(),FertiliserProducts[[#Headers],[Company]], 91)</f>
        <v/>
      </c>
      <c r="Z199" s="177" t="str" cm="1">
        <f t="array" ref="Z199">Common_InputFunctions.Utility_DisplayArrayInTable(Fertiliser_SourceData.Fertiliser_Products_Data4(),FertiliserProducts[[#Headers],[Company]], 91)</f>
        <v/>
      </c>
      <c r="AA199" s="177" t="str" cm="1">
        <f t="array" ref="AA199">Common_InputFunctions.Utility_DisplayArrayInTable(Fertiliser_SourceData.Fertiliser_Products_Data4(),FertiliserProducts[[#Headers],[Company]], 91)</f>
        <v/>
      </c>
      <c r="AB199" s="177" t="str" cm="1">
        <f t="array" ref="AB199">Common_InputFunctions.Utility_DisplayArrayInTable(Fertiliser_SourceData.Fertiliser_Products_Data4(),FertiliserProducts[[#Headers],[Company]], 91)</f>
        <v/>
      </c>
      <c r="AC199" s="177" t="str" cm="1">
        <f t="array" ref="AC199">Common_InputFunctions.Utility_DisplayArrayInTable(Fertiliser_SourceData.Fertiliser_Products_Data4(),FertiliserProducts[[#Headers],[Company]], 91)</f>
        <v/>
      </c>
      <c r="AD199" s="177" t="str" cm="1">
        <f t="array" ref="AD199">Common_InputFunctions.Utility_DisplayArrayInTable(Fertiliser_SourceData.Fertiliser_Products_Data4(),FertiliserProducts[[#Headers],[Company]], 91)</f>
        <v/>
      </c>
      <c r="AE199" s="177" t="str" cm="1">
        <f t="array" ref="AE199">Common_InputFunctions.Utility_DisplayArrayInTable(Fertiliser_SourceData.Fertiliser_Products_Data4(),FertiliserProducts[[#Headers],[Company]], 91)</f>
        <v/>
      </c>
      <c r="AF199" s="177" t="str" cm="1">
        <f t="array" ref="AF199">Common_InputFunctions.Utility_DisplayArrayInTable(Fertiliser_SourceData.Fertiliser_Products_Data4(),FertiliserProducts[[#Headers],[Company]], 91)</f>
        <v/>
      </c>
      <c r="AG199" s="177" t="str" cm="1">
        <f t="array" ref="AG199">Common_InputFunctions.Utility_DisplayArrayInTable(Fertiliser_SourceData.Fertiliser_Products_Data4(),FertiliserProducts[[#Headers],[Company]], 91)</f>
        <v/>
      </c>
      <c r="AH199" s="177" t="str" cm="1">
        <f t="array" ref="AH199">Common_InputFunctions.Utility_DisplayArrayInTable(Fertiliser_SourceData.Fertiliser_Products_Data4(),FertiliserProducts[[#Headers],[Company]], 91)</f>
        <v/>
      </c>
    </row>
    <row r="200" spans="4:34" x14ac:dyDescent="0.25" ht="20" customHeight="1">
      <c r="D200" s="177" t="str" cm="1">
        <f t="array" ref="D200">Common_InputFunctions.Utility_DisplayArrayInTable(Fertiliser_SourceData.Fertiliser_Products_Data4(),FertiliserProducts[[#Headers],[Company]], 91)</f>
        <v>Wengfu Australia</v>
      </c>
      <c r="E200" s="177" t="str" cm="1">
        <f t="array" ref="E200">Common_InputFunctions.Utility_DisplayArrayInTable(Fertiliser_SourceData.Fertiliser_Products_Data4(),FertiliserProducts[[#Headers],[Company]], 91)</f>
        <v>Wengfu SuStain</v>
      </c>
      <c r="F200" s="177" t="str" cm="1">
        <f t="array" ref="F200">Common_InputFunctions.Utility_DisplayArrayInTable(Fertiliser_SourceData.Fertiliser_Products_Data4(),FertiliserProducts[[#Headers],[Company]], 91)</f>
        <v>kg</v>
      </c>
      <c r="G200" s="177" cm="1">
        <f t="array" ref="G200">Common_InputFunctions.Utility_DisplayArrayInTable(Fertiliser_SourceData.Fertiliser_Products_Data4(),FertiliserProducts[[#Headers],[Company]], 91)</f>
        <v>1</v>
      </c>
      <c r="H200" s="177" t="str" cm="1">
        <f t="array" ref="H200">Common_InputFunctions.Utility_DisplayArrayInTable(Fertiliser_SourceData.Fertiliser_Products_Data4(),FertiliserProducts[[#Headers],[Company]], 91)</f>
        <v/>
      </c>
      <c r="I200" s="177" t="str" cm="1">
        <f t="array" ref="I200">Common_InputFunctions.Utility_DisplayArrayInTable(Fertiliser_SourceData.Fertiliser_Products_Data4(),FertiliserProducts[[#Headers],[Company]], 91)</f>
        <v/>
      </c>
      <c r="J200" s="177" t="str" cm="1">
        <f t="array" ref="J200">Common_InputFunctions.Utility_DisplayArrayInTable(Fertiliser_SourceData.Fertiliser_Products_Data4(),FertiliserProducts[[#Headers],[Company]], 91)</f>
        <v/>
      </c>
      <c r="K200" s="177" t="str" cm="1">
        <f t="array" ref="K200">Common_InputFunctions.Utility_DisplayArrayInTable(Fertiliser_SourceData.Fertiliser_Products_Data4(),FertiliserProducts[[#Headers],[Company]], 91)</f>
        <v/>
      </c>
      <c r="L200" s="177" t="str" cm="1">
        <f t="array" ref="L200">Common_InputFunctions.Utility_DisplayArrayInTable(Fertiliser_SourceData.Fertiliser_Products_Data4(),FertiliserProducts[[#Headers],[Company]], 91)</f>
        <v/>
      </c>
      <c r="M200" s="177" t="str" cm="1">
        <f t="array" ref="M200">Common_InputFunctions.Utility_DisplayArrayInTable(Fertiliser_SourceData.Fertiliser_Products_Data4(),FertiliserProducts[[#Headers],[Company]], 91)</f>
        <v/>
      </c>
      <c r="N200" s="177" cm="1">
        <f t="array" ref="N200">Common_InputFunctions.Utility_DisplayArrayInTable(Fertiliser_SourceData.Fertiliser_Products_Data4(),FertiliserProducts[[#Headers],[Company]], 91)</f>
        <v>90</v>
      </c>
      <c r="O200" s="177" t="str" cm="1">
        <f t="array" ref="O200">Common_InputFunctions.Utility_DisplayArrayInTable(Fertiliser_SourceData.Fertiliser_Products_Data4(),FertiliserProducts[[#Headers],[Company]], 91)</f>
        <v>Sulfur - Generic</v>
      </c>
      <c r="P200" s="177" cm="1">
        <f t="array" ref="P200">Common_InputFunctions.Utility_DisplayArrayInTable(Fertiliser_SourceData.Fertiliser_Products_Data4(),FertiliserProducts[[#Headers],[Company]], 91)</f>
        <v>0.9</v>
      </c>
      <c r="Q200" s="177" t="str" cm="1">
        <f t="array" ref="Q200">Common_InputFunctions.Utility_DisplayArrayInTable(Fertiliser_SourceData.Fertiliser_Products_Data4(),FertiliserProducts[[#Headers],[Company]], 91)</f>
        <v/>
      </c>
      <c r="R200" s="177" t="str" cm="1">
        <f t="array" ref="R200">Common_InputFunctions.Utility_DisplayArrayInTable(Fertiliser_SourceData.Fertiliser_Products_Data4(),FertiliserProducts[[#Headers],[Company]], 91)</f>
        <v/>
      </c>
      <c r="S200" s="177" t="str" cm="1">
        <f t="array" ref="S200">Common_InputFunctions.Utility_DisplayArrayInTable(Fertiliser_SourceData.Fertiliser_Products_Data4(),FertiliserProducts[[#Headers],[Company]], 91)</f>
        <v/>
      </c>
      <c r="T200" s="177" t="str" cm="1">
        <f t="array" ref="T200">Common_InputFunctions.Utility_DisplayArrayInTable(Fertiliser_SourceData.Fertiliser_Products_Data4(),FertiliserProducts[[#Headers],[Company]], 91)</f>
        <v/>
      </c>
      <c r="U200" s="177" t="str" cm="1">
        <f t="array" ref="U200">Common_InputFunctions.Utility_DisplayArrayInTable(Fertiliser_SourceData.Fertiliser_Products_Data4(),FertiliserProducts[[#Headers],[Company]], 91)</f>
        <v/>
      </c>
      <c r="V200" s="177" t="str" cm="1">
        <f t="array" ref="V200">Common_InputFunctions.Utility_DisplayArrayInTable(Fertiliser_SourceData.Fertiliser_Products_Data4(),FertiliserProducts[[#Headers],[Company]], 91)</f>
        <v/>
      </c>
      <c r="W200" s="177" t="str" cm="1">
        <f t="array" ref="W200">Common_InputFunctions.Utility_DisplayArrayInTable(Fertiliser_SourceData.Fertiliser_Products_Data4(),FertiliserProducts[[#Headers],[Company]], 91)</f>
        <v/>
      </c>
      <c r="X200" s="177" t="str" cm="1">
        <f t="array" ref="X200">Common_InputFunctions.Utility_DisplayArrayInTable(Fertiliser_SourceData.Fertiliser_Products_Data4(),FertiliserProducts[[#Headers],[Company]], 91)</f>
        <v/>
      </c>
      <c r="Y200" s="177" t="str" cm="1">
        <f t="array" ref="Y200">Common_InputFunctions.Utility_DisplayArrayInTable(Fertiliser_SourceData.Fertiliser_Products_Data4(),FertiliserProducts[[#Headers],[Company]], 91)</f>
        <v/>
      </c>
      <c r="Z200" s="177" t="str" cm="1">
        <f t="array" ref="Z200">Common_InputFunctions.Utility_DisplayArrayInTable(Fertiliser_SourceData.Fertiliser_Products_Data4(),FertiliserProducts[[#Headers],[Company]], 91)</f>
        <v/>
      </c>
      <c r="AA200" s="177" t="str" cm="1">
        <f t="array" ref="AA200">Common_InputFunctions.Utility_DisplayArrayInTable(Fertiliser_SourceData.Fertiliser_Products_Data4(),FertiliserProducts[[#Headers],[Company]], 91)</f>
        <v/>
      </c>
      <c r="AB200" s="177" t="str" cm="1">
        <f t="array" ref="AB200">Common_InputFunctions.Utility_DisplayArrayInTable(Fertiliser_SourceData.Fertiliser_Products_Data4(),FertiliserProducts[[#Headers],[Company]], 91)</f>
        <v/>
      </c>
      <c r="AC200" s="177" t="str" cm="1">
        <f t="array" ref="AC200">Common_InputFunctions.Utility_DisplayArrayInTable(Fertiliser_SourceData.Fertiliser_Products_Data4(),FertiliserProducts[[#Headers],[Company]], 91)</f>
        <v/>
      </c>
      <c r="AD200" s="177" t="str" cm="1">
        <f t="array" ref="AD200">Common_InputFunctions.Utility_DisplayArrayInTable(Fertiliser_SourceData.Fertiliser_Products_Data4(),FertiliserProducts[[#Headers],[Company]], 91)</f>
        <v/>
      </c>
      <c r="AE200" s="177" t="str" cm="1">
        <f t="array" ref="AE200">Common_InputFunctions.Utility_DisplayArrayInTable(Fertiliser_SourceData.Fertiliser_Products_Data4(),FertiliserProducts[[#Headers],[Company]], 91)</f>
        <v/>
      </c>
      <c r="AF200" s="177" t="str" cm="1">
        <f t="array" ref="AF200">Common_InputFunctions.Utility_DisplayArrayInTable(Fertiliser_SourceData.Fertiliser_Products_Data4(),FertiliserProducts[[#Headers],[Company]], 91)</f>
        <v/>
      </c>
      <c r="AG200" s="177" t="str" cm="1">
        <f t="array" ref="AG200">Common_InputFunctions.Utility_DisplayArrayInTable(Fertiliser_SourceData.Fertiliser_Products_Data4(),FertiliserProducts[[#Headers],[Company]], 91)</f>
        <v/>
      </c>
      <c r="AH200" s="177" t="str" cm="1">
        <f t="array" ref="AH200">Common_InputFunctions.Utility_DisplayArrayInTable(Fertiliser_SourceData.Fertiliser_Products_Data4(),FertiliserProducts[[#Headers],[Company]], 91)</f>
        <v/>
      </c>
    </row>
    <row r="201" spans="4:34" x14ac:dyDescent="0.25" ht="20" customHeight="1">
      <c r="D201" s="177" t="str" cm="1">
        <f t="array" ref="D201">Common_InputFunctions.Utility_DisplayArrayInTable(Fertiliser_SourceData.Fertiliser_Products_Data4(),FertiliserProducts[[#Headers],[Company]], 91)</f>
        <v>Wengfu Australia</v>
      </c>
      <c r="E201" s="177" t="str" cm="1">
        <f t="array" ref="E201">Common_InputFunctions.Utility_DisplayArrayInTable(Fertiliser_SourceData.Fertiliser_Products_Data4(),FertiliserProducts[[#Headers],[Company]], 91)</f>
        <v>Wengfu Slam</v>
      </c>
      <c r="F201" s="177" t="str" cm="1">
        <f t="array" ref="F201">Common_InputFunctions.Utility_DisplayArrayInTable(Fertiliser_SourceData.Fertiliser_Products_Data4(),FertiliserProducts[[#Headers],[Company]], 91)</f>
        <v>kg</v>
      </c>
      <c r="G201" s="177" cm="1">
        <f t="array" ref="G201">Common_InputFunctions.Utility_DisplayArrayInTable(Fertiliser_SourceData.Fertiliser_Products_Data4(),FertiliserProducts[[#Headers],[Company]], 91)</f>
        <v>1</v>
      </c>
      <c r="H201" s="177" t="str" cm="1">
        <f t="array" ref="H201">Common_InputFunctions.Utility_DisplayArrayInTable(Fertiliser_SourceData.Fertiliser_Products_Data4(),FertiliserProducts[[#Headers],[Company]], 91)</f>
        <v/>
      </c>
      <c r="I201" s="177" t="str" cm="1">
        <f t="array" ref="I201">Common_InputFunctions.Utility_DisplayArrayInTable(Fertiliser_SourceData.Fertiliser_Products_Data4(),FertiliserProducts[[#Headers],[Company]], 91)</f>
        <v/>
      </c>
      <c r="J201" s="177" t="str" cm="1">
        <f t="array" ref="J201">Common_InputFunctions.Utility_DisplayArrayInTable(Fertiliser_SourceData.Fertiliser_Products_Data4(),FertiliserProducts[[#Headers],[Company]], 91)</f>
        <v/>
      </c>
      <c r="K201" s="177" cm="1">
        <f t="array" ref="K201">Common_InputFunctions.Utility_DisplayArrayInTable(Fertiliser_SourceData.Fertiliser_Products_Data4(),FertiliserProducts[[#Headers],[Company]], 91)</f>
        <v>19.5</v>
      </c>
      <c r="L201" s="177" cm="1">
        <f t="array" ref="L201">Common_InputFunctions.Utility_DisplayArrayInTable(Fertiliser_SourceData.Fertiliser_Products_Data4(),FertiliserProducts[[#Headers],[Company]], 91)</f>
        <v>0.7</v>
      </c>
      <c r="M201" s="177" t="str" cm="1">
        <f t="array" ref="M201">Common_InputFunctions.Utility_DisplayArrayInTable(Fertiliser_SourceData.Fertiliser_Products_Data4(),FertiliserProducts[[#Headers],[Company]], 91)</f>
        <v/>
      </c>
      <c r="N201" s="177" cm="1">
        <f t="array" ref="N201">Common_InputFunctions.Utility_DisplayArrayInTable(Fertiliser_SourceData.Fertiliser_Products_Data4(),FertiliserProducts[[#Headers],[Company]], 91)</f>
        <v>23</v>
      </c>
      <c r="O201" s="177" t="str" cm="1">
        <f t="array" ref="O201">Common_InputFunctions.Utility_DisplayArrayInTable(Fertiliser_SourceData.Fertiliser_Products_Data4(),FertiliserProducts[[#Headers],[Company]], 91)</f>
        <v>Nitrogen - Generic</v>
      </c>
      <c r="P201" s="177" cm="1">
        <f t="array" ref="P201">Common_InputFunctions.Utility_DisplayArrayInTable(Fertiliser_SourceData.Fertiliser_Products_Data4(),FertiliserProducts[[#Headers],[Company]], 91)</f>
        <v>0.19500000000000001</v>
      </c>
      <c r="Q201" s="177" t="str" cm="1">
        <f t="array" ref="Q201">Common_InputFunctions.Utility_DisplayArrayInTable(Fertiliser_SourceData.Fertiliser_Products_Data4(),FertiliserProducts[[#Headers],[Company]], 91)</f>
        <v>Phosphorus - Generic</v>
      </c>
      <c r="R201" s="177" cm="1">
        <f t="array" ref="R201">Common_InputFunctions.Utility_DisplayArrayInTable(Fertiliser_SourceData.Fertiliser_Products_Data4(),FertiliserProducts[[#Headers],[Company]], 91)</f>
        <v>7.0000000000000001E-3</v>
      </c>
      <c r="S201" s="177" t="str" cm="1">
        <f t="array" ref="S201">Common_InputFunctions.Utility_DisplayArrayInTable(Fertiliser_SourceData.Fertiliser_Products_Data4(),FertiliserProducts[[#Headers],[Company]], 91)</f>
        <v>Sulfur - Generic</v>
      </c>
      <c r="T201" s="177" cm="1">
        <f t="array" ref="T201">Common_InputFunctions.Utility_DisplayArrayInTable(Fertiliser_SourceData.Fertiliser_Products_Data4(),FertiliserProducts[[#Headers],[Company]], 91)</f>
        <v>0.23</v>
      </c>
      <c r="U201" s="177" t="str" cm="1">
        <f t="array" ref="U201">Common_InputFunctions.Utility_DisplayArrayInTable(Fertiliser_SourceData.Fertiliser_Products_Data4(),FertiliserProducts[[#Headers],[Company]], 91)</f>
        <v/>
      </c>
      <c r="V201" s="177" t="str" cm="1">
        <f t="array" ref="V201">Common_InputFunctions.Utility_DisplayArrayInTable(Fertiliser_SourceData.Fertiliser_Products_Data4(),FertiliserProducts[[#Headers],[Company]], 91)</f>
        <v/>
      </c>
      <c r="W201" s="177" t="str" cm="1">
        <f t="array" ref="W201">Common_InputFunctions.Utility_DisplayArrayInTable(Fertiliser_SourceData.Fertiliser_Products_Data4(),FertiliserProducts[[#Headers],[Company]], 91)</f>
        <v/>
      </c>
      <c r="X201" s="177" t="str" cm="1">
        <f t="array" ref="X201">Common_InputFunctions.Utility_DisplayArrayInTable(Fertiliser_SourceData.Fertiliser_Products_Data4(),FertiliserProducts[[#Headers],[Company]], 91)</f>
        <v/>
      </c>
      <c r="Y201" s="177" t="str" cm="1">
        <f t="array" ref="Y201">Common_InputFunctions.Utility_DisplayArrayInTable(Fertiliser_SourceData.Fertiliser_Products_Data4(),FertiliserProducts[[#Headers],[Company]], 91)</f>
        <v/>
      </c>
      <c r="Z201" s="177" t="str" cm="1">
        <f t="array" ref="Z201">Common_InputFunctions.Utility_DisplayArrayInTable(Fertiliser_SourceData.Fertiliser_Products_Data4(),FertiliserProducts[[#Headers],[Company]], 91)</f>
        <v/>
      </c>
      <c r="AA201" s="177" t="str" cm="1">
        <f t="array" ref="AA201">Common_InputFunctions.Utility_DisplayArrayInTable(Fertiliser_SourceData.Fertiliser_Products_Data4(),FertiliserProducts[[#Headers],[Company]], 91)</f>
        <v/>
      </c>
      <c r="AB201" s="177" t="str" cm="1">
        <f t="array" ref="AB201">Common_InputFunctions.Utility_DisplayArrayInTable(Fertiliser_SourceData.Fertiliser_Products_Data4(),FertiliserProducts[[#Headers],[Company]], 91)</f>
        <v/>
      </c>
      <c r="AC201" s="177" t="str" cm="1">
        <f t="array" ref="AC201">Common_InputFunctions.Utility_DisplayArrayInTable(Fertiliser_SourceData.Fertiliser_Products_Data4(),FertiliserProducts[[#Headers],[Company]], 91)</f>
        <v/>
      </c>
      <c r="AD201" s="177" t="str" cm="1">
        <f t="array" ref="AD201">Common_InputFunctions.Utility_DisplayArrayInTable(Fertiliser_SourceData.Fertiliser_Products_Data4(),FertiliserProducts[[#Headers],[Company]], 91)</f>
        <v/>
      </c>
      <c r="AE201" s="177" t="str" cm="1">
        <f t="array" ref="AE201">Common_InputFunctions.Utility_DisplayArrayInTable(Fertiliser_SourceData.Fertiliser_Products_Data4(),FertiliserProducts[[#Headers],[Company]], 91)</f>
        <v/>
      </c>
      <c r="AF201" s="177" t="str" cm="1">
        <f t="array" ref="AF201">Common_InputFunctions.Utility_DisplayArrayInTable(Fertiliser_SourceData.Fertiliser_Products_Data4(),FertiliserProducts[[#Headers],[Company]], 91)</f>
        <v/>
      </c>
      <c r="AG201" s="177" t="str" cm="1">
        <f t="array" ref="AG201">Common_InputFunctions.Utility_DisplayArrayInTable(Fertiliser_SourceData.Fertiliser_Products_Data4(),FertiliserProducts[[#Headers],[Company]], 91)</f>
        <v/>
      </c>
      <c r="AH201" s="177" t="str" cm="1">
        <f t="array" ref="AH201">Common_InputFunctions.Utility_DisplayArrayInTable(Fertiliser_SourceData.Fertiliser_Products_Data4(),FertiliserProducts[[#Headers],[Company]], 91)</f>
        <v/>
      </c>
    </row>
    <row r="202" spans="4:34" x14ac:dyDescent="0.25" ht="20" customHeight="1">
      <c r="D202" s="177" t="str" cm="1">
        <f t="array" ref="D202">Common_InputFunctions.Utility_DisplayArrayInTable(Fertiliser_SourceData.Fertiliser_Products_Data4(),FertiliserProducts[[#Headers],[Company]], 91)</f>
        <v>Wengfu Australia</v>
      </c>
      <c r="E202" s="177" t="str" cm="1">
        <f t="array" ref="E202">Common_InputFunctions.Utility_DisplayArrayInTable(Fertiliser_SourceData.Fertiliser_Products_Data4(),FertiliserProducts[[#Headers],[Company]], 91)</f>
        <v>Wengfu Prime MSZ</v>
      </c>
      <c r="F202" s="177" t="str" cm="1">
        <f t="array" ref="F202">Common_InputFunctions.Utility_DisplayArrayInTable(Fertiliser_SourceData.Fertiliser_Products_Data4(),FertiliserProducts[[#Headers],[Company]], 91)</f>
        <v>kg</v>
      </c>
      <c r="G202" s="177" cm="1">
        <f t="array" ref="G202">Common_InputFunctions.Utility_DisplayArrayInTable(Fertiliser_SourceData.Fertiliser_Products_Data4(),FertiliserProducts[[#Headers],[Company]], 91)</f>
        <v>1</v>
      </c>
      <c r="H202" s="177" t="str" cm="1">
        <f t="array" ref="H202">Common_InputFunctions.Utility_DisplayArrayInTable(Fertiliser_SourceData.Fertiliser_Products_Data4(),FertiliserProducts[[#Headers],[Company]], 91)</f>
        <v/>
      </c>
      <c r="I202" s="177" t="str" cm="1">
        <f t="array" ref="I202">Common_InputFunctions.Utility_DisplayArrayInTable(Fertiliser_SourceData.Fertiliser_Products_Data4(),FertiliserProducts[[#Headers],[Company]], 91)</f>
        <v/>
      </c>
      <c r="J202" s="177" t="str" cm="1">
        <f t="array" ref="J202">Common_InputFunctions.Utility_DisplayArrayInTable(Fertiliser_SourceData.Fertiliser_Products_Data4(),FertiliserProducts[[#Headers],[Company]], 91)</f>
        <v/>
      </c>
      <c r="K202" s="177" cm="1">
        <f t="array" ref="K202">Common_InputFunctions.Utility_DisplayArrayInTable(Fertiliser_SourceData.Fertiliser_Products_Data4(),FertiliserProducts[[#Headers],[Company]], 91)</f>
        <v>10</v>
      </c>
      <c r="L202" s="177" cm="1">
        <f t="array" ref="L202">Common_InputFunctions.Utility_DisplayArrayInTable(Fertiliser_SourceData.Fertiliser_Products_Data4(),FertiliserProducts[[#Headers],[Company]], 91)</f>
        <v>18</v>
      </c>
      <c r="M202" s="177" t="str" cm="1">
        <f t="array" ref="M202">Common_InputFunctions.Utility_DisplayArrayInTable(Fertiliser_SourceData.Fertiliser_Products_Data4(),FertiliserProducts[[#Headers],[Company]], 91)</f>
        <v/>
      </c>
      <c r="N202" s="177" cm="1">
        <f t="array" ref="N202">Common_InputFunctions.Utility_DisplayArrayInTable(Fertiliser_SourceData.Fertiliser_Products_Data4(),FertiliserProducts[[#Headers],[Company]], 91)</f>
        <v>8</v>
      </c>
      <c r="O202" s="177" t="str" cm="1">
        <f t="array" ref="O202">Common_InputFunctions.Utility_DisplayArrayInTable(Fertiliser_SourceData.Fertiliser_Products_Data4(),FertiliserProducts[[#Headers],[Company]], 91)</f>
        <v>Nitrogen - Generic</v>
      </c>
      <c r="P202" s="177" cm="1">
        <f t="array" ref="P202">Common_InputFunctions.Utility_DisplayArrayInTable(Fertiliser_SourceData.Fertiliser_Products_Data4(),FertiliserProducts[[#Headers],[Company]], 91)</f>
        <v>0.1</v>
      </c>
      <c r="Q202" s="177" t="str" cm="1">
        <f t="array" ref="Q202">Common_InputFunctions.Utility_DisplayArrayInTable(Fertiliser_SourceData.Fertiliser_Products_Data4(),FertiliserProducts[[#Headers],[Company]], 91)</f>
        <v>Phosphorus - Generic</v>
      </c>
      <c r="R202" s="177" cm="1">
        <f t="array" ref="R202">Common_InputFunctions.Utility_DisplayArrayInTable(Fertiliser_SourceData.Fertiliser_Products_Data4(),FertiliserProducts[[#Headers],[Company]], 91)</f>
        <v>0.18</v>
      </c>
      <c r="S202" s="177" t="str" cm="1">
        <f t="array" ref="S202">Common_InputFunctions.Utility_DisplayArrayInTable(Fertiliser_SourceData.Fertiliser_Products_Data4(),FertiliserProducts[[#Headers],[Company]], 91)</f>
        <v>Sulfur - Generic</v>
      </c>
      <c r="T202" s="177" cm="1">
        <f t="array" ref="T202">Common_InputFunctions.Utility_DisplayArrayInTable(Fertiliser_SourceData.Fertiliser_Products_Data4(),FertiliserProducts[[#Headers],[Company]], 91)</f>
        <v>0.08</v>
      </c>
      <c r="U202" s="177" t="str" cm="1">
        <f t="array" ref="U202">Common_InputFunctions.Utility_DisplayArrayInTable(Fertiliser_SourceData.Fertiliser_Products_Data4(),FertiliserProducts[[#Headers],[Company]], 91)</f>
        <v>Zinc</v>
      </c>
      <c r="V202" s="177" cm="1">
        <f t="array" ref="V202">Common_InputFunctions.Utility_DisplayArrayInTable(Fertiliser_SourceData.Fertiliser_Products_Data4(),FertiliserProducts[[#Headers],[Company]], 91)</f>
        <v>5.0000000000000001E-3</v>
      </c>
      <c r="W202" s="177" t="str" cm="1">
        <f t="array" ref="W202">Common_InputFunctions.Utility_DisplayArrayInTable(Fertiliser_SourceData.Fertiliser_Products_Data4(),FertiliserProducts[[#Headers],[Company]], 91)</f>
        <v/>
      </c>
      <c r="X202" s="177" t="str" cm="1">
        <f t="array" ref="X202">Common_InputFunctions.Utility_DisplayArrayInTable(Fertiliser_SourceData.Fertiliser_Products_Data4(),FertiliserProducts[[#Headers],[Company]], 91)</f>
        <v/>
      </c>
      <c r="Y202" s="177" t="str" cm="1">
        <f t="array" ref="Y202">Common_InputFunctions.Utility_DisplayArrayInTable(Fertiliser_SourceData.Fertiliser_Products_Data4(),FertiliserProducts[[#Headers],[Company]], 91)</f>
        <v/>
      </c>
      <c r="Z202" s="177" t="str" cm="1">
        <f t="array" ref="Z202">Common_InputFunctions.Utility_DisplayArrayInTable(Fertiliser_SourceData.Fertiliser_Products_Data4(),FertiliserProducts[[#Headers],[Company]], 91)</f>
        <v/>
      </c>
      <c r="AA202" s="177" t="str" cm="1">
        <f t="array" ref="AA202">Common_InputFunctions.Utility_DisplayArrayInTable(Fertiliser_SourceData.Fertiliser_Products_Data4(),FertiliserProducts[[#Headers],[Company]], 91)</f>
        <v/>
      </c>
      <c r="AB202" s="177" t="str" cm="1">
        <f t="array" ref="AB202">Common_InputFunctions.Utility_DisplayArrayInTable(Fertiliser_SourceData.Fertiliser_Products_Data4(),FertiliserProducts[[#Headers],[Company]], 91)</f>
        <v/>
      </c>
      <c r="AC202" s="177" t="str" cm="1">
        <f t="array" ref="AC202">Common_InputFunctions.Utility_DisplayArrayInTable(Fertiliser_SourceData.Fertiliser_Products_Data4(),FertiliserProducts[[#Headers],[Company]], 91)</f>
        <v/>
      </c>
      <c r="AD202" s="177" t="str" cm="1">
        <f t="array" ref="AD202">Common_InputFunctions.Utility_DisplayArrayInTable(Fertiliser_SourceData.Fertiliser_Products_Data4(),FertiliserProducts[[#Headers],[Company]], 91)</f>
        <v/>
      </c>
      <c r="AE202" s="177" t="str" cm="1">
        <f t="array" ref="AE202">Common_InputFunctions.Utility_DisplayArrayInTable(Fertiliser_SourceData.Fertiliser_Products_Data4(),FertiliserProducts[[#Headers],[Company]], 91)</f>
        <v/>
      </c>
      <c r="AF202" s="177" t="str" cm="1">
        <f t="array" ref="AF202">Common_InputFunctions.Utility_DisplayArrayInTable(Fertiliser_SourceData.Fertiliser_Products_Data4(),FertiliserProducts[[#Headers],[Company]], 91)</f>
        <v/>
      </c>
      <c r="AG202" s="177" t="str" cm="1">
        <f t="array" ref="AG202">Common_InputFunctions.Utility_DisplayArrayInTable(Fertiliser_SourceData.Fertiliser_Products_Data4(),FertiliserProducts[[#Headers],[Company]], 91)</f>
        <v/>
      </c>
      <c r="AH202" s="177" t="str" cm="1">
        <f t="array" ref="AH202">Common_InputFunctions.Utility_DisplayArrayInTable(Fertiliser_SourceData.Fertiliser_Products_Data4(),FertiliserProducts[[#Headers],[Company]], 91)</f>
        <v/>
      </c>
    </row>
    <row r="203" spans="4:34" x14ac:dyDescent="0.25" ht="20" customHeight="1">
      <c r="D203" s="177" t="str" cm="1">
        <f t="array" ref="D203">Common_InputFunctions.Utility_DisplayArrayInTable(Fertiliser_SourceData.Fertiliser_Products_Data4(),FertiliserProducts[[#Headers],[Company]], 91)</f>
        <v>Wengfu Australia</v>
      </c>
      <c r="E203" s="177" t="str" cm="1">
        <f t="array" ref="E203">Common_InputFunctions.Utility_DisplayArrayInTable(Fertiliser_SourceData.Fertiliser_Products_Data4(),FertiliserProducts[[#Headers],[Company]], 91)</f>
        <v>Wengfu 9-20-0-10 MAP SuStain</v>
      </c>
      <c r="F203" s="177" t="str" cm="1">
        <f t="array" ref="F203">Common_InputFunctions.Utility_DisplayArrayInTable(Fertiliser_SourceData.Fertiliser_Products_Data4(),FertiliserProducts[[#Headers],[Company]], 91)</f>
        <v>kg</v>
      </c>
      <c r="G203" s="177" cm="1">
        <f t="array" ref="G203">Common_InputFunctions.Utility_DisplayArrayInTable(Fertiliser_SourceData.Fertiliser_Products_Data4(),FertiliserProducts[[#Headers],[Company]], 91)</f>
        <v>1</v>
      </c>
      <c r="H203" s="177" t="str" cm="1">
        <f t="array" ref="H203">Common_InputFunctions.Utility_DisplayArrayInTable(Fertiliser_SourceData.Fertiliser_Products_Data4(),FertiliserProducts[[#Headers],[Company]], 91)</f>
        <v/>
      </c>
      <c r="I203" s="177" t="str" cm="1">
        <f t="array" ref="I203">Common_InputFunctions.Utility_DisplayArrayInTable(Fertiliser_SourceData.Fertiliser_Products_Data4(),FertiliserProducts[[#Headers],[Company]], 91)</f>
        <v/>
      </c>
      <c r="J203" s="177" t="str" cm="1">
        <f t="array" ref="J203">Common_InputFunctions.Utility_DisplayArrayInTable(Fertiliser_SourceData.Fertiliser_Products_Data4(),FertiliserProducts[[#Headers],[Company]], 91)</f>
        <v/>
      </c>
      <c r="K203" s="177" cm="1">
        <f t="array" ref="K203">Common_InputFunctions.Utility_DisplayArrayInTable(Fertiliser_SourceData.Fertiliser_Products_Data4(),FertiliserProducts[[#Headers],[Company]], 91)</f>
        <v>9</v>
      </c>
      <c r="L203" s="177" cm="1">
        <f t="array" ref="L203">Common_InputFunctions.Utility_DisplayArrayInTable(Fertiliser_SourceData.Fertiliser_Products_Data4(),FertiliserProducts[[#Headers],[Company]], 91)</f>
        <v>19.8</v>
      </c>
      <c r="M203" s="177" cm="1">
        <f t="array" ref="M203">Common_InputFunctions.Utility_DisplayArrayInTable(Fertiliser_SourceData.Fertiliser_Products_Data4(),FertiliserProducts[[#Headers],[Company]], 91)</f>
        <v>0</v>
      </c>
      <c r="N203" s="177" cm="1">
        <f t="array" ref="N203">Common_InputFunctions.Utility_DisplayArrayInTable(Fertiliser_SourceData.Fertiliser_Products_Data4(),FertiliserProducts[[#Headers],[Company]], 91)</f>
        <v>10.4</v>
      </c>
      <c r="O203" s="177" t="str" cm="1">
        <f t="array" ref="O203">Common_InputFunctions.Utility_DisplayArrayInTable(Fertiliser_SourceData.Fertiliser_Products_Data4(),FertiliserProducts[[#Headers],[Company]], 91)</f>
        <v>Nitrogen - Generic</v>
      </c>
      <c r="P203" s="177" cm="1">
        <f t="array" ref="P203">Common_InputFunctions.Utility_DisplayArrayInTable(Fertiliser_SourceData.Fertiliser_Products_Data4(),FertiliserProducts[[#Headers],[Company]], 91)</f>
        <v>0.09</v>
      </c>
      <c r="Q203" s="177" t="str" cm="1">
        <f t="array" ref="Q203">Common_InputFunctions.Utility_DisplayArrayInTable(Fertiliser_SourceData.Fertiliser_Products_Data4(),FertiliserProducts[[#Headers],[Company]], 91)</f>
        <v>Phosphorus - Generic</v>
      </c>
      <c r="R203" s="177" cm="1">
        <f t="array" ref="R203">Common_InputFunctions.Utility_DisplayArrayInTable(Fertiliser_SourceData.Fertiliser_Products_Data4(),FertiliserProducts[[#Headers],[Company]], 91)</f>
        <v>0.19800000000000001</v>
      </c>
      <c r="S203" s="177" t="str" cm="1">
        <f t="array" ref="S203">Common_InputFunctions.Utility_DisplayArrayInTable(Fertiliser_SourceData.Fertiliser_Products_Data4(),FertiliserProducts[[#Headers],[Company]], 91)</f>
        <v>Sulfur - Generic</v>
      </c>
      <c r="T203" s="177" cm="1">
        <f t="array" ref="T203">Common_InputFunctions.Utility_DisplayArrayInTable(Fertiliser_SourceData.Fertiliser_Products_Data4(),FertiliserProducts[[#Headers],[Company]], 91)</f>
        <v>0.104</v>
      </c>
      <c r="U203" s="177" t="str" cm="1">
        <f t="array" ref="U203">Common_InputFunctions.Utility_DisplayArrayInTable(Fertiliser_SourceData.Fertiliser_Products_Data4(),FertiliserProducts[[#Headers],[Company]], 91)</f>
        <v/>
      </c>
      <c r="V203" s="177" t="str" cm="1">
        <f t="array" ref="V203">Common_InputFunctions.Utility_DisplayArrayInTable(Fertiliser_SourceData.Fertiliser_Products_Data4(),FertiliserProducts[[#Headers],[Company]], 91)</f>
        <v/>
      </c>
      <c r="W203" s="177" t="str" cm="1">
        <f t="array" ref="W203">Common_InputFunctions.Utility_DisplayArrayInTable(Fertiliser_SourceData.Fertiliser_Products_Data4(),FertiliserProducts[[#Headers],[Company]], 91)</f>
        <v/>
      </c>
      <c r="X203" s="177" t="str" cm="1">
        <f t="array" ref="X203">Common_InputFunctions.Utility_DisplayArrayInTable(Fertiliser_SourceData.Fertiliser_Products_Data4(),FertiliserProducts[[#Headers],[Company]], 91)</f>
        <v/>
      </c>
      <c r="Y203" s="177" t="str" cm="1">
        <f t="array" ref="Y203">Common_InputFunctions.Utility_DisplayArrayInTable(Fertiliser_SourceData.Fertiliser_Products_Data4(),FertiliserProducts[[#Headers],[Company]], 91)</f>
        <v/>
      </c>
      <c r="Z203" s="177" t="str" cm="1">
        <f t="array" ref="Z203">Common_InputFunctions.Utility_DisplayArrayInTable(Fertiliser_SourceData.Fertiliser_Products_Data4(),FertiliserProducts[[#Headers],[Company]], 91)</f>
        <v/>
      </c>
      <c r="AA203" s="177" t="str" cm="1">
        <f t="array" ref="AA203">Common_InputFunctions.Utility_DisplayArrayInTable(Fertiliser_SourceData.Fertiliser_Products_Data4(),FertiliserProducts[[#Headers],[Company]], 91)</f>
        <v/>
      </c>
      <c r="AB203" s="177" t="str" cm="1">
        <f t="array" ref="AB203">Common_InputFunctions.Utility_DisplayArrayInTable(Fertiliser_SourceData.Fertiliser_Products_Data4(),FertiliserProducts[[#Headers],[Company]], 91)</f>
        <v/>
      </c>
      <c r="AC203" s="177" t="str" cm="1">
        <f t="array" ref="AC203">Common_InputFunctions.Utility_DisplayArrayInTable(Fertiliser_SourceData.Fertiliser_Products_Data4(),FertiliserProducts[[#Headers],[Company]], 91)</f>
        <v/>
      </c>
      <c r="AD203" s="177" t="str" cm="1">
        <f t="array" ref="AD203">Common_InputFunctions.Utility_DisplayArrayInTable(Fertiliser_SourceData.Fertiliser_Products_Data4(),FertiliserProducts[[#Headers],[Company]], 91)</f>
        <v/>
      </c>
      <c r="AE203" s="177" t="str" cm="1">
        <f t="array" ref="AE203">Common_InputFunctions.Utility_DisplayArrayInTable(Fertiliser_SourceData.Fertiliser_Products_Data4(),FertiliserProducts[[#Headers],[Company]], 91)</f>
        <v/>
      </c>
      <c r="AF203" s="177" t="str" cm="1">
        <f t="array" ref="AF203">Common_InputFunctions.Utility_DisplayArrayInTable(Fertiliser_SourceData.Fertiliser_Products_Data4(),FertiliserProducts[[#Headers],[Company]], 91)</f>
        <v/>
      </c>
      <c r="AG203" s="177" t="str" cm="1">
        <f t="array" ref="AG203">Common_InputFunctions.Utility_DisplayArrayInTable(Fertiliser_SourceData.Fertiliser_Products_Data4(),FertiliserProducts[[#Headers],[Company]], 91)</f>
        <v/>
      </c>
      <c r="AH203" s="177" t="str" cm="1">
        <f t="array" ref="AH203">Common_InputFunctions.Utility_DisplayArrayInTable(Fertiliser_SourceData.Fertiliser_Products_Data4(),FertiliserProducts[[#Headers],[Company]], 91)</f>
        <v/>
      </c>
    </row>
    <row r="204" spans="4:34" x14ac:dyDescent="0.25" ht="20" customHeight="1">
      <c r="D204" s="177" t="str" cm="1">
        <f t="array" ref="D204">Common_InputFunctions.Utility_DisplayArrayInTable(Fertiliser_SourceData.Fertiliser_Products_Data4(),FertiliserProducts[[#Headers],[Company]], 91)</f>
        <v>Wengfu Australia</v>
      </c>
      <c r="E204" s="177" t="str" cm="1">
        <f t="array" ref="E204">Common_InputFunctions.Utility_DisplayArrayInTable(Fertiliser_SourceData.Fertiliser_Products_Data4(),FertiliserProducts[[#Headers],[Company]], 91)</f>
        <v>Wengfu 15-17-0-15 DAP SuStain</v>
      </c>
      <c r="F204" s="177" t="str" cm="1">
        <f t="array" ref="F204">Common_InputFunctions.Utility_DisplayArrayInTable(Fertiliser_SourceData.Fertiliser_Products_Data4(),FertiliserProducts[[#Headers],[Company]], 91)</f>
        <v>kg</v>
      </c>
      <c r="G204" s="177" cm="1">
        <f t="array" ref="G204">Common_InputFunctions.Utility_DisplayArrayInTable(Fertiliser_SourceData.Fertiliser_Products_Data4(),FertiliserProducts[[#Headers],[Company]], 91)</f>
        <v>1</v>
      </c>
      <c r="H204" s="177" t="str" cm="1">
        <f t="array" ref="H204">Common_InputFunctions.Utility_DisplayArrayInTable(Fertiliser_SourceData.Fertiliser_Products_Data4(),FertiliserProducts[[#Headers],[Company]], 91)</f>
        <v/>
      </c>
      <c r="I204" s="177" t="str" cm="1">
        <f t="array" ref="I204">Common_InputFunctions.Utility_DisplayArrayInTable(Fertiliser_SourceData.Fertiliser_Products_Data4(),FertiliserProducts[[#Headers],[Company]], 91)</f>
        <v/>
      </c>
      <c r="J204" s="177" t="str" cm="1">
        <f t="array" ref="J204">Common_InputFunctions.Utility_DisplayArrayInTable(Fertiliser_SourceData.Fertiliser_Products_Data4(),FertiliserProducts[[#Headers],[Company]], 91)</f>
        <v/>
      </c>
      <c r="K204" s="177" cm="1">
        <f t="array" ref="K204">Common_InputFunctions.Utility_DisplayArrayInTable(Fertiliser_SourceData.Fertiliser_Products_Data4(),FertiliserProducts[[#Headers],[Company]], 91)</f>
        <v>15.2</v>
      </c>
      <c r="L204" s="177" cm="1">
        <f t="array" ref="L204">Common_InputFunctions.Utility_DisplayArrayInTable(Fertiliser_SourceData.Fertiliser_Products_Data4(),FertiliserProducts[[#Headers],[Company]], 91)</f>
        <v>16.899999999999999</v>
      </c>
      <c r="M204" s="177" cm="1">
        <f t="array" ref="M204">Common_InputFunctions.Utility_DisplayArrayInTable(Fertiliser_SourceData.Fertiliser_Products_Data4(),FertiliserProducts[[#Headers],[Company]], 91)</f>
        <v>0</v>
      </c>
      <c r="N204" s="177" cm="1">
        <f t="array" ref="N204">Common_InputFunctions.Utility_DisplayArrayInTable(Fertiliser_SourceData.Fertiliser_Products_Data4(),FertiliserProducts[[#Headers],[Company]], 91)</f>
        <v>15.2</v>
      </c>
      <c r="O204" s="177" t="str" cm="1">
        <f t="array" ref="O204">Common_InputFunctions.Utility_DisplayArrayInTable(Fertiliser_SourceData.Fertiliser_Products_Data4(),FertiliserProducts[[#Headers],[Company]], 91)</f>
        <v>Nitrogen - Generic</v>
      </c>
      <c r="P204" s="177" cm="1">
        <f t="array" ref="P204">Common_InputFunctions.Utility_DisplayArrayInTable(Fertiliser_SourceData.Fertiliser_Products_Data4(),FertiliserProducts[[#Headers],[Company]], 91)</f>
        <v>0.152</v>
      </c>
      <c r="Q204" s="177" t="str" cm="1">
        <f t="array" ref="Q204">Common_InputFunctions.Utility_DisplayArrayInTable(Fertiliser_SourceData.Fertiliser_Products_Data4(),FertiliserProducts[[#Headers],[Company]], 91)</f>
        <v>Phosphorus - Generic</v>
      </c>
      <c r="R204" s="177" cm="1">
        <f t="array" ref="R204">Common_InputFunctions.Utility_DisplayArrayInTable(Fertiliser_SourceData.Fertiliser_Products_Data4(),FertiliserProducts[[#Headers],[Company]], 91)</f>
        <v>0.16900000000000001</v>
      </c>
      <c r="S204" s="177" t="str" cm="1">
        <f t="array" ref="S204">Common_InputFunctions.Utility_DisplayArrayInTable(Fertiliser_SourceData.Fertiliser_Products_Data4(),FertiliserProducts[[#Headers],[Company]], 91)</f>
        <v>Sulfur - Generic</v>
      </c>
      <c r="T204" s="177" cm="1">
        <f t="array" ref="T204">Common_InputFunctions.Utility_DisplayArrayInTable(Fertiliser_SourceData.Fertiliser_Products_Data4(),FertiliserProducts[[#Headers],[Company]], 91)</f>
        <v>0.152</v>
      </c>
      <c r="U204" s="177" t="str" cm="1">
        <f t="array" ref="U204">Common_InputFunctions.Utility_DisplayArrayInTable(Fertiliser_SourceData.Fertiliser_Products_Data4(),FertiliserProducts[[#Headers],[Company]], 91)</f>
        <v/>
      </c>
      <c r="V204" s="177" t="str" cm="1">
        <f t="array" ref="V204">Common_InputFunctions.Utility_DisplayArrayInTable(Fertiliser_SourceData.Fertiliser_Products_Data4(),FertiliserProducts[[#Headers],[Company]], 91)</f>
        <v/>
      </c>
      <c r="W204" s="177" t="str" cm="1">
        <f t="array" ref="W204">Common_InputFunctions.Utility_DisplayArrayInTable(Fertiliser_SourceData.Fertiliser_Products_Data4(),FertiliserProducts[[#Headers],[Company]], 91)</f>
        <v/>
      </c>
      <c r="X204" s="177" t="str" cm="1">
        <f t="array" ref="X204">Common_InputFunctions.Utility_DisplayArrayInTable(Fertiliser_SourceData.Fertiliser_Products_Data4(),FertiliserProducts[[#Headers],[Company]], 91)</f>
        <v/>
      </c>
      <c r="Y204" s="177" t="str" cm="1">
        <f t="array" ref="Y204">Common_InputFunctions.Utility_DisplayArrayInTable(Fertiliser_SourceData.Fertiliser_Products_Data4(),FertiliserProducts[[#Headers],[Company]], 91)</f>
        <v/>
      </c>
      <c r="Z204" s="177" t="str" cm="1">
        <f t="array" ref="Z204">Common_InputFunctions.Utility_DisplayArrayInTable(Fertiliser_SourceData.Fertiliser_Products_Data4(),FertiliserProducts[[#Headers],[Company]], 91)</f>
        <v/>
      </c>
      <c r="AA204" s="177" t="str" cm="1">
        <f t="array" ref="AA204">Common_InputFunctions.Utility_DisplayArrayInTable(Fertiliser_SourceData.Fertiliser_Products_Data4(),FertiliserProducts[[#Headers],[Company]], 91)</f>
        <v/>
      </c>
      <c r="AB204" s="177" t="str" cm="1">
        <f t="array" ref="AB204">Common_InputFunctions.Utility_DisplayArrayInTable(Fertiliser_SourceData.Fertiliser_Products_Data4(),FertiliserProducts[[#Headers],[Company]], 91)</f>
        <v/>
      </c>
      <c r="AC204" s="177" t="str" cm="1">
        <f t="array" ref="AC204">Common_InputFunctions.Utility_DisplayArrayInTable(Fertiliser_SourceData.Fertiliser_Products_Data4(),FertiliserProducts[[#Headers],[Company]], 91)</f>
        <v/>
      </c>
      <c r="AD204" s="177" t="str" cm="1">
        <f t="array" ref="AD204">Common_InputFunctions.Utility_DisplayArrayInTable(Fertiliser_SourceData.Fertiliser_Products_Data4(),FertiliserProducts[[#Headers],[Company]], 91)</f>
        <v/>
      </c>
      <c r="AE204" s="177" t="str" cm="1">
        <f t="array" ref="AE204">Common_InputFunctions.Utility_DisplayArrayInTable(Fertiliser_SourceData.Fertiliser_Products_Data4(),FertiliserProducts[[#Headers],[Company]], 91)</f>
        <v/>
      </c>
      <c r="AF204" s="177" t="str" cm="1">
        <f t="array" ref="AF204">Common_InputFunctions.Utility_DisplayArrayInTable(Fertiliser_SourceData.Fertiliser_Products_Data4(),FertiliserProducts[[#Headers],[Company]], 91)</f>
        <v/>
      </c>
      <c r="AG204" s="177" t="str" cm="1">
        <f t="array" ref="AG204">Common_InputFunctions.Utility_DisplayArrayInTable(Fertiliser_SourceData.Fertiliser_Products_Data4(),FertiliserProducts[[#Headers],[Company]], 91)</f>
        <v/>
      </c>
      <c r="AH204" s="177" t="str" cm="1">
        <f t="array" ref="AH204">Common_InputFunctions.Utility_DisplayArrayInTable(Fertiliser_SourceData.Fertiliser_Products_Data4(),FertiliserProducts[[#Headers],[Company]], 91)</f>
        <v/>
      </c>
    </row>
    <row r="205" spans="4:34" x14ac:dyDescent="0.25" ht="20" customHeight="1">
      <c r="D205" s="177" t="str" cm="1">
        <f t="array" ref="D205">Common_InputFunctions.Utility_DisplayArrayInTable(Fertiliser_SourceData.Fertiliser_Products_Data4(),FertiliserProducts[[#Headers],[Company]], 91)</f>
        <v>Wengfu Australia</v>
      </c>
      <c r="E205" s="177" t="str" cm="1">
        <f t="array" ref="E205">Common_InputFunctions.Utility_DisplayArrayInTable(Fertiliser_SourceData.Fertiliser_Products_Data4(),FertiliserProducts[[#Headers],[Company]], 91)</f>
        <v>Wengfu 16-18-0-10 DAP SuStain</v>
      </c>
      <c r="F205" s="177" t="str" cm="1">
        <f t="array" ref="F205">Common_InputFunctions.Utility_DisplayArrayInTable(Fertiliser_SourceData.Fertiliser_Products_Data4(),FertiliserProducts[[#Headers],[Company]], 91)</f>
        <v>kg</v>
      </c>
      <c r="G205" s="177" cm="1">
        <f t="array" ref="G205">Common_InputFunctions.Utility_DisplayArrayInTable(Fertiliser_SourceData.Fertiliser_Products_Data4(),FertiliserProducts[[#Headers],[Company]], 91)</f>
        <v>1</v>
      </c>
      <c r="H205" s="177" t="str" cm="1">
        <f t="array" ref="H205">Common_InputFunctions.Utility_DisplayArrayInTable(Fertiliser_SourceData.Fertiliser_Products_Data4(),FertiliserProducts[[#Headers],[Company]], 91)</f>
        <v/>
      </c>
      <c r="I205" s="177" t="str" cm="1">
        <f t="array" ref="I205">Common_InputFunctions.Utility_DisplayArrayInTable(Fertiliser_SourceData.Fertiliser_Products_Data4(),FertiliserProducts[[#Headers],[Company]], 91)</f>
        <v/>
      </c>
      <c r="J205" s="177" t="str" cm="1">
        <f t="array" ref="J205">Common_InputFunctions.Utility_DisplayArrayInTable(Fertiliser_SourceData.Fertiliser_Products_Data4(),FertiliserProducts[[#Headers],[Company]], 91)</f>
        <v/>
      </c>
      <c r="K205" s="177" cm="1">
        <f t="array" ref="K205">Common_InputFunctions.Utility_DisplayArrayInTable(Fertiliser_SourceData.Fertiliser_Products_Data4(),FertiliserProducts[[#Headers],[Company]], 91)</f>
        <v>16.2</v>
      </c>
      <c r="L205" s="177" cm="1">
        <f t="array" ref="L205">Common_InputFunctions.Utility_DisplayArrayInTable(Fertiliser_SourceData.Fertiliser_Products_Data4(),FertiliserProducts[[#Headers],[Company]], 91)</f>
        <v>18</v>
      </c>
      <c r="M205" s="177" cm="1">
        <f t="array" ref="M205">Common_InputFunctions.Utility_DisplayArrayInTable(Fertiliser_SourceData.Fertiliser_Products_Data4(),FertiliserProducts[[#Headers],[Company]], 91)</f>
        <v>0</v>
      </c>
      <c r="N205" s="177" cm="1">
        <f t="array" ref="N205">Common_InputFunctions.Utility_DisplayArrayInTable(Fertiliser_SourceData.Fertiliser_Products_Data4(),FertiliserProducts[[#Headers],[Company]], 91)</f>
        <v>10.4</v>
      </c>
      <c r="O205" s="177" t="str" cm="1">
        <f t="array" ref="O205">Common_InputFunctions.Utility_DisplayArrayInTable(Fertiliser_SourceData.Fertiliser_Products_Data4(),FertiliserProducts[[#Headers],[Company]], 91)</f>
        <v>Nitrogen - Generic</v>
      </c>
      <c r="P205" s="177" cm="1">
        <f t="array" ref="P205">Common_InputFunctions.Utility_DisplayArrayInTable(Fertiliser_SourceData.Fertiliser_Products_Data4(),FertiliserProducts[[#Headers],[Company]], 91)</f>
        <v>0.16200000000000001</v>
      </c>
      <c r="Q205" s="177" t="str" cm="1">
        <f t="array" ref="Q205">Common_InputFunctions.Utility_DisplayArrayInTable(Fertiliser_SourceData.Fertiliser_Products_Data4(),FertiliserProducts[[#Headers],[Company]], 91)</f>
        <v>Phosphorus - Generic</v>
      </c>
      <c r="R205" s="177" cm="1">
        <f t="array" ref="R205">Common_InputFunctions.Utility_DisplayArrayInTable(Fertiliser_SourceData.Fertiliser_Products_Data4(),FertiliserProducts[[#Headers],[Company]], 91)</f>
        <v>0.18</v>
      </c>
      <c r="S205" s="177" t="str" cm="1">
        <f t="array" ref="S205">Common_InputFunctions.Utility_DisplayArrayInTable(Fertiliser_SourceData.Fertiliser_Products_Data4(),FertiliserProducts[[#Headers],[Company]], 91)</f>
        <v>Sulfur - Generic</v>
      </c>
      <c r="T205" s="177" cm="1">
        <f t="array" ref="T205">Common_InputFunctions.Utility_DisplayArrayInTable(Fertiliser_SourceData.Fertiliser_Products_Data4(),FertiliserProducts[[#Headers],[Company]], 91)</f>
        <v>0.104</v>
      </c>
      <c r="U205" s="177" t="str" cm="1">
        <f t="array" ref="U205">Common_InputFunctions.Utility_DisplayArrayInTable(Fertiliser_SourceData.Fertiliser_Products_Data4(),FertiliserProducts[[#Headers],[Company]], 91)</f>
        <v/>
      </c>
      <c r="V205" s="177" t="str" cm="1">
        <f t="array" ref="V205">Common_InputFunctions.Utility_DisplayArrayInTable(Fertiliser_SourceData.Fertiliser_Products_Data4(),FertiliserProducts[[#Headers],[Company]], 91)</f>
        <v/>
      </c>
      <c r="W205" s="177" t="str" cm="1">
        <f t="array" ref="W205">Common_InputFunctions.Utility_DisplayArrayInTable(Fertiliser_SourceData.Fertiliser_Products_Data4(),FertiliserProducts[[#Headers],[Company]], 91)</f>
        <v/>
      </c>
      <c r="X205" s="177" t="str" cm="1">
        <f t="array" ref="X205">Common_InputFunctions.Utility_DisplayArrayInTable(Fertiliser_SourceData.Fertiliser_Products_Data4(),FertiliserProducts[[#Headers],[Company]], 91)</f>
        <v/>
      </c>
      <c r="Y205" s="177" t="str" cm="1">
        <f t="array" ref="Y205">Common_InputFunctions.Utility_DisplayArrayInTable(Fertiliser_SourceData.Fertiliser_Products_Data4(),FertiliserProducts[[#Headers],[Company]], 91)</f>
        <v/>
      </c>
      <c r="Z205" s="177" t="str" cm="1">
        <f t="array" ref="Z205">Common_InputFunctions.Utility_DisplayArrayInTable(Fertiliser_SourceData.Fertiliser_Products_Data4(),FertiliserProducts[[#Headers],[Company]], 91)</f>
        <v/>
      </c>
      <c r="AA205" s="177" t="str" cm="1">
        <f t="array" ref="AA205">Common_InputFunctions.Utility_DisplayArrayInTable(Fertiliser_SourceData.Fertiliser_Products_Data4(),FertiliserProducts[[#Headers],[Company]], 91)</f>
        <v/>
      </c>
      <c r="AB205" s="177" t="str" cm="1">
        <f t="array" ref="AB205">Common_InputFunctions.Utility_DisplayArrayInTable(Fertiliser_SourceData.Fertiliser_Products_Data4(),FertiliserProducts[[#Headers],[Company]], 91)</f>
        <v/>
      </c>
      <c r="AC205" s="177" t="str" cm="1">
        <f t="array" ref="AC205">Common_InputFunctions.Utility_DisplayArrayInTable(Fertiliser_SourceData.Fertiliser_Products_Data4(),FertiliserProducts[[#Headers],[Company]], 91)</f>
        <v/>
      </c>
      <c r="AD205" s="177" t="str" cm="1">
        <f t="array" ref="AD205">Common_InputFunctions.Utility_DisplayArrayInTable(Fertiliser_SourceData.Fertiliser_Products_Data4(),FertiliserProducts[[#Headers],[Company]], 91)</f>
        <v/>
      </c>
      <c r="AE205" s="177" t="str" cm="1">
        <f t="array" ref="AE205">Common_InputFunctions.Utility_DisplayArrayInTable(Fertiliser_SourceData.Fertiliser_Products_Data4(),FertiliserProducts[[#Headers],[Company]], 91)</f>
        <v/>
      </c>
      <c r="AF205" s="177" t="str" cm="1">
        <f t="array" ref="AF205">Common_InputFunctions.Utility_DisplayArrayInTable(Fertiliser_SourceData.Fertiliser_Products_Data4(),FertiliserProducts[[#Headers],[Company]], 91)</f>
        <v/>
      </c>
      <c r="AG205" s="177" t="str" cm="1">
        <f t="array" ref="AG205">Common_InputFunctions.Utility_DisplayArrayInTable(Fertiliser_SourceData.Fertiliser_Products_Data4(),FertiliserProducts[[#Headers],[Company]], 91)</f>
        <v/>
      </c>
      <c r="AH205" s="177" t="str" cm="1">
        <f t="array" ref="AH205">Common_InputFunctions.Utility_DisplayArrayInTable(Fertiliser_SourceData.Fertiliser_Products_Data4(),FertiliserProducts[[#Headers],[Company]], 91)</f>
        <v/>
      </c>
    </row>
    <row r="206" spans="4:34" x14ac:dyDescent="0.25" ht="20" customHeight="1">
      <c r="D206" s="177" t="str" cm="1">
        <f t="array" ref="D206">Common_InputFunctions.Utility_DisplayArrayInTable(Fertiliser_SourceData.Fertiliser_Products_Data4(),FertiliserProducts[[#Headers],[Company]], 91)</f>
        <v>Wengfu Australia</v>
      </c>
      <c r="E206" s="177" t="str" cm="1">
        <f t="array" ref="E206">Common_InputFunctions.Utility_DisplayArrayInTable(Fertiliser_SourceData.Fertiliser_Products_Data4(),FertiliserProducts[[#Headers],[Company]], 91)</f>
        <v>Wengfu 5-15-0-6 Fast Start Legume</v>
      </c>
      <c r="F206" s="177" t="str" cm="1">
        <f t="array" ref="F206">Common_InputFunctions.Utility_DisplayArrayInTable(Fertiliser_SourceData.Fertiliser_Products_Data4(),FertiliserProducts[[#Headers],[Company]], 91)</f>
        <v>kg</v>
      </c>
      <c r="G206" s="177" cm="1">
        <f t="array" ref="G206">Common_InputFunctions.Utility_DisplayArrayInTable(Fertiliser_SourceData.Fertiliser_Products_Data4(),FertiliserProducts[[#Headers],[Company]], 91)</f>
        <v>1</v>
      </c>
      <c r="H206" s="177" t="str" cm="1">
        <f t="array" ref="H206">Common_InputFunctions.Utility_DisplayArrayInTable(Fertiliser_SourceData.Fertiliser_Products_Data4(),FertiliserProducts[[#Headers],[Company]], 91)</f>
        <v/>
      </c>
      <c r="I206" s="177" t="str" cm="1">
        <f t="array" ref="I206">Common_InputFunctions.Utility_DisplayArrayInTable(Fertiliser_SourceData.Fertiliser_Products_Data4(),FertiliserProducts[[#Headers],[Company]], 91)</f>
        <v/>
      </c>
      <c r="J206" s="177" t="str" cm="1">
        <f t="array" ref="J206">Common_InputFunctions.Utility_DisplayArrayInTable(Fertiliser_SourceData.Fertiliser_Products_Data4(),FertiliserProducts[[#Headers],[Company]], 91)</f>
        <v/>
      </c>
      <c r="K206" s="177" cm="1">
        <f t="array" ref="K206">Common_InputFunctions.Utility_DisplayArrayInTable(Fertiliser_SourceData.Fertiliser_Products_Data4(),FertiliserProducts[[#Headers],[Company]], 91)</f>
        <v>5</v>
      </c>
      <c r="L206" s="177" cm="1">
        <f t="array" ref="L206">Common_InputFunctions.Utility_DisplayArrayInTable(Fertiliser_SourceData.Fertiliser_Products_Data4(),FertiliserProducts[[#Headers],[Company]], 91)</f>
        <v>15.4</v>
      </c>
      <c r="M206" s="177" cm="1">
        <f t="array" ref="M206">Common_InputFunctions.Utility_DisplayArrayInTable(Fertiliser_SourceData.Fertiliser_Products_Data4(),FertiliserProducts[[#Headers],[Company]], 91)</f>
        <v>0</v>
      </c>
      <c r="N206" s="177" cm="1">
        <f t="array" ref="N206">Common_InputFunctions.Utility_DisplayArrayInTable(Fertiliser_SourceData.Fertiliser_Products_Data4(),FertiliserProducts[[#Headers],[Company]], 91)</f>
        <v>6.3</v>
      </c>
      <c r="O206" s="177" t="str" cm="1">
        <f t="array" ref="O206">Common_InputFunctions.Utility_DisplayArrayInTable(Fertiliser_SourceData.Fertiliser_Products_Data4(),FertiliserProducts[[#Headers],[Company]], 91)</f>
        <v>Nitrogen - Generic</v>
      </c>
      <c r="P206" s="177" cm="1">
        <f t="array" ref="P206">Common_InputFunctions.Utility_DisplayArrayInTable(Fertiliser_SourceData.Fertiliser_Products_Data4(),FertiliserProducts[[#Headers],[Company]], 91)</f>
        <v>0.05</v>
      </c>
      <c r="Q206" s="177" t="str" cm="1">
        <f t="array" ref="Q206">Common_InputFunctions.Utility_DisplayArrayInTable(Fertiliser_SourceData.Fertiliser_Products_Data4(),FertiliserProducts[[#Headers],[Company]], 91)</f>
        <v>Phosphorus - Generic</v>
      </c>
      <c r="R206" s="177" cm="1">
        <f t="array" ref="R206">Common_InputFunctions.Utility_DisplayArrayInTable(Fertiliser_SourceData.Fertiliser_Products_Data4(),FertiliserProducts[[#Headers],[Company]], 91)</f>
        <v>0.154</v>
      </c>
      <c r="S206" s="177" t="str" cm="1">
        <f t="array" ref="S206">Common_InputFunctions.Utility_DisplayArrayInTable(Fertiliser_SourceData.Fertiliser_Products_Data4(),FertiliserProducts[[#Headers],[Company]], 91)</f>
        <v>Sulfur - Generic</v>
      </c>
      <c r="T206" s="177" cm="1">
        <f t="array" ref="T206">Common_InputFunctions.Utility_DisplayArrayInTable(Fertiliser_SourceData.Fertiliser_Products_Data4(),FertiliserProducts[[#Headers],[Company]], 91)</f>
        <v>6.3E-2</v>
      </c>
      <c r="U206" s="177" t="str" cm="1">
        <f t="array" ref="U206">Common_InputFunctions.Utility_DisplayArrayInTable(Fertiliser_SourceData.Fertiliser_Products_Data4(),FertiliserProducts[[#Headers],[Company]], 91)</f>
        <v/>
      </c>
      <c r="V206" s="177" t="str" cm="1">
        <f t="array" ref="V206">Common_InputFunctions.Utility_DisplayArrayInTable(Fertiliser_SourceData.Fertiliser_Products_Data4(),FertiliserProducts[[#Headers],[Company]], 91)</f>
        <v/>
      </c>
      <c r="W206" s="177" t="str" cm="1">
        <f t="array" ref="W206">Common_InputFunctions.Utility_DisplayArrayInTable(Fertiliser_SourceData.Fertiliser_Products_Data4(),FertiliserProducts[[#Headers],[Company]], 91)</f>
        <v/>
      </c>
      <c r="X206" s="177" t="str" cm="1">
        <f t="array" ref="X206">Common_InputFunctions.Utility_DisplayArrayInTable(Fertiliser_SourceData.Fertiliser_Products_Data4(),FertiliserProducts[[#Headers],[Company]], 91)</f>
        <v/>
      </c>
      <c r="Y206" s="177" t="str" cm="1">
        <f t="array" ref="Y206">Common_InputFunctions.Utility_DisplayArrayInTable(Fertiliser_SourceData.Fertiliser_Products_Data4(),FertiliserProducts[[#Headers],[Company]], 91)</f>
        <v/>
      </c>
      <c r="Z206" s="177" t="str" cm="1">
        <f t="array" ref="Z206">Common_InputFunctions.Utility_DisplayArrayInTable(Fertiliser_SourceData.Fertiliser_Products_Data4(),FertiliserProducts[[#Headers],[Company]], 91)</f>
        <v/>
      </c>
      <c r="AA206" s="177" t="str" cm="1">
        <f t="array" ref="AA206">Common_InputFunctions.Utility_DisplayArrayInTable(Fertiliser_SourceData.Fertiliser_Products_Data4(),FertiliserProducts[[#Headers],[Company]], 91)</f>
        <v/>
      </c>
      <c r="AB206" s="177" t="str" cm="1">
        <f t="array" ref="AB206">Common_InputFunctions.Utility_DisplayArrayInTable(Fertiliser_SourceData.Fertiliser_Products_Data4(),FertiliserProducts[[#Headers],[Company]], 91)</f>
        <v/>
      </c>
      <c r="AC206" s="177" t="str" cm="1">
        <f t="array" ref="AC206">Common_InputFunctions.Utility_DisplayArrayInTable(Fertiliser_SourceData.Fertiliser_Products_Data4(),FertiliserProducts[[#Headers],[Company]], 91)</f>
        <v/>
      </c>
      <c r="AD206" s="177" t="str" cm="1">
        <f t="array" ref="AD206">Common_InputFunctions.Utility_DisplayArrayInTable(Fertiliser_SourceData.Fertiliser_Products_Data4(),FertiliserProducts[[#Headers],[Company]], 91)</f>
        <v/>
      </c>
      <c r="AE206" s="177" t="str" cm="1">
        <f t="array" ref="AE206">Common_InputFunctions.Utility_DisplayArrayInTable(Fertiliser_SourceData.Fertiliser_Products_Data4(),FertiliserProducts[[#Headers],[Company]], 91)</f>
        <v/>
      </c>
      <c r="AF206" s="177" t="str" cm="1">
        <f t="array" ref="AF206">Common_InputFunctions.Utility_DisplayArrayInTable(Fertiliser_SourceData.Fertiliser_Products_Data4(),FertiliserProducts[[#Headers],[Company]], 91)</f>
        <v/>
      </c>
      <c r="AG206" s="177" t="str" cm="1">
        <f t="array" ref="AG206">Common_InputFunctions.Utility_DisplayArrayInTable(Fertiliser_SourceData.Fertiliser_Products_Data4(),FertiliserProducts[[#Headers],[Company]], 91)</f>
        <v/>
      </c>
      <c r="AH206" s="177" t="str" cm="1">
        <f t="array" ref="AH206">Common_InputFunctions.Utility_DisplayArrayInTable(Fertiliser_SourceData.Fertiliser_Products_Data4(),FertiliserProducts[[#Headers],[Company]], 91)</f>
        <v/>
      </c>
    </row>
    <row r="207" spans="4:34" x14ac:dyDescent="0.25" ht="20" customHeight="1">
      <c r="D207" s="177" t="str" cm="1">
        <f t="array" ref="D207">Common_InputFunctions.Utility_DisplayArrayInTable(Fertiliser_SourceData.Fertiliser_Products_Data4(),FertiliserProducts[[#Headers],[Company]], 91)</f>
        <v>Wengfu Australia</v>
      </c>
      <c r="E207" s="177" t="str" cm="1">
        <f t="array" ref="E207">Common_InputFunctions.Utility_DisplayArrayInTable(Fertiliser_SourceData.Fertiliser_Products_Data4(),FertiliserProducts[[#Headers],[Company]], 91)</f>
        <v>Wengfu 9-20-0-10 PrimeZinc</v>
      </c>
      <c r="F207" s="177" t="str" cm="1">
        <f t="array" ref="F207">Common_InputFunctions.Utility_DisplayArrayInTable(Fertiliser_SourceData.Fertiliser_Products_Data4(),FertiliserProducts[[#Headers],[Company]], 91)</f>
        <v>kg</v>
      </c>
      <c r="G207" s="177" cm="1">
        <f t="array" ref="G207">Common_InputFunctions.Utility_DisplayArrayInTable(Fertiliser_SourceData.Fertiliser_Products_Data4(),FertiliserProducts[[#Headers],[Company]], 91)</f>
        <v>1</v>
      </c>
      <c r="H207" s="177" t="str" cm="1">
        <f t="array" ref="H207">Common_InputFunctions.Utility_DisplayArrayInTable(Fertiliser_SourceData.Fertiliser_Products_Data4(),FertiliserProducts[[#Headers],[Company]], 91)</f>
        <v/>
      </c>
      <c r="I207" s="177" t="str" cm="1">
        <f t="array" ref="I207">Common_InputFunctions.Utility_DisplayArrayInTable(Fertiliser_SourceData.Fertiliser_Products_Data4(),FertiliserProducts[[#Headers],[Company]], 91)</f>
        <v/>
      </c>
      <c r="J207" s="177" t="str" cm="1">
        <f t="array" ref="J207">Common_InputFunctions.Utility_DisplayArrayInTable(Fertiliser_SourceData.Fertiliser_Products_Data4(),FertiliserProducts[[#Headers],[Company]], 91)</f>
        <v/>
      </c>
      <c r="K207" s="177" cm="1">
        <f t="array" ref="K207">Common_InputFunctions.Utility_DisplayArrayInTable(Fertiliser_SourceData.Fertiliser_Products_Data4(),FertiliserProducts[[#Headers],[Company]], 91)</f>
        <v>9</v>
      </c>
      <c r="L207" s="177" cm="1">
        <f t="array" ref="L207">Common_InputFunctions.Utility_DisplayArrayInTable(Fertiliser_SourceData.Fertiliser_Products_Data4(),FertiliserProducts[[#Headers],[Company]], 91)</f>
        <v>19.8</v>
      </c>
      <c r="M207" s="177" cm="1">
        <f t="array" ref="M207">Common_InputFunctions.Utility_DisplayArrayInTable(Fertiliser_SourceData.Fertiliser_Products_Data4(),FertiliserProducts[[#Headers],[Company]], 91)</f>
        <v>0</v>
      </c>
      <c r="N207" s="177" cm="1">
        <f t="array" ref="N207">Common_InputFunctions.Utility_DisplayArrayInTable(Fertiliser_SourceData.Fertiliser_Products_Data4(),FertiliserProducts[[#Headers],[Company]], 91)</f>
        <v>10.4</v>
      </c>
      <c r="O207" s="177" t="str" cm="1">
        <f t="array" ref="O207">Common_InputFunctions.Utility_DisplayArrayInTable(Fertiliser_SourceData.Fertiliser_Products_Data4(),FertiliserProducts[[#Headers],[Company]], 91)</f>
        <v>Nitrogen - Generic</v>
      </c>
      <c r="P207" s="177" cm="1">
        <f t="array" ref="P207">Common_InputFunctions.Utility_DisplayArrayInTable(Fertiliser_SourceData.Fertiliser_Products_Data4(),FertiliserProducts[[#Headers],[Company]], 91)</f>
        <v>0.09</v>
      </c>
      <c r="Q207" s="177" t="str" cm="1">
        <f t="array" ref="Q207">Common_InputFunctions.Utility_DisplayArrayInTable(Fertiliser_SourceData.Fertiliser_Products_Data4(),FertiliserProducts[[#Headers],[Company]], 91)</f>
        <v>Phosphorus - Generic</v>
      </c>
      <c r="R207" s="177" cm="1">
        <f t="array" ref="R207">Common_InputFunctions.Utility_DisplayArrayInTable(Fertiliser_SourceData.Fertiliser_Products_Data4(),FertiliserProducts[[#Headers],[Company]], 91)</f>
        <v>0.19800000000000001</v>
      </c>
      <c r="S207" s="177" t="str" cm="1">
        <f t="array" ref="S207">Common_InputFunctions.Utility_DisplayArrayInTable(Fertiliser_SourceData.Fertiliser_Products_Data4(),FertiliserProducts[[#Headers],[Company]], 91)</f>
        <v>Sulfur - Generic</v>
      </c>
      <c r="T207" s="177" cm="1">
        <f t="array" ref="T207">Common_InputFunctions.Utility_DisplayArrayInTable(Fertiliser_SourceData.Fertiliser_Products_Data4(),FertiliserProducts[[#Headers],[Company]], 91)</f>
        <v>0.104</v>
      </c>
      <c r="U207" s="177" t="str" cm="1">
        <f t="array" ref="U207">Common_InputFunctions.Utility_DisplayArrayInTable(Fertiliser_SourceData.Fertiliser_Products_Data4(),FertiliserProducts[[#Headers],[Company]], 91)</f>
        <v>Zinc</v>
      </c>
      <c r="V207" s="177" cm="1">
        <f t="array" ref="V207">Common_InputFunctions.Utility_DisplayArrayInTable(Fertiliser_SourceData.Fertiliser_Products_Data4(),FertiliserProducts[[#Headers],[Company]], 91)</f>
        <v>8.9999999999999993E-3</v>
      </c>
      <c r="W207" s="177" t="str" cm="1">
        <f t="array" ref="W207">Common_InputFunctions.Utility_DisplayArrayInTable(Fertiliser_SourceData.Fertiliser_Products_Data4(),FertiliserProducts[[#Headers],[Company]], 91)</f>
        <v/>
      </c>
      <c r="X207" s="177" t="str" cm="1">
        <f t="array" ref="X207">Common_InputFunctions.Utility_DisplayArrayInTable(Fertiliser_SourceData.Fertiliser_Products_Data4(),FertiliserProducts[[#Headers],[Company]], 91)</f>
        <v/>
      </c>
      <c r="Y207" s="177" t="str" cm="1">
        <f t="array" ref="Y207">Common_InputFunctions.Utility_DisplayArrayInTable(Fertiliser_SourceData.Fertiliser_Products_Data4(),FertiliserProducts[[#Headers],[Company]], 91)</f>
        <v/>
      </c>
      <c r="Z207" s="177" t="str" cm="1">
        <f t="array" ref="Z207">Common_InputFunctions.Utility_DisplayArrayInTable(Fertiliser_SourceData.Fertiliser_Products_Data4(),FertiliserProducts[[#Headers],[Company]], 91)</f>
        <v/>
      </c>
      <c r="AA207" s="177" t="str" cm="1">
        <f t="array" ref="AA207">Common_InputFunctions.Utility_DisplayArrayInTable(Fertiliser_SourceData.Fertiliser_Products_Data4(),FertiliserProducts[[#Headers],[Company]], 91)</f>
        <v/>
      </c>
      <c r="AB207" s="177" t="str" cm="1">
        <f t="array" ref="AB207">Common_InputFunctions.Utility_DisplayArrayInTable(Fertiliser_SourceData.Fertiliser_Products_Data4(),FertiliserProducts[[#Headers],[Company]], 91)</f>
        <v/>
      </c>
      <c r="AC207" s="177" t="str" cm="1">
        <f t="array" ref="AC207">Common_InputFunctions.Utility_DisplayArrayInTable(Fertiliser_SourceData.Fertiliser_Products_Data4(),FertiliserProducts[[#Headers],[Company]], 91)</f>
        <v/>
      </c>
      <c r="AD207" s="177" t="str" cm="1">
        <f t="array" ref="AD207">Common_InputFunctions.Utility_DisplayArrayInTable(Fertiliser_SourceData.Fertiliser_Products_Data4(),FertiliserProducts[[#Headers],[Company]], 91)</f>
        <v/>
      </c>
      <c r="AE207" s="177" t="str" cm="1">
        <f t="array" ref="AE207">Common_InputFunctions.Utility_DisplayArrayInTable(Fertiliser_SourceData.Fertiliser_Products_Data4(),FertiliserProducts[[#Headers],[Company]], 91)</f>
        <v/>
      </c>
      <c r="AF207" s="177" t="str" cm="1">
        <f t="array" ref="AF207">Common_InputFunctions.Utility_DisplayArrayInTable(Fertiliser_SourceData.Fertiliser_Products_Data4(),FertiliserProducts[[#Headers],[Company]], 91)</f>
        <v/>
      </c>
      <c r="AG207" s="177" t="str" cm="1">
        <f t="array" ref="AG207">Common_InputFunctions.Utility_DisplayArrayInTable(Fertiliser_SourceData.Fertiliser_Products_Data4(),FertiliserProducts[[#Headers],[Company]], 91)</f>
        <v/>
      </c>
      <c r="AH207" s="177" t="str" cm="1">
        <f t="array" ref="AH207">Common_InputFunctions.Utility_DisplayArrayInTable(Fertiliser_SourceData.Fertiliser_Products_Data4(),FertiliserProducts[[#Headers],[Company]], 91)</f>
        <v/>
      </c>
    </row>
    <row r="208" spans="4:34" x14ac:dyDescent="0.25" ht="20" customHeight="1">
      <c r="D208" s="177" t="str" cm="1">
        <f t="array" ref="D208">Common_InputFunctions.Utility_DisplayArrayInTable(Fertiliser_SourceData.Fertiliser_Products_Data4(),FertiliserProducts[[#Headers],[Company]], 91)</f>
        <v>Wengfu Australia</v>
      </c>
      <c r="E208" s="177" t="str" cm="1">
        <f t="array" ref="E208">Common_InputFunctions.Utility_DisplayArrayInTable(Fertiliser_SourceData.Fertiliser_Products_Data4(),FertiliserProducts[[#Headers],[Company]], 91)</f>
        <v>Wengfu 12-18-0-6 PrimeZinc</v>
      </c>
      <c r="F208" s="177" t="str" cm="1">
        <f t="array" ref="F208">Common_InputFunctions.Utility_DisplayArrayInTable(Fertiliser_SourceData.Fertiliser_Products_Data4(),FertiliserProducts[[#Headers],[Company]], 91)</f>
        <v>kg</v>
      </c>
      <c r="G208" s="177" cm="1">
        <f t="array" ref="G208">Common_InputFunctions.Utility_DisplayArrayInTable(Fertiliser_SourceData.Fertiliser_Products_Data4(),FertiliserProducts[[#Headers],[Company]], 91)</f>
        <v>1</v>
      </c>
      <c r="H208" s="177" t="str" cm="1">
        <f t="array" ref="H208">Common_InputFunctions.Utility_DisplayArrayInTable(Fertiliser_SourceData.Fertiliser_Products_Data4(),FertiliserProducts[[#Headers],[Company]], 91)</f>
        <v/>
      </c>
      <c r="I208" s="177" t="str" cm="1">
        <f t="array" ref="I208">Common_InputFunctions.Utility_DisplayArrayInTable(Fertiliser_SourceData.Fertiliser_Products_Data4(),FertiliserProducts[[#Headers],[Company]], 91)</f>
        <v/>
      </c>
      <c r="J208" s="177" t="str" cm="1">
        <f t="array" ref="J208">Common_InputFunctions.Utility_DisplayArrayInTable(Fertiliser_SourceData.Fertiliser_Products_Data4(),FertiliserProducts[[#Headers],[Company]], 91)</f>
        <v/>
      </c>
      <c r="K208" s="177" cm="1">
        <f t="array" ref="K208">Common_InputFunctions.Utility_DisplayArrayInTable(Fertiliser_SourceData.Fertiliser_Products_Data4(),FertiliserProducts[[#Headers],[Company]], 91)</f>
        <v>11.9</v>
      </c>
      <c r="L208" s="177" cm="1">
        <f t="array" ref="L208">Common_InputFunctions.Utility_DisplayArrayInTable(Fertiliser_SourceData.Fertiliser_Products_Data4(),FertiliserProducts[[#Headers],[Company]], 91)</f>
        <v>17.600000000000001</v>
      </c>
      <c r="M208" s="177" cm="1">
        <f t="array" ref="M208">Common_InputFunctions.Utility_DisplayArrayInTable(Fertiliser_SourceData.Fertiliser_Products_Data4(),FertiliserProducts[[#Headers],[Company]], 91)</f>
        <v>0</v>
      </c>
      <c r="N208" s="177" cm="1">
        <f t="array" ref="N208">Common_InputFunctions.Utility_DisplayArrayInTable(Fertiliser_SourceData.Fertiliser_Products_Data4(),FertiliserProducts[[#Headers],[Company]], 91)</f>
        <v>5.9</v>
      </c>
      <c r="O208" s="177" t="str" cm="1">
        <f t="array" ref="O208">Common_InputFunctions.Utility_DisplayArrayInTable(Fertiliser_SourceData.Fertiliser_Products_Data4(),FertiliserProducts[[#Headers],[Company]], 91)</f>
        <v>Nitrogen - Generic</v>
      </c>
      <c r="P208" s="177" cm="1">
        <f t="array" ref="P208">Common_InputFunctions.Utility_DisplayArrayInTable(Fertiliser_SourceData.Fertiliser_Products_Data4(),FertiliserProducts[[#Headers],[Company]], 91)</f>
        <v>0.11899999999999999</v>
      </c>
      <c r="Q208" s="177" t="str" cm="1">
        <f t="array" ref="Q208">Common_InputFunctions.Utility_DisplayArrayInTable(Fertiliser_SourceData.Fertiliser_Products_Data4(),FertiliserProducts[[#Headers],[Company]], 91)</f>
        <v>Phosphorus - Generic</v>
      </c>
      <c r="R208" s="177" cm="1">
        <f t="array" ref="R208">Common_InputFunctions.Utility_DisplayArrayInTable(Fertiliser_SourceData.Fertiliser_Products_Data4(),FertiliserProducts[[#Headers],[Company]], 91)</f>
        <v>0.17599999999999999</v>
      </c>
      <c r="S208" s="177" t="str" cm="1">
        <f t="array" ref="S208">Common_InputFunctions.Utility_DisplayArrayInTable(Fertiliser_SourceData.Fertiliser_Products_Data4(),FertiliserProducts[[#Headers],[Company]], 91)</f>
        <v>Sulfur - Generic</v>
      </c>
      <c r="T208" s="177" cm="1">
        <f t="array" ref="T208">Common_InputFunctions.Utility_DisplayArrayInTable(Fertiliser_SourceData.Fertiliser_Products_Data4(),FertiliserProducts[[#Headers],[Company]], 91)</f>
        <v>5.8999999999999997E-2</v>
      </c>
      <c r="U208" s="177" t="str" cm="1">
        <f t="array" ref="U208">Common_InputFunctions.Utility_DisplayArrayInTable(Fertiliser_SourceData.Fertiliser_Products_Data4(),FertiliserProducts[[#Headers],[Company]], 91)</f>
        <v>Zinc</v>
      </c>
      <c r="V208" s="177" cm="1">
        <f t="array" ref="V208">Common_InputFunctions.Utility_DisplayArrayInTable(Fertiliser_SourceData.Fertiliser_Products_Data4(),FertiliserProducts[[#Headers],[Company]], 91)</f>
        <v>8.0000000000000002E-3</v>
      </c>
      <c r="W208" s="177" t="str" cm="1">
        <f t="array" ref="W208">Common_InputFunctions.Utility_DisplayArrayInTable(Fertiliser_SourceData.Fertiliser_Products_Data4(),FertiliserProducts[[#Headers],[Company]], 91)</f>
        <v/>
      </c>
      <c r="X208" s="177" t="str" cm="1">
        <f t="array" ref="X208">Common_InputFunctions.Utility_DisplayArrayInTable(Fertiliser_SourceData.Fertiliser_Products_Data4(),FertiliserProducts[[#Headers],[Company]], 91)</f>
        <v/>
      </c>
      <c r="Y208" s="177" t="str" cm="1">
        <f t="array" ref="Y208">Common_InputFunctions.Utility_DisplayArrayInTable(Fertiliser_SourceData.Fertiliser_Products_Data4(),FertiliserProducts[[#Headers],[Company]], 91)</f>
        <v/>
      </c>
      <c r="Z208" s="177" t="str" cm="1">
        <f t="array" ref="Z208">Common_InputFunctions.Utility_DisplayArrayInTable(Fertiliser_SourceData.Fertiliser_Products_Data4(),FertiliserProducts[[#Headers],[Company]], 91)</f>
        <v/>
      </c>
      <c r="AA208" s="177" t="str" cm="1">
        <f t="array" ref="AA208">Common_InputFunctions.Utility_DisplayArrayInTable(Fertiliser_SourceData.Fertiliser_Products_Data4(),FertiliserProducts[[#Headers],[Company]], 91)</f>
        <v/>
      </c>
      <c r="AB208" s="177" t="str" cm="1">
        <f t="array" ref="AB208">Common_InputFunctions.Utility_DisplayArrayInTable(Fertiliser_SourceData.Fertiliser_Products_Data4(),FertiliserProducts[[#Headers],[Company]], 91)</f>
        <v/>
      </c>
      <c r="AC208" s="177" t="str" cm="1">
        <f t="array" ref="AC208">Common_InputFunctions.Utility_DisplayArrayInTable(Fertiliser_SourceData.Fertiliser_Products_Data4(),FertiliserProducts[[#Headers],[Company]], 91)</f>
        <v/>
      </c>
      <c r="AD208" s="177" t="str" cm="1">
        <f t="array" ref="AD208">Common_InputFunctions.Utility_DisplayArrayInTable(Fertiliser_SourceData.Fertiliser_Products_Data4(),FertiliserProducts[[#Headers],[Company]], 91)</f>
        <v/>
      </c>
      <c r="AE208" s="177" t="str" cm="1">
        <f t="array" ref="AE208">Common_InputFunctions.Utility_DisplayArrayInTable(Fertiliser_SourceData.Fertiliser_Products_Data4(),FertiliserProducts[[#Headers],[Company]], 91)</f>
        <v/>
      </c>
      <c r="AF208" s="177" t="str" cm="1">
        <f t="array" ref="AF208">Common_InputFunctions.Utility_DisplayArrayInTable(Fertiliser_SourceData.Fertiliser_Products_Data4(),FertiliserProducts[[#Headers],[Company]], 91)</f>
        <v/>
      </c>
      <c r="AG208" s="177" t="str" cm="1">
        <f t="array" ref="AG208">Common_InputFunctions.Utility_DisplayArrayInTable(Fertiliser_SourceData.Fertiliser_Products_Data4(),FertiliserProducts[[#Headers],[Company]], 91)</f>
        <v/>
      </c>
      <c r="AH208" s="177" t="str" cm="1">
        <f t="array" ref="AH208">Common_InputFunctions.Utility_DisplayArrayInTable(Fertiliser_SourceData.Fertiliser_Products_Data4(),FertiliserProducts[[#Headers],[Company]], 91)</f>
        <v/>
      </c>
    </row>
    <row r="209" spans="4:34" x14ac:dyDescent="0.25" ht="20" customHeight="1">
      <c r="D209" s="177" t="str" cm="1">
        <f t="array" ref="D209">Common_InputFunctions.Utility_DisplayArrayInTable(Fertiliser_SourceData.Fertiliser_Products_Data4(),FertiliserProducts[[#Headers],[Company]], 91)</f>
        <v>Wengfu Australia</v>
      </c>
      <c r="E209" s="177" t="str" cm="1">
        <f t="array" ref="E209">Common_InputFunctions.Utility_DisplayArrayInTable(Fertiliser_SourceData.Fertiliser_Products_Data4(),FertiliserProducts[[#Headers],[Company]], 91)</f>
        <v>Wengfu 14-13-0-11 PrimeZinc</v>
      </c>
      <c r="F209" s="177" t="str" cm="1">
        <f t="array" ref="F209">Common_InputFunctions.Utility_DisplayArrayInTable(Fertiliser_SourceData.Fertiliser_Products_Data4(),FertiliserProducts[[#Headers],[Company]], 91)</f>
        <v>kg</v>
      </c>
      <c r="G209" s="177" cm="1">
        <f t="array" ref="G209">Common_InputFunctions.Utility_DisplayArrayInTable(Fertiliser_SourceData.Fertiliser_Products_Data4(),FertiliserProducts[[#Headers],[Company]], 91)</f>
        <v>1</v>
      </c>
      <c r="H209" s="177" t="str" cm="1">
        <f t="array" ref="H209">Common_InputFunctions.Utility_DisplayArrayInTable(Fertiliser_SourceData.Fertiliser_Products_Data4(),FertiliserProducts[[#Headers],[Company]], 91)</f>
        <v/>
      </c>
      <c r="I209" s="177" t="str" cm="1">
        <f t="array" ref="I209">Common_InputFunctions.Utility_DisplayArrayInTable(Fertiliser_SourceData.Fertiliser_Products_Data4(),FertiliserProducts[[#Headers],[Company]], 91)</f>
        <v/>
      </c>
      <c r="J209" s="177" t="str" cm="1">
        <f t="array" ref="J209">Common_InputFunctions.Utility_DisplayArrayInTable(Fertiliser_SourceData.Fertiliser_Products_Data4(),FertiliserProducts[[#Headers],[Company]], 91)</f>
        <v/>
      </c>
      <c r="K209" s="177" cm="1">
        <f t="array" ref="K209">Common_InputFunctions.Utility_DisplayArrayInTable(Fertiliser_SourceData.Fertiliser_Products_Data4(),FertiliserProducts[[#Headers],[Company]], 91)</f>
        <v>14.1</v>
      </c>
      <c r="L209" s="177" cm="1">
        <f t="array" ref="L209">Common_InputFunctions.Utility_DisplayArrayInTable(Fertiliser_SourceData.Fertiliser_Products_Data4(),FertiliserProducts[[#Headers],[Company]], 91)</f>
        <v>12.8</v>
      </c>
      <c r="M209" s="177" cm="1">
        <f t="array" ref="M209">Common_InputFunctions.Utility_DisplayArrayInTable(Fertiliser_SourceData.Fertiliser_Products_Data4(),FertiliserProducts[[#Headers],[Company]], 91)</f>
        <v>0</v>
      </c>
      <c r="N209" s="177" cm="1">
        <f t="array" ref="N209">Common_InputFunctions.Utility_DisplayArrayInTable(Fertiliser_SourceData.Fertiliser_Products_Data4(),FertiliserProducts[[#Headers],[Company]], 91)</f>
        <v>10.7</v>
      </c>
      <c r="O209" s="177" t="str" cm="1">
        <f t="array" ref="O209">Common_InputFunctions.Utility_DisplayArrayInTable(Fertiliser_SourceData.Fertiliser_Products_Data4(),FertiliserProducts[[#Headers],[Company]], 91)</f>
        <v>Nitrogen - Generic</v>
      </c>
      <c r="P209" s="177" cm="1">
        <f t="array" ref="P209">Common_InputFunctions.Utility_DisplayArrayInTable(Fertiliser_SourceData.Fertiliser_Products_Data4(),FertiliserProducts[[#Headers],[Company]], 91)</f>
        <v>0.14099999999999999</v>
      </c>
      <c r="Q209" s="177" t="str" cm="1">
        <f t="array" ref="Q209">Common_InputFunctions.Utility_DisplayArrayInTable(Fertiliser_SourceData.Fertiliser_Products_Data4(),FertiliserProducts[[#Headers],[Company]], 91)</f>
        <v>Phosphorus - Generic</v>
      </c>
      <c r="R209" s="177" cm="1">
        <f t="array" ref="R209">Common_InputFunctions.Utility_DisplayArrayInTable(Fertiliser_SourceData.Fertiliser_Products_Data4(),FertiliserProducts[[#Headers],[Company]], 91)</f>
        <v>0.128</v>
      </c>
      <c r="S209" s="177" t="str" cm="1">
        <f t="array" ref="S209">Common_InputFunctions.Utility_DisplayArrayInTable(Fertiliser_SourceData.Fertiliser_Products_Data4(),FertiliserProducts[[#Headers],[Company]], 91)</f>
        <v>Sulfur - Generic</v>
      </c>
      <c r="T209" s="177" cm="1">
        <f t="array" ref="T209">Common_InputFunctions.Utility_DisplayArrayInTable(Fertiliser_SourceData.Fertiliser_Products_Data4(),FertiliserProducts[[#Headers],[Company]], 91)</f>
        <v>0.107</v>
      </c>
      <c r="U209" s="177" t="str" cm="1">
        <f t="array" ref="U209">Common_InputFunctions.Utility_DisplayArrayInTable(Fertiliser_SourceData.Fertiliser_Products_Data4(),FertiliserProducts[[#Headers],[Company]], 91)</f>
        <v>Zinc</v>
      </c>
      <c r="V209" s="177" cm="1">
        <f t="array" ref="V209">Common_InputFunctions.Utility_DisplayArrayInTable(Fertiliser_SourceData.Fertiliser_Products_Data4(),FertiliserProducts[[#Headers],[Company]], 91)</f>
        <v>6.0000000000000001E-3</v>
      </c>
      <c r="W209" s="177" t="str" cm="1">
        <f t="array" ref="W209">Common_InputFunctions.Utility_DisplayArrayInTable(Fertiliser_SourceData.Fertiliser_Products_Data4(),FertiliserProducts[[#Headers],[Company]], 91)</f>
        <v/>
      </c>
      <c r="X209" s="177" t="str" cm="1">
        <f t="array" ref="X209">Common_InputFunctions.Utility_DisplayArrayInTable(Fertiliser_SourceData.Fertiliser_Products_Data4(),FertiliserProducts[[#Headers],[Company]], 91)</f>
        <v/>
      </c>
      <c r="Y209" s="177" t="str" cm="1">
        <f t="array" ref="Y209">Common_InputFunctions.Utility_DisplayArrayInTable(Fertiliser_SourceData.Fertiliser_Products_Data4(),FertiliserProducts[[#Headers],[Company]], 91)</f>
        <v/>
      </c>
      <c r="Z209" s="177" t="str" cm="1">
        <f t="array" ref="Z209">Common_InputFunctions.Utility_DisplayArrayInTable(Fertiliser_SourceData.Fertiliser_Products_Data4(),FertiliserProducts[[#Headers],[Company]], 91)</f>
        <v/>
      </c>
      <c r="AA209" s="177" t="str" cm="1">
        <f t="array" ref="AA209">Common_InputFunctions.Utility_DisplayArrayInTable(Fertiliser_SourceData.Fertiliser_Products_Data4(),FertiliserProducts[[#Headers],[Company]], 91)</f>
        <v/>
      </c>
      <c r="AB209" s="177" t="str" cm="1">
        <f t="array" ref="AB209">Common_InputFunctions.Utility_DisplayArrayInTable(Fertiliser_SourceData.Fertiliser_Products_Data4(),FertiliserProducts[[#Headers],[Company]], 91)</f>
        <v/>
      </c>
      <c r="AC209" s="177" t="str" cm="1">
        <f t="array" ref="AC209">Common_InputFunctions.Utility_DisplayArrayInTable(Fertiliser_SourceData.Fertiliser_Products_Data4(),FertiliserProducts[[#Headers],[Company]], 91)</f>
        <v/>
      </c>
      <c r="AD209" s="177" t="str" cm="1">
        <f t="array" ref="AD209">Common_InputFunctions.Utility_DisplayArrayInTable(Fertiliser_SourceData.Fertiliser_Products_Data4(),FertiliserProducts[[#Headers],[Company]], 91)</f>
        <v/>
      </c>
      <c r="AE209" s="177" t="str" cm="1">
        <f t="array" ref="AE209">Common_InputFunctions.Utility_DisplayArrayInTable(Fertiliser_SourceData.Fertiliser_Products_Data4(),FertiliserProducts[[#Headers],[Company]], 91)</f>
        <v/>
      </c>
      <c r="AF209" s="177" t="str" cm="1">
        <f t="array" ref="AF209">Common_InputFunctions.Utility_DisplayArrayInTable(Fertiliser_SourceData.Fertiliser_Products_Data4(),FertiliserProducts[[#Headers],[Company]], 91)</f>
        <v/>
      </c>
      <c r="AG209" s="177" t="str" cm="1">
        <f t="array" ref="AG209">Common_InputFunctions.Utility_DisplayArrayInTable(Fertiliser_SourceData.Fertiliser_Products_Data4(),FertiliserProducts[[#Headers],[Company]], 91)</f>
        <v/>
      </c>
      <c r="AH209" s="177" t="str" cm="1">
        <f t="array" ref="AH209">Common_InputFunctions.Utility_DisplayArrayInTable(Fertiliser_SourceData.Fertiliser_Products_Data4(),FertiliserProducts[[#Headers],[Company]], 91)</f>
        <v/>
      </c>
    </row>
    <row r="210" spans="4:34" x14ac:dyDescent="0.25" ht="20" customHeight="1">
      <c r="D210" s="177" t="str" cm="1">
        <f t="array" ref="D210">Common_InputFunctions.Utility_DisplayArrayInTable(Fertiliser_SourceData.Fertiliser_Products_Data5(),FertiliserProducts[[#Headers],[Company]], 121)</f>
        <v>Wengfu Australia</v>
      </c>
      <c r="E210" s="177" t="str" cm="1">
        <f t="array" ref="E210">Common_InputFunctions.Utility_DisplayArrayInTable(Fertiliser_SourceData.Fertiliser_Products_Data5(),FertiliserProducts[[#Headers],[Company]], 121)</f>
        <v>Wengfu 19-13-0-7 PrimeZinc</v>
      </c>
      <c r="F210" s="177" t="str" cm="1">
        <f t="array" ref="F210">Common_InputFunctions.Utility_DisplayArrayInTable(Fertiliser_SourceData.Fertiliser_Products_Data5(),FertiliserProducts[[#Headers],[Company]], 121)</f>
        <v>kg</v>
      </c>
      <c r="G210" s="177" cm="1">
        <f t="array" ref="G210">Common_InputFunctions.Utility_DisplayArrayInTable(Fertiliser_SourceData.Fertiliser_Products_Data5(),FertiliserProducts[[#Headers],[Company]], 121)</f>
        <v>1</v>
      </c>
      <c r="H210" s="177" t="str" cm="1">
        <f t="array" ref="H210">Common_InputFunctions.Utility_DisplayArrayInTable(Fertiliser_SourceData.Fertiliser_Products_Data5(),FertiliserProducts[[#Headers],[Company]], 121)</f>
        <v/>
      </c>
      <c r="I210" s="177" t="str" cm="1">
        <f t="array" ref="I210">Common_InputFunctions.Utility_DisplayArrayInTable(Fertiliser_SourceData.Fertiliser_Products_Data5(),FertiliserProducts[[#Headers],[Company]], 121)</f>
        <v/>
      </c>
      <c r="J210" s="177" t="str" cm="1">
        <f t="array" ref="J210">Common_InputFunctions.Utility_DisplayArrayInTable(Fertiliser_SourceData.Fertiliser_Products_Data5(),FertiliserProducts[[#Headers],[Company]], 121)</f>
        <v/>
      </c>
      <c r="K210" s="177" cm="1">
        <f t="array" ref="K210">Common_InputFunctions.Utility_DisplayArrayInTable(Fertiliser_SourceData.Fertiliser_Products_Data5(),FertiliserProducts[[#Headers],[Company]], 121)</f>
        <v>18.600000000000001</v>
      </c>
      <c r="L210" s="177" cm="1">
        <f t="array" ref="L210">Common_InputFunctions.Utility_DisplayArrayInTable(Fertiliser_SourceData.Fertiliser_Products_Data5(),FertiliserProducts[[#Headers],[Company]], 121)</f>
        <v>12.7</v>
      </c>
      <c r="M210" s="177" cm="1">
        <f t="array" ref="M210">Common_InputFunctions.Utility_DisplayArrayInTable(Fertiliser_SourceData.Fertiliser_Products_Data5(),FertiliserProducts[[#Headers],[Company]], 121)</f>
        <v>0</v>
      </c>
      <c r="N210" s="177" cm="1">
        <f t="array" ref="N210">Common_InputFunctions.Utility_DisplayArrayInTable(Fertiliser_SourceData.Fertiliser_Products_Data5(),FertiliserProducts[[#Headers],[Company]], 121)</f>
        <v>6.8</v>
      </c>
      <c r="O210" s="177" t="str" cm="1">
        <f t="array" ref="O210">Common_InputFunctions.Utility_DisplayArrayInTable(Fertiliser_SourceData.Fertiliser_Products_Data5(),FertiliserProducts[[#Headers],[Company]], 121)</f>
        <v>Nitrogen - Generic</v>
      </c>
      <c r="P210" s="177" cm="1">
        <f t="array" ref="P210">Common_InputFunctions.Utility_DisplayArrayInTable(Fertiliser_SourceData.Fertiliser_Products_Data5(),FertiliserProducts[[#Headers],[Company]], 121)</f>
        <v>0.186</v>
      </c>
      <c r="Q210" s="177" t="str" cm="1">
        <f t="array" ref="Q210">Common_InputFunctions.Utility_DisplayArrayInTable(Fertiliser_SourceData.Fertiliser_Products_Data5(),FertiliserProducts[[#Headers],[Company]], 121)</f>
        <v>Phosphorus - Generic</v>
      </c>
      <c r="R210" s="177" cm="1">
        <f t="array" ref="R210">Common_InputFunctions.Utility_DisplayArrayInTable(Fertiliser_SourceData.Fertiliser_Products_Data5(),FertiliserProducts[[#Headers],[Company]], 121)</f>
        <v>0.127</v>
      </c>
      <c r="S210" s="177" t="str" cm="1">
        <f t="array" ref="S210">Common_InputFunctions.Utility_DisplayArrayInTable(Fertiliser_SourceData.Fertiliser_Products_Data5(),FertiliserProducts[[#Headers],[Company]], 121)</f>
        <v>Sulfur - Generic</v>
      </c>
      <c r="T210" s="177" cm="1">
        <f t="array" ref="T210">Common_InputFunctions.Utility_DisplayArrayInTable(Fertiliser_SourceData.Fertiliser_Products_Data5(),FertiliserProducts[[#Headers],[Company]], 121)</f>
        <v>6.8000000000000005E-2</v>
      </c>
      <c r="U210" s="177" t="str" cm="1">
        <f t="array" ref="U210">Common_InputFunctions.Utility_DisplayArrayInTable(Fertiliser_SourceData.Fertiliser_Products_Data5(),FertiliserProducts[[#Headers],[Company]], 121)</f>
        <v>Zinc</v>
      </c>
      <c r="V210" s="177" cm="1">
        <f t="array" ref="V210">Common_InputFunctions.Utility_DisplayArrayInTable(Fertiliser_SourceData.Fertiliser_Products_Data5(),FertiliserProducts[[#Headers],[Company]], 121)</f>
        <v>6.0000000000000001E-3</v>
      </c>
      <c r="W210" s="177" t="str" cm="1">
        <f t="array" ref="W210">Common_InputFunctions.Utility_DisplayArrayInTable(Fertiliser_SourceData.Fertiliser_Products_Data5(),FertiliserProducts[[#Headers],[Company]], 121)</f>
        <v/>
      </c>
      <c r="X210" s="177" t="str" cm="1">
        <f t="array" ref="X210">Common_InputFunctions.Utility_DisplayArrayInTable(Fertiliser_SourceData.Fertiliser_Products_Data5(),FertiliserProducts[[#Headers],[Company]], 121)</f>
        <v/>
      </c>
      <c r="Y210" s="177" t="str" cm="1">
        <f t="array" ref="Y210">Common_InputFunctions.Utility_DisplayArrayInTable(Fertiliser_SourceData.Fertiliser_Products_Data5(),FertiliserProducts[[#Headers],[Company]], 121)</f>
        <v/>
      </c>
      <c r="Z210" s="177" t="str" cm="1">
        <f t="array" ref="Z210">Common_InputFunctions.Utility_DisplayArrayInTable(Fertiliser_SourceData.Fertiliser_Products_Data5(),FertiliserProducts[[#Headers],[Company]], 121)</f>
        <v/>
      </c>
      <c r="AA210" s="177" t="str" cm="1">
        <f t="array" ref="AA210">Common_InputFunctions.Utility_DisplayArrayInTable(Fertiliser_SourceData.Fertiliser_Products_Data5(),FertiliserProducts[[#Headers],[Company]], 121)</f>
        <v/>
      </c>
      <c r="AB210" s="177" t="str" cm="1">
        <f t="array" ref="AB210">Common_InputFunctions.Utility_DisplayArrayInTable(Fertiliser_SourceData.Fertiliser_Products_Data5(),FertiliserProducts[[#Headers],[Company]], 121)</f>
        <v/>
      </c>
      <c r="AC210" s="177" t="str" cm="1">
        <f t="array" ref="AC210">Common_InputFunctions.Utility_DisplayArrayInTable(Fertiliser_SourceData.Fertiliser_Products_Data5(),FertiliserProducts[[#Headers],[Company]], 121)</f>
        <v/>
      </c>
      <c r="AD210" s="177" t="str" cm="1">
        <f t="array" ref="AD210">Common_InputFunctions.Utility_DisplayArrayInTable(Fertiliser_SourceData.Fertiliser_Products_Data5(),FertiliserProducts[[#Headers],[Company]], 121)</f>
        <v/>
      </c>
      <c r="AE210" s="177" t="str" cm="1">
        <f t="array" ref="AE210">Common_InputFunctions.Utility_DisplayArrayInTable(Fertiliser_SourceData.Fertiliser_Products_Data5(),FertiliserProducts[[#Headers],[Company]], 121)</f>
        <v/>
      </c>
      <c r="AF210" s="177" t="str" cm="1">
        <f t="array" ref="AF210">Common_InputFunctions.Utility_DisplayArrayInTable(Fertiliser_SourceData.Fertiliser_Products_Data5(),FertiliserProducts[[#Headers],[Company]], 121)</f>
        <v/>
      </c>
      <c r="AG210" s="177" t="str" cm="1">
        <f t="array" ref="AG210">Common_InputFunctions.Utility_DisplayArrayInTable(Fertiliser_SourceData.Fertiliser_Products_Data5(),FertiliserProducts[[#Headers],[Company]], 121)</f>
        <v/>
      </c>
      <c r="AH210" s="177" t="str" cm="1">
        <f t="array" ref="AH210">Common_InputFunctions.Utility_DisplayArrayInTable(Fertiliser_SourceData.Fertiliser_Products_Data5(),FertiliserProducts[[#Headers],[Company]], 121)</f>
        <v/>
      </c>
    </row>
    <row r="211" spans="4:34" x14ac:dyDescent="0.25" ht="20" customHeight="1">
      <c r="D211" s="177" t="str" cm="1">
        <f t="array" ref="D211">Common_InputFunctions.Utility_DisplayArrayInTable(Fertiliser_SourceData.Fertiliser_Products_Data5(),FertiliserProducts[[#Headers],[Company]], 121)</f>
        <v>Wengfu Australia</v>
      </c>
      <c r="E211" s="177" t="str" cm="1">
        <f t="array" ref="E211">Common_InputFunctions.Utility_DisplayArrayInTable(Fertiliser_SourceData.Fertiliser_Products_Data5(),FertiliserProducts[[#Headers],[Company]], 121)</f>
        <v>Wengfu Booster K</v>
      </c>
      <c r="F211" s="177" t="str" cm="1">
        <f t="array" ref="F211">Common_InputFunctions.Utility_DisplayArrayInTable(Fertiliser_SourceData.Fertiliser_Products_Data5(),FertiliserProducts[[#Headers],[Company]], 121)</f>
        <v>kg</v>
      </c>
      <c r="G211" s="177" cm="1">
        <f t="array" ref="G211">Common_InputFunctions.Utility_DisplayArrayInTable(Fertiliser_SourceData.Fertiliser_Products_Data5(),FertiliserProducts[[#Headers],[Company]], 121)</f>
        <v>1</v>
      </c>
      <c r="H211" s="177" t="str" cm="1">
        <f t="array" ref="H211">Common_InputFunctions.Utility_DisplayArrayInTable(Fertiliser_SourceData.Fertiliser_Products_Data5(),FertiliserProducts[[#Headers],[Company]], 121)</f>
        <v/>
      </c>
      <c r="I211" s="177" t="str" cm="1">
        <f t="array" ref="I211">Common_InputFunctions.Utility_DisplayArrayInTable(Fertiliser_SourceData.Fertiliser_Products_Data5(),FertiliserProducts[[#Headers],[Company]], 121)</f>
        <v/>
      </c>
      <c r="J211" s="177" t="str" cm="1">
        <f t="array" ref="J211">Common_InputFunctions.Utility_DisplayArrayInTable(Fertiliser_SourceData.Fertiliser_Products_Data5(),FertiliserProducts[[#Headers],[Company]], 121)</f>
        <v/>
      </c>
      <c r="K211" s="177" cm="1">
        <f t="array" ref="K211">Common_InputFunctions.Utility_DisplayArrayInTable(Fertiliser_SourceData.Fertiliser_Products_Data5(),FertiliserProducts[[#Headers],[Company]], 121)</f>
        <v>32</v>
      </c>
      <c r="L211" s="177" cm="1">
        <f t="array" ref="L211">Common_InputFunctions.Utility_DisplayArrayInTable(Fertiliser_SourceData.Fertiliser_Products_Data5(),FertiliserProducts[[#Headers],[Company]], 121)</f>
        <v>0</v>
      </c>
      <c r="M211" s="177" cm="1">
        <f t="array" ref="M211">Common_InputFunctions.Utility_DisplayArrayInTable(Fertiliser_SourceData.Fertiliser_Products_Data5(),FertiliserProducts[[#Headers],[Company]], 121)</f>
        <v>11</v>
      </c>
      <c r="N211" s="177" cm="1">
        <f t="array" ref="N211">Common_InputFunctions.Utility_DisplayArrayInTable(Fertiliser_SourceData.Fertiliser_Products_Data5(),FertiliserProducts[[#Headers],[Company]], 121)</f>
        <v>3</v>
      </c>
      <c r="O211" s="177" t="str" cm="1">
        <f t="array" ref="O211">Common_InputFunctions.Utility_DisplayArrayInTable(Fertiliser_SourceData.Fertiliser_Products_Data5(),FertiliserProducts[[#Headers],[Company]], 121)</f>
        <v>Nitrogen - Generic</v>
      </c>
      <c r="P211" s="177" cm="1">
        <f t="array" ref="P211">Common_InputFunctions.Utility_DisplayArrayInTable(Fertiliser_SourceData.Fertiliser_Products_Data5(),FertiliserProducts[[#Headers],[Company]], 121)</f>
        <v>0.32</v>
      </c>
      <c r="Q211" s="177" t="str" cm="1">
        <f t="array" ref="Q211">Common_InputFunctions.Utility_DisplayArrayInTable(Fertiliser_SourceData.Fertiliser_Products_Data5(),FertiliserProducts[[#Headers],[Company]], 121)</f>
        <v>Potassium - Generic</v>
      </c>
      <c r="R211" s="177" cm="1">
        <f t="array" ref="R211">Common_InputFunctions.Utility_DisplayArrayInTable(Fertiliser_SourceData.Fertiliser_Products_Data5(),FertiliserProducts[[#Headers],[Company]], 121)</f>
        <v>0.11</v>
      </c>
      <c r="S211" s="177" t="str" cm="1">
        <f t="array" ref="S211">Common_InputFunctions.Utility_DisplayArrayInTable(Fertiliser_SourceData.Fertiliser_Products_Data5(),FertiliserProducts[[#Headers],[Company]], 121)</f>
        <v>Sulfur - Generic</v>
      </c>
      <c r="T211" s="177" cm="1">
        <f t="array" ref="T211">Common_InputFunctions.Utility_DisplayArrayInTable(Fertiliser_SourceData.Fertiliser_Products_Data5(),FertiliserProducts[[#Headers],[Company]], 121)</f>
        <v>0.03</v>
      </c>
      <c r="U211" s="177" t="str" cm="1">
        <f t="array" ref="U211">Common_InputFunctions.Utility_DisplayArrayInTable(Fertiliser_SourceData.Fertiliser_Products_Data5(),FertiliserProducts[[#Headers],[Company]], 121)</f>
        <v/>
      </c>
      <c r="V211" s="177" t="str" cm="1">
        <f t="array" ref="V211">Common_InputFunctions.Utility_DisplayArrayInTable(Fertiliser_SourceData.Fertiliser_Products_Data5(),FertiliserProducts[[#Headers],[Company]], 121)</f>
        <v/>
      </c>
      <c r="W211" s="177" t="str" cm="1">
        <f t="array" ref="W211">Common_InputFunctions.Utility_DisplayArrayInTable(Fertiliser_SourceData.Fertiliser_Products_Data5(),FertiliserProducts[[#Headers],[Company]], 121)</f>
        <v/>
      </c>
      <c r="X211" s="177" t="str" cm="1">
        <f t="array" ref="X211">Common_InputFunctions.Utility_DisplayArrayInTable(Fertiliser_SourceData.Fertiliser_Products_Data5(),FertiliserProducts[[#Headers],[Company]], 121)</f>
        <v/>
      </c>
      <c r="Y211" s="177" t="str" cm="1">
        <f t="array" ref="Y211">Common_InputFunctions.Utility_DisplayArrayInTable(Fertiliser_SourceData.Fertiliser_Products_Data5(),FertiliserProducts[[#Headers],[Company]], 121)</f>
        <v/>
      </c>
      <c r="Z211" s="177" t="str" cm="1">
        <f t="array" ref="Z211">Common_InputFunctions.Utility_DisplayArrayInTable(Fertiliser_SourceData.Fertiliser_Products_Data5(),FertiliserProducts[[#Headers],[Company]], 121)</f>
        <v/>
      </c>
      <c r="AA211" s="177" t="str" cm="1">
        <f t="array" ref="AA211">Common_InputFunctions.Utility_DisplayArrayInTable(Fertiliser_SourceData.Fertiliser_Products_Data5(),FertiliserProducts[[#Headers],[Company]], 121)</f>
        <v/>
      </c>
      <c r="AB211" s="177" t="str" cm="1">
        <f t="array" ref="AB211">Common_InputFunctions.Utility_DisplayArrayInTable(Fertiliser_SourceData.Fertiliser_Products_Data5(),FertiliserProducts[[#Headers],[Company]], 121)</f>
        <v/>
      </c>
      <c r="AC211" s="177" t="str" cm="1">
        <f t="array" ref="AC211">Common_InputFunctions.Utility_DisplayArrayInTable(Fertiliser_SourceData.Fertiliser_Products_Data5(),FertiliserProducts[[#Headers],[Company]], 121)</f>
        <v/>
      </c>
      <c r="AD211" s="177" t="str" cm="1">
        <f t="array" ref="AD211">Common_InputFunctions.Utility_DisplayArrayInTable(Fertiliser_SourceData.Fertiliser_Products_Data5(),FertiliserProducts[[#Headers],[Company]], 121)</f>
        <v/>
      </c>
      <c r="AE211" s="177" t="str" cm="1">
        <f t="array" ref="AE211">Common_InputFunctions.Utility_DisplayArrayInTable(Fertiliser_SourceData.Fertiliser_Products_Data5(),FertiliserProducts[[#Headers],[Company]], 121)</f>
        <v/>
      </c>
      <c r="AF211" s="177" t="str" cm="1">
        <f t="array" ref="AF211">Common_InputFunctions.Utility_DisplayArrayInTable(Fertiliser_SourceData.Fertiliser_Products_Data5(),FertiliserProducts[[#Headers],[Company]], 121)</f>
        <v/>
      </c>
      <c r="AG211" s="177" t="str" cm="1">
        <f t="array" ref="AG211">Common_InputFunctions.Utility_DisplayArrayInTable(Fertiliser_SourceData.Fertiliser_Products_Data5(),FertiliserProducts[[#Headers],[Company]], 121)</f>
        <v/>
      </c>
      <c r="AH211" s="177" t="str" cm="1">
        <f t="array" ref="AH211">Common_InputFunctions.Utility_DisplayArrayInTable(Fertiliser_SourceData.Fertiliser_Products_Data5(),FertiliserProducts[[#Headers],[Company]], 121)</f>
        <v/>
      </c>
    </row>
    <row r="212" spans="4:34" x14ac:dyDescent="0.25" ht="20" customHeight="1">
      <c r="D212" s="177" t="str" cm="1">
        <f t="array" ref="D212">Common_InputFunctions.Utility_DisplayArrayInTable(Fertiliser_SourceData.Fertiliser_Products_Data5(),FertiliserProducts[[#Headers],[Company]], 121)</f>
        <v>Wengfu Australia</v>
      </c>
      <c r="E212" s="177" t="str" cm="1">
        <f t="array" ref="E212">Common_InputFunctions.Utility_DisplayArrayInTable(Fertiliser_SourceData.Fertiliser_Products_Data5(),FertiliserProducts[[#Headers],[Company]], 121)</f>
        <v>Wengfu Booster Rich 1</v>
      </c>
      <c r="F212" s="177" t="str" cm="1">
        <f t="array" ref="F212">Common_InputFunctions.Utility_DisplayArrayInTable(Fertiliser_SourceData.Fertiliser_Products_Data5(),FertiliserProducts[[#Headers],[Company]], 121)</f>
        <v>kg</v>
      </c>
      <c r="G212" s="177" cm="1">
        <f t="array" ref="G212">Common_InputFunctions.Utility_DisplayArrayInTable(Fertiliser_SourceData.Fertiliser_Products_Data5(),FertiliserProducts[[#Headers],[Company]], 121)</f>
        <v>1</v>
      </c>
      <c r="H212" s="177" t="str" cm="1">
        <f t="array" ref="H212">Common_InputFunctions.Utility_DisplayArrayInTable(Fertiliser_SourceData.Fertiliser_Products_Data5(),FertiliserProducts[[#Headers],[Company]], 121)</f>
        <v/>
      </c>
      <c r="I212" s="177" t="str" cm="1">
        <f t="array" ref="I212">Common_InputFunctions.Utility_DisplayArrayInTable(Fertiliser_SourceData.Fertiliser_Products_Data5(),FertiliserProducts[[#Headers],[Company]], 121)</f>
        <v/>
      </c>
      <c r="J212" s="177" t="str" cm="1">
        <f t="array" ref="J212">Common_InputFunctions.Utility_DisplayArrayInTable(Fertiliser_SourceData.Fertiliser_Products_Data5(),FertiliserProducts[[#Headers],[Company]], 121)</f>
        <v/>
      </c>
      <c r="K212" s="177" cm="1">
        <f t="array" ref="K212">Common_InputFunctions.Utility_DisplayArrayInTable(Fertiliser_SourceData.Fertiliser_Products_Data5(),FertiliserProducts[[#Headers],[Company]], 121)</f>
        <v>31</v>
      </c>
      <c r="L212" s="177" cm="1">
        <f t="array" ref="L212">Common_InputFunctions.Utility_DisplayArrayInTable(Fertiliser_SourceData.Fertiliser_Products_Data5(),FertiliserProducts[[#Headers],[Company]], 121)</f>
        <v>6</v>
      </c>
      <c r="M212" s="177" cm="1">
        <f t="array" ref="M212">Common_InputFunctions.Utility_DisplayArrayInTable(Fertiliser_SourceData.Fertiliser_Products_Data5(),FertiliserProducts[[#Headers],[Company]], 121)</f>
        <v>0</v>
      </c>
      <c r="N212" s="177" cm="1">
        <f t="array" ref="N212">Common_InputFunctions.Utility_DisplayArrayInTable(Fertiliser_SourceData.Fertiliser_Products_Data5(),FertiliserProducts[[#Headers],[Company]], 121)</f>
        <v>6</v>
      </c>
      <c r="O212" s="177" t="str" cm="1">
        <f t="array" ref="O212">Common_InputFunctions.Utility_DisplayArrayInTable(Fertiliser_SourceData.Fertiliser_Products_Data5(),FertiliserProducts[[#Headers],[Company]], 121)</f>
        <v>Nitrogen - Generic</v>
      </c>
      <c r="P212" s="177" cm="1">
        <f t="array" ref="P212">Common_InputFunctions.Utility_DisplayArrayInTable(Fertiliser_SourceData.Fertiliser_Products_Data5(),FertiliserProducts[[#Headers],[Company]], 121)</f>
        <v>0.31</v>
      </c>
      <c r="Q212" s="177" t="str" cm="1">
        <f t="array" ref="Q212">Common_InputFunctions.Utility_DisplayArrayInTable(Fertiliser_SourceData.Fertiliser_Products_Data5(),FertiliserProducts[[#Headers],[Company]], 121)</f>
        <v>Phosphorus - Generic</v>
      </c>
      <c r="R212" s="177" cm="1">
        <f t="array" ref="R212">Common_InputFunctions.Utility_DisplayArrayInTable(Fertiliser_SourceData.Fertiliser_Products_Data5(),FertiliserProducts[[#Headers],[Company]], 121)</f>
        <v>0.06</v>
      </c>
      <c r="S212" s="177" t="str" cm="1">
        <f t="array" ref="S212">Common_InputFunctions.Utility_DisplayArrayInTable(Fertiliser_SourceData.Fertiliser_Products_Data5(),FertiliserProducts[[#Headers],[Company]], 121)</f>
        <v>Sulfur - Generic</v>
      </c>
      <c r="T212" s="177" cm="1">
        <f t="array" ref="T212">Common_InputFunctions.Utility_DisplayArrayInTable(Fertiliser_SourceData.Fertiliser_Products_Data5(),FertiliserProducts[[#Headers],[Company]], 121)</f>
        <v>0.06</v>
      </c>
      <c r="U212" s="177" t="str" cm="1">
        <f t="array" ref="U212">Common_InputFunctions.Utility_DisplayArrayInTable(Fertiliser_SourceData.Fertiliser_Products_Data5(),FertiliserProducts[[#Headers],[Company]], 121)</f>
        <v/>
      </c>
      <c r="V212" s="177" t="str" cm="1">
        <f t="array" ref="V212">Common_InputFunctions.Utility_DisplayArrayInTable(Fertiliser_SourceData.Fertiliser_Products_Data5(),FertiliserProducts[[#Headers],[Company]], 121)</f>
        <v/>
      </c>
      <c r="W212" s="177" t="str" cm="1">
        <f t="array" ref="W212">Common_InputFunctions.Utility_DisplayArrayInTable(Fertiliser_SourceData.Fertiliser_Products_Data5(),FertiliserProducts[[#Headers],[Company]], 121)</f>
        <v/>
      </c>
      <c r="X212" s="177" t="str" cm="1">
        <f t="array" ref="X212">Common_InputFunctions.Utility_DisplayArrayInTable(Fertiliser_SourceData.Fertiliser_Products_Data5(),FertiliserProducts[[#Headers],[Company]], 121)</f>
        <v/>
      </c>
      <c r="Y212" s="177" t="str" cm="1">
        <f t="array" ref="Y212">Common_InputFunctions.Utility_DisplayArrayInTable(Fertiliser_SourceData.Fertiliser_Products_Data5(),FertiliserProducts[[#Headers],[Company]], 121)</f>
        <v/>
      </c>
      <c r="Z212" s="177" t="str" cm="1">
        <f t="array" ref="Z212">Common_InputFunctions.Utility_DisplayArrayInTable(Fertiliser_SourceData.Fertiliser_Products_Data5(),FertiliserProducts[[#Headers],[Company]], 121)</f>
        <v/>
      </c>
      <c r="AA212" s="177" t="str" cm="1">
        <f t="array" ref="AA212">Common_InputFunctions.Utility_DisplayArrayInTable(Fertiliser_SourceData.Fertiliser_Products_Data5(),FertiliserProducts[[#Headers],[Company]], 121)</f>
        <v/>
      </c>
      <c r="AB212" s="177" t="str" cm="1">
        <f t="array" ref="AB212">Common_InputFunctions.Utility_DisplayArrayInTable(Fertiliser_SourceData.Fertiliser_Products_Data5(),FertiliserProducts[[#Headers],[Company]], 121)</f>
        <v/>
      </c>
      <c r="AC212" s="177" t="str" cm="1">
        <f t="array" ref="AC212">Common_InputFunctions.Utility_DisplayArrayInTable(Fertiliser_SourceData.Fertiliser_Products_Data5(),FertiliserProducts[[#Headers],[Company]], 121)</f>
        <v/>
      </c>
      <c r="AD212" s="177" t="str" cm="1">
        <f t="array" ref="AD212">Common_InputFunctions.Utility_DisplayArrayInTable(Fertiliser_SourceData.Fertiliser_Products_Data5(),FertiliserProducts[[#Headers],[Company]], 121)</f>
        <v/>
      </c>
      <c r="AE212" s="177" t="str" cm="1">
        <f t="array" ref="AE212">Common_InputFunctions.Utility_DisplayArrayInTable(Fertiliser_SourceData.Fertiliser_Products_Data5(),FertiliserProducts[[#Headers],[Company]], 121)</f>
        <v/>
      </c>
      <c r="AF212" s="177" t="str" cm="1">
        <f t="array" ref="AF212">Common_InputFunctions.Utility_DisplayArrayInTable(Fertiliser_SourceData.Fertiliser_Products_Data5(),FertiliserProducts[[#Headers],[Company]], 121)</f>
        <v/>
      </c>
      <c r="AG212" s="177" t="str" cm="1">
        <f t="array" ref="AG212">Common_InputFunctions.Utility_DisplayArrayInTable(Fertiliser_SourceData.Fertiliser_Products_Data5(),FertiliserProducts[[#Headers],[Company]], 121)</f>
        <v/>
      </c>
      <c r="AH212" s="177" t="str" cm="1">
        <f t="array" ref="AH212">Common_InputFunctions.Utility_DisplayArrayInTable(Fertiliser_SourceData.Fertiliser_Products_Data5(),FertiliserProducts[[#Headers],[Company]], 121)</f>
        <v/>
      </c>
    </row>
    <row r="213" spans="4:34" x14ac:dyDescent="0.25" ht="20" customHeight="1">
      <c r="D213" s="177" t="str" cm="1">
        <f t="array" ref="D213">Common_InputFunctions.Utility_DisplayArrayInTable(Fertiliser_SourceData.Fertiliser_Products_Data5(),FertiliserProducts[[#Headers],[Company]], 121)</f>
        <v>Wengfu Australia</v>
      </c>
      <c r="E213" s="177" t="str" cm="1">
        <f t="array" ref="E213">Common_InputFunctions.Utility_DisplayArrayInTable(Fertiliser_SourceData.Fertiliser_Products_Data5(),FertiliserProducts[[#Headers],[Company]], 121)</f>
        <v>Wengfu Booster Grass DAP</v>
      </c>
      <c r="F213" s="177" t="str" cm="1">
        <f t="array" ref="F213">Common_InputFunctions.Utility_DisplayArrayInTable(Fertiliser_SourceData.Fertiliser_Products_Data5(),FertiliserProducts[[#Headers],[Company]], 121)</f>
        <v>kg</v>
      </c>
      <c r="G213" s="177" cm="1">
        <f t="array" ref="G213">Common_InputFunctions.Utility_DisplayArrayInTable(Fertiliser_SourceData.Fertiliser_Products_Data5(),FertiliserProducts[[#Headers],[Company]], 121)</f>
        <v>1</v>
      </c>
      <c r="H213" s="177" t="str" cm="1">
        <f t="array" ref="H213">Common_InputFunctions.Utility_DisplayArrayInTable(Fertiliser_SourceData.Fertiliser_Products_Data5(),FertiliserProducts[[#Headers],[Company]], 121)</f>
        <v/>
      </c>
      <c r="I213" s="177" t="str" cm="1">
        <f t="array" ref="I213">Common_InputFunctions.Utility_DisplayArrayInTable(Fertiliser_SourceData.Fertiliser_Products_Data5(),FertiliserProducts[[#Headers],[Company]], 121)</f>
        <v/>
      </c>
      <c r="J213" s="177" t="str" cm="1">
        <f t="array" ref="J213">Common_InputFunctions.Utility_DisplayArrayInTable(Fertiliser_SourceData.Fertiliser_Products_Data5(),FertiliserProducts[[#Headers],[Company]], 121)</f>
        <v/>
      </c>
      <c r="K213" s="177" cm="1">
        <f t="array" ref="K213">Common_InputFunctions.Utility_DisplayArrayInTable(Fertiliser_SourceData.Fertiliser_Products_Data5(),FertiliserProducts[[#Headers],[Company]], 121)</f>
        <v>21</v>
      </c>
      <c r="L213" s="177" cm="1">
        <f t="array" ref="L213">Common_InputFunctions.Utility_DisplayArrayInTable(Fertiliser_SourceData.Fertiliser_Products_Data5(),FertiliserProducts[[#Headers],[Company]], 121)</f>
        <v>4</v>
      </c>
      <c r="M213" s="177" cm="1">
        <f t="array" ref="M213">Common_InputFunctions.Utility_DisplayArrayInTable(Fertiliser_SourceData.Fertiliser_Products_Data5(),FertiliserProducts[[#Headers],[Company]], 121)</f>
        <v>8</v>
      </c>
      <c r="N213" s="177" cm="1">
        <f t="array" ref="N213">Common_InputFunctions.Utility_DisplayArrayInTable(Fertiliser_SourceData.Fertiliser_Products_Data5(),FertiliserProducts[[#Headers],[Company]], 121)</f>
        <v>7</v>
      </c>
      <c r="O213" s="177" t="str" cm="1">
        <f t="array" ref="O213">Common_InputFunctions.Utility_DisplayArrayInTable(Fertiliser_SourceData.Fertiliser_Products_Data5(),FertiliserProducts[[#Headers],[Company]], 121)</f>
        <v>Nitrogen - Generic</v>
      </c>
      <c r="P213" s="177" cm="1">
        <f t="array" ref="P213">Common_InputFunctions.Utility_DisplayArrayInTable(Fertiliser_SourceData.Fertiliser_Products_Data5(),FertiliserProducts[[#Headers],[Company]], 121)</f>
        <v>0.21</v>
      </c>
      <c r="Q213" s="177" t="str" cm="1">
        <f t="array" ref="Q213">Common_InputFunctions.Utility_DisplayArrayInTable(Fertiliser_SourceData.Fertiliser_Products_Data5(),FertiliserProducts[[#Headers],[Company]], 121)</f>
        <v>Phosphorus - Generic</v>
      </c>
      <c r="R213" s="177" cm="1">
        <f t="array" ref="R213">Common_InputFunctions.Utility_DisplayArrayInTable(Fertiliser_SourceData.Fertiliser_Products_Data5(),FertiliserProducts[[#Headers],[Company]], 121)</f>
        <v>0.04</v>
      </c>
      <c r="S213" s="177" t="str" cm="1">
        <f t="array" ref="S213">Common_InputFunctions.Utility_DisplayArrayInTable(Fertiliser_SourceData.Fertiliser_Products_Data5(),FertiliserProducts[[#Headers],[Company]], 121)</f>
        <v>Potassium - Generic</v>
      </c>
      <c r="T213" s="177" cm="1">
        <f t="array" ref="T213">Common_InputFunctions.Utility_DisplayArrayInTable(Fertiliser_SourceData.Fertiliser_Products_Data5(),FertiliserProducts[[#Headers],[Company]], 121)</f>
        <v>0.08</v>
      </c>
      <c r="U213" s="177" t="str" cm="1">
        <f t="array" ref="U213">Common_InputFunctions.Utility_DisplayArrayInTable(Fertiliser_SourceData.Fertiliser_Products_Data5(),FertiliserProducts[[#Headers],[Company]], 121)</f>
        <v>Sulfur - Generic</v>
      </c>
      <c r="V213" s="177" cm="1">
        <f t="array" ref="V213">Common_InputFunctions.Utility_DisplayArrayInTable(Fertiliser_SourceData.Fertiliser_Products_Data5(),FertiliserProducts[[#Headers],[Company]], 121)</f>
        <v>7.0000000000000007E-2</v>
      </c>
      <c r="W213" s="177" t="str" cm="1">
        <f t="array" ref="W213">Common_InputFunctions.Utility_DisplayArrayInTable(Fertiliser_SourceData.Fertiliser_Products_Data5(),FertiliserProducts[[#Headers],[Company]], 121)</f>
        <v/>
      </c>
      <c r="X213" s="177" t="str" cm="1">
        <f t="array" ref="X213">Common_InputFunctions.Utility_DisplayArrayInTable(Fertiliser_SourceData.Fertiliser_Products_Data5(),FertiliserProducts[[#Headers],[Company]], 121)</f>
        <v/>
      </c>
      <c r="Y213" s="177" t="str" cm="1">
        <f t="array" ref="Y213">Common_InputFunctions.Utility_DisplayArrayInTable(Fertiliser_SourceData.Fertiliser_Products_Data5(),FertiliserProducts[[#Headers],[Company]], 121)</f>
        <v/>
      </c>
      <c r="Z213" s="177" t="str" cm="1">
        <f t="array" ref="Z213">Common_InputFunctions.Utility_DisplayArrayInTable(Fertiliser_SourceData.Fertiliser_Products_Data5(),FertiliserProducts[[#Headers],[Company]], 121)</f>
        <v/>
      </c>
      <c r="AA213" s="177" t="str" cm="1">
        <f t="array" ref="AA213">Common_InputFunctions.Utility_DisplayArrayInTable(Fertiliser_SourceData.Fertiliser_Products_Data5(),FertiliserProducts[[#Headers],[Company]], 121)</f>
        <v/>
      </c>
      <c r="AB213" s="177" t="str" cm="1">
        <f t="array" ref="AB213">Common_InputFunctions.Utility_DisplayArrayInTable(Fertiliser_SourceData.Fertiliser_Products_Data5(),FertiliserProducts[[#Headers],[Company]], 121)</f>
        <v/>
      </c>
      <c r="AC213" s="177" t="str" cm="1">
        <f t="array" ref="AC213">Common_InputFunctions.Utility_DisplayArrayInTable(Fertiliser_SourceData.Fertiliser_Products_Data5(),FertiliserProducts[[#Headers],[Company]], 121)</f>
        <v/>
      </c>
      <c r="AD213" s="177" t="str" cm="1">
        <f t="array" ref="AD213">Common_InputFunctions.Utility_DisplayArrayInTable(Fertiliser_SourceData.Fertiliser_Products_Data5(),FertiliserProducts[[#Headers],[Company]], 121)</f>
        <v/>
      </c>
      <c r="AE213" s="177" t="str" cm="1">
        <f t="array" ref="AE213">Common_InputFunctions.Utility_DisplayArrayInTable(Fertiliser_SourceData.Fertiliser_Products_Data5(),FertiliserProducts[[#Headers],[Company]], 121)</f>
        <v/>
      </c>
      <c r="AF213" s="177" t="str" cm="1">
        <f t="array" ref="AF213">Common_InputFunctions.Utility_DisplayArrayInTable(Fertiliser_SourceData.Fertiliser_Products_Data5(),FertiliserProducts[[#Headers],[Company]], 121)</f>
        <v/>
      </c>
      <c r="AG213" s="177" t="str" cm="1">
        <f t="array" ref="AG213">Common_InputFunctions.Utility_DisplayArrayInTable(Fertiliser_SourceData.Fertiliser_Products_Data5(),FertiliserProducts[[#Headers],[Company]], 121)</f>
        <v/>
      </c>
      <c r="AH213" s="177" t="str" cm="1">
        <f t="array" ref="AH213">Common_InputFunctions.Utility_DisplayArrayInTable(Fertiliser_SourceData.Fertiliser_Products_Data5(),FertiliserProducts[[#Headers],[Company]], 121)</f>
        <v/>
      </c>
    </row>
    <row r="214" spans="4:34" x14ac:dyDescent="0.25" ht="20" customHeight="1">
      <c r="D214" s="177" t="str" cm="1">
        <f t="array" ref="D214">Common_InputFunctions.Utility_DisplayArrayInTable(Fertiliser_SourceData.Fertiliser_Products_Data5(),FertiliserProducts[[#Headers],[Company]], 121)</f>
        <v>Wengfu Australia</v>
      </c>
      <c r="E214" s="177" t="str" cm="1">
        <f t="array" ref="E214">Common_InputFunctions.Utility_DisplayArrayInTable(Fertiliser_SourceData.Fertiliser_Products_Data5(),FertiliserProducts[[#Headers],[Company]], 121)</f>
        <v>Wengfu Aftergraze</v>
      </c>
      <c r="F214" s="177" t="str" cm="1">
        <f t="array" ref="F214">Common_InputFunctions.Utility_DisplayArrayInTable(Fertiliser_SourceData.Fertiliser_Products_Data5(),FertiliserProducts[[#Headers],[Company]], 121)</f>
        <v>kg</v>
      </c>
      <c r="G214" s="177" cm="1">
        <f t="array" ref="G214">Common_InputFunctions.Utility_DisplayArrayInTable(Fertiliser_SourceData.Fertiliser_Products_Data5(),FertiliserProducts[[#Headers],[Company]], 121)</f>
        <v>1</v>
      </c>
      <c r="H214" s="177" t="str" cm="1">
        <f t="array" ref="H214">Common_InputFunctions.Utility_DisplayArrayInTable(Fertiliser_SourceData.Fertiliser_Products_Data5(),FertiliserProducts[[#Headers],[Company]], 121)</f>
        <v/>
      </c>
      <c r="I214" s="177" t="str" cm="1">
        <f t="array" ref="I214">Common_InputFunctions.Utility_DisplayArrayInTable(Fertiliser_SourceData.Fertiliser_Products_Data5(),FertiliserProducts[[#Headers],[Company]], 121)</f>
        <v/>
      </c>
      <c r="J214" s="177" t="str" cm="1">
        <f t="array" ref="J214">Common_InputFunctions.Utility_DisplayArrayInTable(Fertiliser_SourceData.Fertiliser_Products_Data5(),FertiliserProducts[[#Headers],[Company]], 121)</f>
        <v/>
      </c>
      <c r="K214" s="177" cm="1">
        <f t="array" ref="K214">Common_InputFunctions.Utility_DisplayArrayInTable(Fertiliser_SourceData.Fertiliser_Products_Data5(),FertiliserProducts[[#Headers],[Company]], 121)</f>
        <v>23</v>
      </c>
      <c r="L214" s="177" cm="1">
        <f t="array" ref="L214">Common_InputFunctions.Utility_DisplayArrayInTable(Fertiliser_SourceData.Fertiliser_Products_Data5(),FertiliserProducts[[#Headers],[Company]], 121)</f>
        <v>0</v>
      </c>
      <c r="M214" s="177" cm="1">
        <f t="array" ref="M214">Common_InputFunctions.Utility_DisplayArrayInTable(Fertiliser_SourceData.Fertiliser_Products_Data5(),FertiliserProducts[[#Headers],[Company]], 121)</f>
        <v>25</v>
      </c>
      <c r="N214" s="177" cm="1">
        <f t="array" ref="N214">Common_InputFunctions.Utility_DisplayArrayInTable(Fertiliser_SourceData.Fertiliser_Products_Data5(),FertiliserProducts[[#Headers],[Company]], 121)</f>
        <v>0</v>
      </c>
      <c r="O214" s="177" t="str" cm="1">
        <f t="array" ref="O214">Common_InputFunctions.Utility_DisplayArrayInTable(Fertiliser_SourceData.Fertiliser_Products_Data5(),FertiliserProducts[[#Headers],[Company]], 121)</f>
        <v>Nitrogen - Generic</v>
      </c>
      <c r="P214" s="177" cm="1">
        <f t="array" ref="P214">Common_InputFunctions.Utility_DisplayArrayInTable(Fertiliser_SourceData.Fertiliser_Products_Data5(),FertiliserProducts[[#Headers],[Company]], 121)</f>
        <v>0.23</v>
      </c>
      <c r="Q214" s="177" t="str" cm="1">
        <f t="array" ref="Q214">Common_InputFunctions.Utility_DisplayArrayInTable(Fertiliser_SourceData.Fertiliser_Products_Data5(),FertiliserProducts[[#Headers],[Company]], 121)</f>
        <v>Potassium - Generic</v>
      </c>
      <c r="R214" s="177" cm="1">
        <f t="array" ref="R214">Common_InputFunctions.Utility_DisplayArrayInTable(Fertiliser_SourceData.Fertiliser_Products_Data5(),FertiliserProducts[[#Headers],[Company]], 121)</f>
        <v>0.25</v>
      </c>
      <c r="S214" s="177" t="str" cm="1">
        <f t="array" ref="S214">Common_InputFunctions.Utility_DisplayArrayInTable(Fertiliser_SourceData.Fertiliser_Products_Data5(),FertiliserProducts[[#Headers],[Company]], 121)</f>
        <v/>
      </c>
      <c r="T214" s="177" t="str" cm="1">
        <f t="array" ref="T214">Common_InputFunctions.Utility_DisplayArrayInTable(Fertiliser_SourceData.Fertiliser_Products_Data5(),FertiliserProducts[[#Headers],[Company]], 121)</f>
        <v/>
      </c>
      <c r="U214" s="177" t="str" cm="1">
        <f t="array" ref="U214">Common_InputFunctions.Utility_DisplayArrayInTable(Fertiliser_SourceData.Fertiliser_Products_Data5(),FertiliserProducts[[#Headers],[Company]], 121)</f>
        <v/>
      </c>
      <c r="V214" s="177" t="str" cm="1">
        <f t="array" ref="V214">Common_InputFunctions.Utility_DisplayArrayInTable(Fertiliser_SourceData.Fertiliser_Products_Data5(),FertiliserProducts[[#Headers],[Company]], 121)</f>
        <v/>
      </c>
      <c r="W214" s="177" t="str" cm="1">
        <f t="array" ref="W214">Common_InputFunctions.Utility_DisplayArrayInTable(Fertiliser_SourceData.Fertiliser_Products_Data5(),FertiliserProducts[[#Headers],[Company]], 121)</f>
        <v/>
      </c>
      <c r="X214" s="177" t="str" cm="1">
        <f t="array" ref="X214">Common_InputFunctions.Utility_DisplayArrayInTable(Fertiliser_SourceData.Fertiliser_Products_Data5(),FertiliserProducts[[#Headers],[Company]], 121)</f>
        <v/>
      </c>
      <c r="Y214" s="177" t="str" cm="1">
        <f t="array" ref="Y214">Common_InputFunctions.Utility_DisplayArrayInTable(Fertiliser_SourceData.Fertiliser_Products_Data5(),FertiliserProducts[[#Headers],[Company]], 121)</f>
        <v/>
      </c>
      <c r="Z214" s="177" t="str" cm="1">
        <f t="array" ref="Z214">Common_InputFunctions.Utility_DisplayArrayInTable(Fertiliser_SourceData.Fertiliser_Products_Data5(),FertiliserProducts[[#Headers],[Company]], 121)</f>
        <v/>
      </c>
      <c r="AA214" s="177" t="str" cm="1">
        <f t="array" ref="AA214">Common_InputFunctions.Utility_DisplayArrayInTable(Fertiliser_SourceData.Fertiliser_Products_Data5(),FertiliserProducts[[#Headers],[Company]], 121)</f>
        <v/>
      </c>
      <c r="AB214" s="177" t="str" cm="1">
        <f t="array" ref="AB214">Common_InputFunctions.Utility_DisplayArrayInTable(Fertiliser_SourceData.Fertiliser_Products_Data5(),FertiliserProducts[[#Headers],[Company]], 121)</f>
        <v/>
      </c>
      <c r="AC214" s="177" t="str" cm="1">
        <f t="array" ref="AC214">Common_InputFunctions.Utility_DisplayArrayInTable(Fertiliser_SourceData.Fertiliser_Products_Data5(),FertiliserProducts[[#Headers],[Company]], 121)</f>
        <v/>
      </c>
      <c r="AD214" s="177" t="str" cm="1">
        <f t="array" ref="AD214">Common_InputFunctions.Utility_DisplayArrayInTable(Fertiliser_SourceData.Fertiliser_Products_Data5(),FertiliserProducts[[#Headers],[Company]], 121)</f>
        <v/>
      </c>
      <c r="AE214" s="177" t="str" cm="1">
        <f t="array" ref="AE214">Common_InputFunctions.Utility_DisplayArrayInTable(Fertiliser_SourceData.Fertiliser_Products_Data5(),FertiliserProducts[[#Headers],[Company]], 121)</f>
        <v/>
      </c>
      <c r="AF214" s="177" t="str" cm="1">
        <f t="array" ref="AF214">Common_InputFunctions.Utility_DisplayArrayInTable(Fertiliser_SourceData.Fertiliser_Products_Data5(),FertiliserProducts[[#Headers],[Company]], 121)</f>
        <v/>
      </c>
      <c r="AG214" s="177" t="str" cm="1">
        <f t="array" ref="AG214">Common_InputFunctions.Utility_DisplayArrayInTable(Fertiliser_SourceData.Fertiliser_Products_Data5(),FertiliserProducts[[#Headers],[Company]], 121)</f>
        <v/>
      </c>
      <c r="AH214" s="177" t="str" cm="1">
        <f t="array" ref="AH214">Common_InputFunctions.Utility_DisplayArrayInTable(Fertiliser_SourceData.Fertiliser_Products_Data5(),FertiliserProducts[[#Headers],[Company]], 121)</f>
        <v/>
      </c>
    </row>
    <row r="215" spans="4:34" x14ac:dyDescent="0.25" ht="20" customHeight="1">
      <c r="D215" s="177" t="str" cm="1">
        <f t="array" ref="D215">Common_InputFunctions.Utility_DisplayArrayInTable(Fertiliser_SourceData.Fertiliser_Products_Data5(),FertiliserProducts[[#Headers],[Company]], 121)</f>
        <v>Wengfu Australia</v>
      </c>
      <c r="E215" s="177" t="str" cm="1">
        <f t="array" ref="E215">Common_InputFunctions.Utility_DisplayArrayInTable(Fertiliser_SourceData.Fertiliser_Products_Data5(),FertiliserProducts[[#Headers],[Company]], 121)</f>
        <v>Wengfu Sidedress</v>
      </c>
      <c r="F215" s="177" t="str" cm="1">
        <f t="array" ref="F215">Common_InputFunctions.Utility_DisplayArrayInTable(Fertiliser_SourceData.Fertiliser_Products_Data5(),FertiliserProducts[[#Headers],[Company]], 121)</f>
        <v>kg</v>
      </c>
      <c r="G215" s="177" cm="1">
        <f t="array" ref="G215">Common_InputFunctions.Utility_DisplayArrayInTable(Fertiliser_SourceData.Fertiliser_Products_Data5(),FertiliserProducts[[#Headers],[Company]], 121)</f>
        <v>1</v>
      </c>
      <c r="H215" s="177" t="str" cm="1">
        <f t="array" ref="H215">Common_InputFunctions.Utility_DisplayArrayInTable(Fertiliser_SourceData.Fertiliser_Products_Data5(),FertiliserProducts[[#Headers],[Company]], 121)</f>
        <v/>
      </c>
      <c r="I215" s="177" t="str" cm="1">
        <f t="array" ref="I215">Common_InputFunctions.Utility_DisplayArrayInTable(Fertiliser_SourceData.Fertiliser_Products_Data5(),FertiliserProducts[[#Headers],[Company]], 121)</f>
        <v/>
      </c>
      <c r="J215" s="177" t="str" cm="1">
        <f t="array" ref="J215">Common_InputFunctions.Utility_DisplayArrayInTable(Fertiliser_SourceData.Fertiliser_Products_Data5(),FertiliserProducts[[#Headers],[Company]], 121)</f>
        <v/>
      </c>
      <c r="K215" s="177" cm="1">
        <f t="array" ref="K215">Common_InputFunctions.Utility_DisplayArrayInTable(Fertiliser_SourceData.Fertiliser_Products_Data5(),FertiliserProducts[[#Headers],[Company]], 121)</f>
        <v>25</v>
      </c>
      <c r="L215" s="177" cm="1">
        <f t="array" ref="L215">Common_InputFunctions.Utility_DisplayArrayInTable(Fertiliser_SourceData.Fertiliser_Products_Data5(),FertiliserProducts[[#Headers],[Company]], 121)</f>
        <v>4</v>
      </c>
      <c r="M215" s="177" cm="1">
        <f t="array" ref="M215">Common_InputFunctions.Utility_DisplayArrayInTable(Fertiliser_SourceData.Fertiliser_Products_Data5(),FertiliserProducts[[#Headers],[Company]], 121)</f>
        <v>13</v>
      </c>
      <c r="N215" s="177" cm="1">
        <f t="array" ref="N215">Common_InputFunctions.Utility_DisplayArrayInTable(Fertiliser_SourceData.Fertiliser_Products_Data5(),FertiliserProducts[[#Headers],[Company]], 121)</f>
        <v>4</v>
      </c>
      <c r="O215" s="177" t="str" cm="1">
        <f t="array" ref="O215">Common_InputFunctions.Utility_DisplayArrayInTable(Fertiliser_SourceData.Fertiliser_Products_Data5(),FertiliserProducts[[#Headers],[Company]], 121)</f>
        <v>Nitrogen - Generic</v>
      </c>
      <c r="P215" s="177" cm="1">
        <f t="array" ref="P215">Common_InputFunctions.Utility_DisplayArrayInTable(Fertiliser_SourceData.Fertiliser_Products_Data5(),FertiliserProducts[[#Headers],[Company]], 121)</f>
        <v>0.25</v>
      </c>
      <c r="Q215" s="177" t="str" cm="1">
        <f t="array" ref="Q215">Common_InputFunctions.Utility_DisplayArrayInTable(Fertiliser_SourceData.Fertiliser_Products_Data5(),FertiliserProducts[[#Headers],[Company]], 121)</f>
        <v>Phosphorus - Generic</v>
      </c>
      <c r="R215" s="177" cm="1">
        <f t="array" ref="R215">Common_InputFunctions.Utility_DisplayArrayInTable(Fertiliser_SourceData.Fertiliser_Products_Data5(),FertiliserProducts[[#Headers],[Company]], 121)</f>
        <v>0.04</v>
      </c>
      <c r="S215" s="177" t="str" cm="1">
        <f t="array" ref="S215">Common_InputFunctions.Utility_DisplayArrayInTable(Fertiliser_SourceData.Fertiliser_Products_Data5(),FertiliserProducts[[#Headers],[Company]], 121)</f>
        <v>Potassium - Generic</v>
      </c>
      <c r="T215" s="177" cm="1">
        <f t="array" ref="T215">Common_InputFunctions.Utility_DisplayArrayInTable(Fertiliser_SourceData.Fertiliser_Products_Data5(),FertiliserProducts[[#Headers],[Company]], 121)</f>
        <v>0.13</v>
      </c>
      <c r="U215" s="177" t="str" cm="1">
        <f t="array" ref="U215">Common_InputFunctions.Utility_DisplayArrayInTable(Fertiliser_SourceData.Fertiliser_Products_Data5(),FertiliserProducts[[#Headers],[Company]], 121)</f>
        <v>Sulfur - Generic</v>
      </c>
      <c r="V215" s="177" cm="1">
        <f t="array" ref="V215">Common_InputFunctions.Utility_DisplayArrayInTable(Fertiliser_SourceData.Fertiliser_Products_Data5(),FertiliserProducts[[#Headers],[Company]], 121)</f>
        <v>0.04</v>
      </c>
      <c r="W215" s="177" t="str" cm="1">
        <f t="array" ref="W215">Common_InputFunctions.Utility_DisplayArrayInTable(Fertiliser_SourceData.Fertiliser_Products_Data5(),FertiliserProducts[[#Headers],[Company]], 121)</f>
        <v/>
      </c>
      <c r="X215" s="177" t="str" cm="1">
        <f t="array" ref="X215">Common_InputFunctions.Utility_DisplayArrayInTable(Fertiliser_SourceData.Fertiliser_Products_Data5(),FertiliserProducts[[#Headers],[Company]], 121)</f>
        <v/>
      </c>
      <c r="Y215" s="177" t="str" cm="1">
        <f t="array" ref="Y215">Common_InputFunctions.Utility_DisplayArrayInTable(Fertiliser_SourceData.Fertiliser_Products_Data5(),FertiliserProducts[[#Headers],[Company]], 121)</f>
        <v/>
      </c>
      <c r="Z215" s="177" t="str" cm="1">
        <f t="array" ref="Z215">Common_InputFunctions.Utility_DisplayArrayInTable(Fertiliser_SourceData.Fertiliser_Products_Data5(),FertiliserProducts[[#Headers],[Company]], 121)</f>
        <v/>
      </c>
      <c r="AA215" s="177" t="str" cm="1">
        <f t="array" ref="AA215">Common_InputFunctions.Utility_DisplayArrayInTable(Fertiliser_SourceData.Fertiliser_Products_Data5(),FertiliserProducts[[#Headers],[Company]], 121)</f>
        <v/>
      </c>
      <c r="AB215" s="177" t="str" cm="1">
        <f t="array" ref="AB215">Common_InputFunctions.Utility_DisplayArrayInTable(Fertiliser_SourceData.Fertiliser_Products_Data5(),FertiliserProducts[[#Headers],[Company]], 121)</f>
        <v/>
      </c>
      <c r="AC215" s="177" t="str" cm="1">
        <f t="array" ref="AC215">Common_InputFunctions.Utility_DisplayArrayInTable(Fertiliser_SourceData.Fertiliser_Products_Data5(),FertiliserProducts[[#Headers],[Company]], 121)</f>
        <v/>
      </c>
      <c r="AD215" s="177" t="str" cm="1">
        <f t="array" ref="AD215">Common_InputFunctions.Utility_DisplayArrayInTable(Fertiliser_SourceData.Fertiliser_Products_Data5(),FertiliserProducts[[#Headers],[Company]], 121)</f>
        <v/>
      </c>
      <c r="AE215" s="177" t="str" cm="1">
        <f t="array" ref="AE215">Common_InputFunctions.Utility_DisplayArrayInTable(Fertiliser_SourceData.Fertiliser_Products_Data5(),FertiliserProducts[[#Headers],[Company]], 121)</f>
        <v/>
      </c>
      <c r="AF215" s="177" t="str" cm="1">
        <f t="array" ref="AF215">Common_InputFunctions.Utility_DisplayArrayInTable(Fertiliser_SourceData.Fertiliser_Products_Data5(),FertiliserProducts[[#Headers],[Company]], 121)</f>
        <v/>
      </c>
      <c r="AG215" s="177" t="str" cm="1">
        <f t="array" ref="AG215">Common_InputFunctions.Utility_DisplayArrayInTable(Fertiliser_SourceData.Fertiliser_Products_Data5(),FertiliserProducts[[#Headers],[Company]], 121)</f>
        <v/>
      </c>
      <c r="AH215" s="177" t="str" cm="1">
        <f t="array" ref="AH215">Common_InputFunctions.Utility_DisplayArrayInTable(Fertiliser_SourceData.Fertiliser_Products_Data5(),FertiliserProducts[[#Headers],[Company]], 121)</f>
        <v/>
      </c>
    </row>
    <row r="216" spans="4:34" x14ac:dyDescent="0.25" ht="20" customHeight="1">
      <c r="D216" s="177" t="str" cm="1">
        <f t="array" ref="D216">Common_InputFunctions.Utility_DisplayArrayInTable(Fertiliser_SourceData.Fertiliser_Products_Data5(),FertiliserProducts[[#Headers],[Company]], 121)</f>
        <v>Wengfu Australia</v>
      </c>
      <c r="E216" s="177" t="str" cm="1">
        <f t="array" ref="E216">Common_InputFunctions.Utility_DisplayArrayInTable(Fertiliser_SourceData.Fertiliser_Products_Data5(),FertiliserProducts[[#Headers],[Company]], 121)</f>
        <v>Wengfu Pasture Booster</v>
      </c>
      <c r="F216" s="177" t="str" cm="1">
        <f t="array" ref="F216">Common_InputFunctions.Utility_DisplayArrayInTable(Fertiliser_SourceData.Fertiliser_Products_Data5(),FertiliserProducts[[#Headers],[Company]], 121)</f>
        <v>kg</v>
      </c>
      <c r="G216" s="177" cm="1">
        <f t="array" ref="G216">Common_InputFunctions.Utility_DisplayArrayInTable(Fertiliser_SourceData.Fertiliser_Products_Data5(),FertiliserProducts[[#Headers],[Company]], 121)</f>
        <v>1</v>
      </c>
      <c r="H216" s="177" t="str" cm="1">
        <f t="array" ref="H216">Common_InputFunctions.Utility_DisplayArrayInTable(Fertiliser_SourceData.Fertiliser_Products_Data5(),FertiliserProducts[[#Headers],[Company]], 121)</f>
        <v/>
      </c>
      <c r="I216" s="177" t="str" cm="1">
        <f t="array" ref="I216">Common_InputFunctions.Utility_DisplayArrayInTable(Fertiliser_SourceData.Fertiliser_Products_Data5(),FertiliserProducts[[#Headers],[Company]], 121)</f>
        <v/>
      </c>
      <c r="J216" s="177" t="str" cm="1">
        <f t="array" ref="J216">Common_InputFunctions.Utility_DisplayArrayInTable(Fertiliser_SourceData.Fertiliser_Products_Data5(),FertiliserProducts[[#Headers],[Company]], 121)</f>
        <v/>
      </c>
      <c r="K216" s="177" cm="1">
        <f t="array" ref="K216">Common_InputFunctions.Utility_DisplayArrayInTable(Fertiliser_SourceData.Fertiliser_Products_Data5(),FertiliserProducts[[#Headers],[Company]], 121)</f>
        <v>13</v>
      </c>
      <c r="L216" s="177" cm="1">
        <f t="array" ref="L216">Common_InputFunctions.Utility_DisplayArrayInTable(Fertiliser_SourceData.Fertiliser_Products_Data5(),FertiliserProducts[[#Headers],[Company]], 121)</f>
        <v>5</v>
      </c>
      <c r="M216" s="177" cm="1">
        <f t="array" ref="M216">Common_InputFunctions.Utility_DisplayArrayInTable(Fertiliser_SourceData.Fertiliser_Products_Data5(),FertiliserProducts[[#Headers],[Company]], 121)</f>
        <v>24</v>
      </c>
      <c r="N216" s="177" cm="1">
        <f t="array" ref="N216">Common_InputFunctions.Utility_DisplayArrayInTable(Fertiliser_SourceData.Fertiliser_Products_Data5(),FertiliserProducts[[#Headers],[Company]], 121)</f>
        <v>5</v>
      </c>
      <c r="O216" s="177" t="str" cm="1">
        <f t="array" ref="O216">Common_InputFunctions.Utility_DisplayArrayInTable(Fertiliser_SourceData.Fertiliser_Products_Data5(),FertiliserProducts[[#Headers],[Company]], 121)</f>
        <v>Nitrogen - Generic</v>
      </c>
      <c r="P216" s="177" cm="1">
        <f t="array" ref="P216">Common_InputFunctions.Utility_DisplayArrayInTable(Fertiliser_SourceData.Fertiliser_Products_Data5(),FertiliserProducts[[#Headers],[Company]], 121)</f>
        <v>0.13</v>
      </c>
      <c r="Q216" s="177" t="str" cm="1">
        <f t="array" ref="Q216">Common_InputFunctions.Utility_DisplayArrayInTable(Fertiliser_SourceData.Fertiliser_Products_Data5(),FertiliserProducts[[#Headers],[Company]], 121)</f>
        <v>Phosphorus - Generic</v>
      </c>
      <c r="R216" s="177" cm="1">
        <f t="array" ref="R216">Common_InputFunctions.Utility_DisplayArrayInTable(Fertiliser_SourceData.Fertiliser_Products_Data5(),FertiliserProducts[[#Headers],[Company]], 121)</f>
        <v>0.05</v>
      </c>
      <c r="S216" s="177" t="str" cm="1">
        <f t="array" ref="S216">Common_InputFunctions.Utility_DisplayArrayInTable(Fertiliser_SourceData.Fertiliser_Products_Data5(),FertiliserProducts[[#Headers],[Company]], 121)</f>
        <v>Potassium - Generic</v>
      </c>
      <c r="T216" s="177" cm="1">
        <f t="array" ref="T216">Common_InputFunctions.Utility_DisplayArrayInTable(Fertiliser_SourceData.Fertiliser_Products_Data5(),FertiliserProducts[[#Headers],[Company]], 121)</f>
        <v>0.24</v>
      </c>
      <c r="U216" s="177" t="str" cm="1">
        <f t="array" ref="U216">Common_InputFunctions.Utility_DisplayArrayInTable(Fertiliser_SourceData.Fertiliser_Products_Data5(),FertiliserProducts[[#Headers],[Company]], 121)</f>
        <v>Sulfur - Generic</v>
      </c>
      <c r="V216" s="177" cm="1">
        <f t="array" ref="V216">Common_InputFunctions.Utility_DisplayArrayInTable(Fertiliser_SourceData.Fertiliser_Products_Data5(),FertiliserProducts[[#Headers],[Company]], 121)</f>
        <v>0.05</v>
      </c>
      <c r="W216" s="177" t="str" cm="1">
        <f t="array" ref="W216">Common_InputFunctions.Utility_DisplayArrayInTable(Fertiliser_SourceData.Fertiliser_Products_Data5(),FertiliserProducts[[#Headers],[Company]], 121)</f>
        <v/>
      </c>
      <c r="X216" s="177" t="str" cm="1">
        <f t="array" ref="X216">Common_InputFunctions.Utility_DisplayArrayInTable(Fertiliser_SourceData.Fertiliser_Products_Data5(),FertiliserProducts[[#Headers],[Company]], 121)</f>
        <v/>
      </c>
      <c r="Y216" s="177" t="str" cm="1">
        <f t="array" ref="Y216">Common_InputFunctions.Utility_DisplayArrayInTable(Fertiliser_SourceData.Fertiliser_Products_Data5(),FertiliserProducts[[#Headers],[Company]], 121)</f>
        <v/>
      </c>
      <c r="Z216" s="177" t="str" cm="1">
        <f t="array" ref="Z216">Common_InputFunctions.Utility_DisplayArrayInTable(Fertiliser_SourceData.Fertiliser_Products_Data5(),FertiliserProducts[[#Headers],[Company]], 121)</f>
        <v/>
      </c>
      <c r="AA216" s="177" t="str" cm="1">
        <f t="array" ref="AA216">Common_InputFunctions.Utility_DisplayArrayInTable(Fertiliser_SourceData.Fertiliser_Products_Data5(),FertiliserProducts[[#Headers],[Company]], 121)</f>
        <v/>
      </c>
      <c r="AB216" s="177" t="str" cm="1">
        <f t="array" ref="AB216">Common_InputFunctions.Utility_DisplayArrayInTable(Fertiliser_SourceData.Fertiliser_Products_Data5(),FertiliserProducts[[#Headers],[Company]], 121)</f>
        <v/>
      </c>
      <c r="AC216" s="177" t="str" cm="1">
        <f t="array" ref="AC216">Common_InputFunctions.Utility_DisplayArrayInTable(Fertiliser_SourceData.Fertiliser_Products_Data5(),FertiliserProducts[[#Headers],[Company]], 121)</f>
        <v/>
      </c>
      <c r="AD216" s="177" t="str" cm="1">
        <f t="array" ref="AD216">Common_InputFunctions.Utility_DisplayArrayInTable(Fertiliser_SourceData.Fertiliser_Products_Data5(),FertiliserProducts[[#Headers],[Company]], 121)</f>
        <v/>
      </c>
      <c r="AE216" s="177" t="str" cm="1">
        <f t="array" ref="AE216">Common_InputFunctions.Utility_DisplayArrayInTable(Fertiliser_SourceData.Fertiliser_Products_Data5(),FertiliserProducts[[#Headers],[Company]], 121)</f>
        <v/>
      </c>
      <c r="AF216" s="177" t="str" cm="1">
        <f t="array" ref="AF216">Common_InputFunctions.Utility_DisplayArrayInTable(Fertiliser_SourceData.Fertiliser_Products_Data5(),FertiliserProducts[[#Headers],[Company]], 121)</f>
        <v/>
      </c>
      <c r="AG216" s="177" t="str" cm="1">
        <f t="array" ref="AG216">Common_InputFunctions.Utility_DisplayArrayInTable(Fertiliser_SourceData.Fertiliser_Products_Data5(),FertiliserProducts[[#Headers],[Company]], 121)</f>
        <v/>
      </c>
      <c r="AH216" s="177" t="str" cm="1">
        <f t="array" ref="AH216">Common_InputFunctions.Utility_DisplayArrayInTable(Fertiliser_SourceData.Fertiliser_Products_Data5(),FertiliserProducts[[#Headers],[Company]], 121)</f>
        <v/>
      </c>
    </row>
    <row r="217" spans="4:34" x14ac:dyDescent="0.25" ht="20" customHeight="1">
      <c r="D217" s="177" t="str" cm="1">
        <f t="array" ref="D217">Common_InputFunctions.Utility_DisplayArrayInTable(Fertiliser_SourceData.Fertiliser_Products_Data5(),FertiliserProducts[[#Headers],[Company]], 121)</f>
        <v>Wengfu Australia</v>
      </c>
      <c r="E217" s="177" t="str" cm="1">
        <f t="array" ref="E217">Common_InputFunctions.Utility_DisplayArrayInTable(Fertiliser_SourceData.Fertiliser_Products_Data5(),FertiliserProducts[[#Headers],[Company]], 121)</f>
        <v>Wengfu DAP Hay Booster</v>
      </c>
      <c r="F217" s="177" t="str" cm="1">
        <f t="array" ref="F217">Common_InputFunctions.Utility_DisplayArrayInTable(Fertiliser_SourceData.Fertiliser_Products_Data5(),FertiliserProducts[[#Headers],[Company]], 121)</f>
        <v>kg</v>
      </c>
      <c r="G217" s="177" cm="1">
        <f t="array" ref="G217">Common_InputFunctions.Utility_DisplayArrayInTable(Fertiliser_SourceData.Fertiliser_Products_Data5(),FertiliserProducts[[#Headers],[Company]], 121)</f>
        <v>1</v>
      </c>
      <c r="H217" s="177" t="str" cm="1">
        <f t="array" ref="H217">Common_InputFunctions.Utility_DisplayArrayInTable(Fertiliser_SourceData.Fertiliser_Products_Data5(),FertiliserProducts[[#Headers],[Company]], 121)</f>
        <v/>
      </c>
      <c r="I217" s="177" t="str" cm="1">
        <f t="array" ref="I217">Common_InputFunctions.Utility_DisplayArrayInTable(Fertiliser_SourceData.Fertiliser_Products_Data5(),FertiliserProducts[[#Headers],[Company]], 121)</f>
        <v/>
      </c>
      <c r="J217" s="177" t="str" cm="1">
        <f t="array" ref="J217">Common_InputFunctions.Utility_DisplayArrayInTable(Fertiliser_SourceData.Fertiliser_Products_Data5(),FertiliserProducts[[#Headers],[Company]], 121)</f>
        <v/>
      </c>
      <c r="K217" s="177" cm="1">
        <f t="array" ref="K217">Common_InputFunctions.Utility_DisplayArrayInTable(Fertiliser_SourceData.Fertiliser_Products_Data5(),FertiliserProducts[[#Headers],[Company]], 121)</f>
        <v>11</v>
      </c>
      <c r="L217" s="177" cm="1">
        <f t="array" ref="L217">Common_InputFunctions.Utility_DisplayArrayInTable(Fertiliser_SourceData.Fertiliser_Products_Data5(),FertiliserProducts[[#Headers],[Company]], 121)</f>
        <v>5</v>
      </c>
      <c r="M217" s="177" cm="1">
        <f t="array" ref="M217">Common_InputFunctions.Utility_DisplayArrayInTable(Fertiliser_SourceData.Fertiliser_Products_Data5(),FertiliserProducts[[#Headers],[Company]], 121)</f>
        <v>24</v>
      </c>
      <c r="N217" s="177" cm="1">
        <f t="array" ref="N217">Common_InputFunctions.Utility_DisplayArrayInTable(Fertiliser_SourceData.Fertiliser_Products_Data5(),FertiliserProducts[[#Headers],[Company]], 121)</f>
        <v>4</v>
      </c>
      <c r="O217" s="177" t="str" cm="1">
        <f t="array" ref="O217">Common_InputFunctions.Utility_DisplayArrayInTable(Fertiliser_SourceData.Fertiliser_Products_Data5(),FertiliserProducts[[#Headers],[Company]], 121)</f>
        <v>Nitrogen - Generic</v>
      </c>
      <c r="P217" s="177" cm="1">
        <f t="array" ref="P217">Common_InputFunctions.Utility_DisplayArrayInTable(Fertiliser_SourceData.Fertiliser_Products_Data5(),FertiliserProducts[[#Headers],[Company]], 121)</f>
        <v>0.11</v>
      </c>
      <c r="Q217" s="177" t="str" cm="1">
        <f t="array" ref="Q217">Common_InputFunctions.Utility_DisplayArrayInTable(Fertiliser_SourceData.Fertiliser_Products_Data5(),FertiliserProducts[[#Headers],[Company]], 121)</f>
        <v>Phosphorus - Generic</v>
      </c>
      <c r="R217" s="177" cm="1">
        <f t="array" ref="R217">Common_InputFunctions.Utility_DisplayArrayInTable(Fertiliser_SourceData.Fertiliser_Products_Data5(),FertiliserProducts[[#Headers],[Company]], 121)</f>
        <v>0.05</v>
      </c>
      <c r="S217" s="177" t="str" cm="1">
        <f t="array" ref="S217">Common_InputFunctions.Utility_DisplayArrayInTable(Fertiliser_SourceData.Fertiliser_Products_Data5(),FertiliserProducts[[#Headers],[Company]], 121)</f>
        <v>Potassium - Generic</v>
      </c>
      <c r="T217" s="177" cm="1">
        <f t="array" ref="T217">Common_InputFunctions.Utility_DisplayArrayInTable(Fertiliser_SourceData.Fertiliser_Products_Data5(),FertiliserProducts[[#Headers],[Company]], 121)</f>
        <v>0.24</v>
      </c>
      <c r="U217" s="177" t="str" cm="1">
        <f t="array" ref="U217">Common_InputFunctions.Utility_DisplayArrayInTable(Fertiliser_SourceData.Fertiliser_Products_Data5(),FertiliserProducts[[#Headers],[Company]], 121)</f>
        <v>Sulfur - Generic</v>
      </c>
      <c r="V217" s="177" cm="1">
        <f t="array" ref="V217">Common_InputFunctions.Utility_DisplayArrayInTable(Fertiliser_SourceData.Fertiliser_Products_Data5(),FertiliserProducts[[#Headers],[Company]], 121)</f>
        <v>0.04</v>
      </c>
      <c r="W217" s="177" t="str" cm="1">
        <f t="array" ref="W217">Common_InputFunctions.Utility_DisplayArrayInTable(Fertiliser_SourceData.Fertiliser_Products_Data5(),FertiliserProducts[[#Headers],[Company]], 121)</f>
        <v/>
      </c>
      <c r="X217" s="177" t="str" cm="1">
        <f t="array" ref="X217">Common_InputFunctions.Utility_DisplayArrayInTable(Fertiliser_SourceData.Fertiliser_Products_Data5(),FertiliserProducts[[#Headers],[Company]], 121)</f>
        <v/>
      </c>
      <c r="Y217" s="177" t="str" cm="1">
        <f t="array" ref="Y217">Common_InputFunctions.Utility_DisplayArrayInTable(Fertiliser_SourceData.Fertiliser_Products_Data5(),FertiliserProducts[[#Headers],[Company]], 121)</f>
        <v/>
      </c>
      <c r="Z217" s="177" t="str" cm="1">
        <f t="array" ref="Z217">Common_InputFunctions.Utility_DisplayArrayInTable(Fertiliser_SourceData.Fertiliser_Products_Data5(),FertiliserProducts[[#Headers],[Company]], 121)</f>
        <v/>
      </c>
      <c r="AA217" s="177" t="str" cm="1">
        <f t="array" ref="AA217">Common_InputFunctions.Utility_DisplayArrayInTable(Fertiliser_SourceData.Fertiliser_Products_Data5(),FertiliserProducts[[#Headers],[Company]], 121)</f>
        <v/>
      </c>
      <c r="AB217" s="177" t="str" cm="1">
        <f t="array" ref="AB217">Common_InputFunctions.Utility_DisplayArrayInTable(Fertiliser_SourceData.Fertiliser_Products_Data5(),FertiliserProducts[[#Headers],[Company]], 121)</f>
        <v/>
      </c>
      <c r="AC217" s="177" t="str" cm="1">
        <f t="array" ref="AC217">Common_InputFunctions.Utility_DisplayArrayInTable(Fertiliser_SourceData.Fertiliser_Products_Data5(),FertiliserProducts[[#Headers],[Company]], 121)</f>
        <v/>
      </c>
      <c r="AD217" s="177" t="str" cm="1">
        <f t="array" ref="AD217">Common_InputFunctions.Utility_DisplayArrayInTable(Fertiliser_SourceData.Fertiliser_Products_Data5(),FertiliserProducts[[#Headers],[Company]], 121)</f>
        <v/>
      </c>
      <c r="AE217" s="177" t="str" cm="1">
        <f t="array" ref="AE217">Common_InputFunctions.Utility_DisplayArrayInTable(Fertiliser_SourceData.Fertiliser_Products_Data5(),FertiliserProducts[[#Headers],[Company]], 121)</f>
        <v/>
      </c>
      <c r="AF217" s="177" t="str" cm="1">
        <f t="array" ref="AF217">Common_InputFunctions.Utility_DisplayArrayInTable(Fertiliser_SourceData.Fertiliser_Products_Data5(),FertiliserProducts[[#Headers],[Company]], 121)</f>
        <v/>
      </c>
      <c r="AG217" s="177" t="str" cm="1">
        <f t="array" ref="AG217">Common_InputFunctions.Utility_DisplayArrayInTable(Fertiliser_SourceData.Fertiliser_Products_Data5(),FertiliserProducts[[#Headers],[Company]], 121)</f>
        <v/>
      </c>
      <c r="AH217" s="177" t="str" cm="1">
        <f t="array" ref="AH217">Common_InputFunctions.Utility_DisplayArrayInTable(Fertiliser_SourceData.Fertiliser_Products_Data5(),FertiliserProducts[[#Headers],[Company]], 121)</f>
        <v/>
      </c>
    </row>
    <row r="218" spans="4:34" x14ac:dyDescent="0.25" ht="20" customHeight="1">
      <c r="D218" s="177" t="str" cm="1">
        <f t="array" ref="D218">Common_InputFunctions.Utility_DisplayArrayInTable(Fertiliser_SourceData.Fertiliser_Products_Data5(),FertiliserProducts[[#Headers],[Company]], 121)</f>
        <v>Wengfu Australia</v>
      </c>
      <c r="E218" s="177" t="str" cm="1">
        <f t="array" ref="E218">Common_InputFunctions.Utility_DisplayArrayInTable(Fertiliser_SourceData.Fertiliser_Products_Data5(),FertiliserProducts[[#Headers],[Company]], 121)</f>
        <v>Wengfu MAP Hay Booster</v>
      </c>
      <c r="F218" s="177" t="str" cm="1">
        <f t="array" ref="F218">Common_InputFunctions.Utility_DisplayArrayInTable(Fertiliser_SourceData.Fertiliser_Products_Data5(),FertiliserProducts[[#Headers],[Company]], 121)</f>
        <v>kg</v>
      </c>
      <c r="G218" s="177" cm="1">
        <f t="array" ref="G218">Common_InputFunctions.Utility_DisplayArrayInTable(Fertiliser_SourceData.Fertiliser_Products_Data5(),FertiliserProducts[[#Headers],[Company]], 121)</f>
        <v>1</v>
      </c>
      <c r="H218" s="177" t="str" cm="1">
        <f t="array" ref="H218">Common_InputFunctions.Utility_DisplayArrayInTable(Fertiliser_SourceData.Fertiliser_Products_Data5(),FertiliserProducts[[#Headers],[Company]], 121)</f>
        <v/>
      </c>
      <c r="I218" s="177" t="str" cm="1">
        <f t="array" ref="I218">Common_InputFunctions.Utility_DisplayArrayInTable(Fertiliser_SourceData.Fertiliser_Products_Data5(),FertiliserProducts[[#Headers],[Company]], 121)</f>
        <v/>
      </c>
      <c r="J218" s="177" t="str" cm="1">
        <f t="array" ref="J218">Common_InputFunctions.Utility_DisplayArrayInTable(Fertiliser_SourceData.Fertiliser_Products_Data5(),FertiliserProducts[[#Headers],[Company]], 121)</f>
        <v/>
      </c>
      <c r="K218" s="177" cm="1">
        <f t="array" ref="K218">Common_InputFunctions.Utility_DisplayArrayInTable(Fertiliser_SourceData.Fertiliser_Products_Data5(),FertiliserProducts[[#Headers],[Company]], 121)</f>
        <v>11</v>
      </c>
      <c r="L218" s="177" cm="1">
        <f t="array" ref="L218">Common_InputFunctions.Utility_DisplayArrayInTable(Fertiliser_SourceData.Fertiliser_Products_Data5(),FertiliserProducts[[#Headers],[Company]], 121)</f>
        <v>8</v>
      </c>
      <c r="M218" s="177" cm="1">
        <f t="array" ref="M218">Common_InputFunctions.Utility_DisplayArrayInTable(Fertiliser_SourceData.Fertiliser_Products_Data5(),FertiliserProducts[[#Headers],[Company]], 121)</f>
        <v>20</v>
      </c>
      <c r="N218" s="177" cm="1">
        <f t="array" ref="N218">Common_InputFunctions.Utility_DisplayArrayInTable(Fertiliser_SourceData.Fertiliser_Products_Data5(),FertiliserProducts[[#Headers],[Company]], 121)</f>
        <v>6</v>
      </c>
      <c r="O218" s="177" t="str" cm="1">
        <f t="array" ref="O218">Common_InputFunctions.Utility_DisplayArrayInTable(Fertiliser_SourceData.Fertiliser_Products_Data5(),FertiliserProducts[[#Headers],[Company]], 121)</f>
        <v>Nitrogen - Generic</v>
      </c>
      <c r="P218" s="177" cm="1">
        <f t="array" ref="P218">Common_InputFunctions.Utility_DisplayArrayInTable(Fertiliser_SourceData.Fertiliser_Products_Data5(),FertiliserProducts[[#Headers],[Company]], 121)</f>
        <v>0.11</v>
      </c>
      <c r="Q218" s="177" t="str" cm="1">
        <f t="array" ref="Q218">Common_InputFunctions.Utility_DisplayArrayInTable(Fertiliser_SourceData.Fertiliser_Products_Data5(),FertiliserProducts[[#Headers],[Company]], 121)</f>
        <v>Phosphorus - Generic</v>
      </c>
      <c r="R218" s="177" cm="1">
        <f t="array" ref="R218">Common_InputFunctions.Utility_DisplayArrayInTable(Fertiliser_SourceData.Fertiliser_Products_Data5(),FertiliserProducts[[#Headers],[Company]], 121)</f>
        <v>0.08</v>
      </c>
      <c r="S218" s="177" t="str" cm="1">
        <f t="array" ref="S218">Common_InputFunctions.Utility_DisplayArrayInTable(Fertiliser_SourceData.Fertiliser_Products_Data5(),FertiliserProducts[[#Headers],[Company]], 121)</f>
        <v>Potassium - Generic</v>
      </c>
      <c r="T218" s="177" cm="1">
        <f t="array" ref="T218">Common_InputFunctions.Utility_DisplayArrayInTable(Fertiliser_SourceData.Fertiliser_Products_Data5(),FertiliserProducts[[#Headers],[Company]], 121)</f>
        <v>0.2</v>
      </c>
      <c r="U218" s="177" t="str" cm="1">
        <f t="array" ref="U218">Common_InputFunctions.Utility_DisplayArrayInTable(Fertiliser_SourceData.Fertiliser_Products_Data5(),FertiliserProducts[[#Headers],[Company]], 121)</f>
        <v>Sulfur - Generic</v>
      </c>
      <c r="V218" s="177" cm="1">
        <f t="array" ref="V218">Common_InputFunctions.Utility_DisplayArrayInTable(Fertiliser_SourceData.Fertiliser_Products_Data5(),FertiliserProducts[[#Headers],[Company]], 121)</f>
        <v>0.06</v>
      </c>
      <c r="W218" s="177" t="str" cm="1">
        <f t="array" ref="W218">Common_InputFunctions.Utility_DisplayArrayInTable(Fertiliser_SourceData.Fertiliser_Products_Data5(),FertiliserProducts[[#Headers],[Company]], 121)</f>
        <v/>
      </c>
      <c r="X218" s="177" t="str" cm="1">
        <f t="array" ref="X218">Common_InputFunctions.Utility_DisplayArrayInTable(Fertiliser_SourceData.Fertiliser_Products_Data5(),FertiliserProducts[[#Headers],[Company]], 121)</f>
        <v/>
      </c>
      <c r="Y218" s="177" t="str" cm="1">
        <f t="array" ref="Y218">Common_InputFunctions.Utility_DisplayArrayInTable(Fertiliser_SourceData.Fertiliser_Products_Data5(),FertiliserProducts[[#Headers],[Company]], 121)</f>
        <v/>
      </c>
      <c r="Z218" s="177" t="str" cm="1">
        <f t="array" ref="Z218">Common_InputFunctions.Utility_DisplayArrayInTable(Fertiliser_SourceData.Fertiliser_Products_Data5(),FertiliserProducts[[#Headers],[Company]], 121)</f>
        <v/>
      </c>
      <c r="AA218" s="177" t="str" cm="1">
        <f t="array" ref="AA218">Common_InputFunctions.Utility_DisplayArrayInTable(Fertiliser_SourceData.Fertiliser_Products_Data5(),FertiliserProducts[[#Headers],[Company]], 121)</f>
        <v/>
      </c>
      <c r="AB218" s="177" t="str" cm="1">
        <f t="array" ref="AB218">Common_InputFunctions.Utility_DisplayArrayInTable(Fertiliser_SourceData.Fertiliser_Products_Data5(),FertiliserProducts[[#Headers],[Company]], 121)</f>
        <v/>
      </c>
      <c r="AC218" s="177" t="str" cm="1">
        <f t="array" ref="AC218">Common_InputFunctions.Utility_DisplayArrayInTable(Fertiliser_SourceData.Fertiliser_Products_Data5(),FertiliserProducts[[#Headers],[Company]], 121)</f>
        <v/>
      </c>
      <c r="AD218" s="177" t="str" cm="1">
        <f t="array" ref="AD218">Common_InputFunctions.Utility_DisplayArrayInTable(Fertiliser_SourceData.Fertiliser_Products_Data5(),FertiliserProducts[[#Headers],[Company]], 121)</f>
        <v/>
      </c>
      <c r="AE218" s="177" t="str" cm="1">
        <f t="array" ref="AE218">Common_InputFunctions.Utility_DisplayArrayInTable(Fertiliser_SourceData.Fertiliser_Products_Data5(),FertiliserProducts[[#Headers],[Company]], 121)</f>
        <v/>
      </c>
      <c r="AF218" s="177" t="str" cm="1">
        <f t="array" ref="AF218">Common_InputFunctions.Utility_DisplayArrayInTable(Fertiliser_SourceData.Fertiliser_Products_Data5(),FertiliserProducts[[#Headers],[Company]], 121)</f>
        <v/>
      </c>
      <c r="AG218" s="177" t="str" cm="1">
        <f t="array" ref="AG218">Common_InputFunctions.Utility_DisplayArrayInTable(Fertiliser_SourceData.Fertiliser_Products_Data5(),FertiliserProducts[[#Headers],[Company]], 121)</f>
        <v/>
      </c>
      <c r="AH218" s="177" t="str" cm="1">
        <f t="array" ref="AH218">Common_InputFunctions.Utility_DisplayArrayInTable(Fertiliser_SourceData.Fertiliser_Products_Data5(),FertiliserProducts[[#Headers],[Company]], 121)</f>
        <v/>
      </c>
    </row>
    <row r="219" spans="4:34" x14ac:dyDescent="0.25" ht="20" customHeight="1">
      <c r="D219" s="177" t="str" cm="1">
        <f t="array" ref="D219">Common_InputFunctions.Utility_DisplayArrayInTable(Fertiliser_SourceData.Fertiliser_Products_Data5(),FertiliserProducts[[#Headers],[Company]], 121)</f>
        <v>Wengfu Australia</v>
      </c>
      <c r="E219" s="177" t="str" cm="1">
        <f t="array" ref="E219">Common_InputFunctions.Utility_DisplayArrayInTable(Fertiliser_SourceData.Fertiliser_Products_Data5(),FertiliserProducts[[#Headers],[Company]], 121)</f>
        <v>Wengfu Fodder Booster</v>
      </c>
      <c r="F219" s="177" t="str" cm="1">
        <f t="array" ref="F219">Common_InputFunctions.Utility_DisplayArrayInTable(Fertiliser_SourceData.Fertiliser_Products_Data5(),FertiliserProducts[[#Headers],[Company]], 121)</f>
        <v>kg</v>
      </c>
      <c r="G219" s="177" cm="1">
        <f t="array" ref="G219">Common_InputFunctions.Utility_DisplayArrayInTable(Fertiliser_SourceData.Fertiliser_Products_Data5(),FertiliserProducts[[#Headers],[Company]], 121)</f>
        <v>1</v>
      </c>
      <c r="H219" s="177" t="str" cm="1">
        <f t="array" ref="H219">Common_InputFunctions.Utility_DisplayArrayInTable(Fertiliser_SourceData.Fertiliser_Products_Data5(),FertiliserProducts[[#Headers],[Company]], 121)</f>
        <v/>
      </c>
      <c r="I219" s="177" t="str" cm="1">
        <f t="array" ref="I219">Common_InputFunctions.Utility_DisplayArrayInTable(Fertiliser_SourceData.Fertiliser_Products_Data5(),FertiliserProducts[[#Headers],[Company]], 121)</f>
        <v/>
      </c>
      <c r="J219" s="177" t="str" cm="1">
        <f t="array" ref="J219">Common_InputFunctions.Utility_DisplayArrayInTable(Fertiliser_SourceData.Fertiliser_Products_Data5(),FertiliserProducts[[#Headers],[Company]], 121)</f>
        <v/>
      </c>
      <c r="K219" s="177" cm="1">
        <f t="array" ref="K219">Common_InputFunctions.Utility_DisplayArrayInTable(Fertiliser_SourceData.Fertiliser_Products_Data5(),FertiliserProducts[[#Headers],[Company]], 121)</f>
        <v>9</v>
      </c>
      <c r="L219" s="177" cm="1">
        <f t="array" ref="L219">Common_InputFunctions.Utility_DisplayArrayInTable(Fertiliser_SourceData.Fertiliser_Products_Data5(),FertiliserProducts[[#Headers],[Company]], 121)</f>
        <v>4</v>
      </c>
      <c r="M219" s="177" cm="1">
        <f t="array" ref="M219">Common_InputFunctions.Utility_DisplayArrayInTable(Fertiliser_SourceData.Fertiliser_Products_Data5(),FertiliserProducts[[#Headers],[Company]], 121)</f>
        <v>5</v>
      </c>
      <c r="N219" s="177" cm="1">
        <f t="array" ref="N219">Common_InputFunctions.Utility_DisplayArrayInTable(Fertiliser_SourceData.Fertiliser_Products_Data5(),FertiliserProducts[[#Headers],[Company]], 121)</f>
        <v>15</v>
      </c>
      <c r="O219" s="177" t="str" cm="1">
        <f t="array" ref="O219">Common_InputFunctions.Utility_DisplayArrayInTable(Fertiliser_SourceData.Fertiliser_Products_Data5(),FertiliserProducts[[#Headers],[Company]], 121)</f>
        <v>Nitrogen - Generic</v>
      </c>
      <c r="P219" s="177" cm="1">
        <f t="array" ref="P219">Common_InputFunctions.Utility_DisplayArrayInTable(Fertiliser_SourceData.Fertiliser_Products_Data5(),FertiliserProducts[[#Headers],[Company]], 121)</f>
        <v>0.09</v>
      </c>
      <c r="Q219" s="177" t="str" cm="1">
        <f t="array" ref="Q219">Common_InputFunctions.Utility_DisplayArrayInTable(Fertiliser_SourceData.Fertiliser_Products_Data5(),FertiliserProducts[[#Headers],[Company]], 121)</f>
        <v>Phosphorus - Generic</v>
      </c>
      <c r="R219" s="177" cm="1">
        <f t="array" ref="R219">Common_InputFunctions.Utility_DisplayArrayInTable(Fertiliser_SourceData.Fertiliser_Products_Data5(),FertiliserProducts[[#Headers],[Company]], 121)</f>
        <v>0.04</v>
      </c>
      <c r="S219" s="177" t="str" cm="1">
        <f t="array" ref="S219">Common_InputFunctions.Utility_DisplayArrayInTable(Fertiliser_SourceData.Fertiliser_Products_Data5(),FertiliserProducts[[#Headers],[Company]], 121)</f>
        <v>Potassium - Generic</v>
      </c>
      <c r="T219" s="177" cm="1">
        <f t="array" ref="T219">Common_InputFunctions.Utility_DisplayArrayInTable(Fertiliser_SourceData.Fertiliser_Products_Data5(),FertiliserProducts[[#Headers],[Company]], 121)</f>
        <v>0.05</v>
      </c>
      <c r="U219" s="177" t="str" cm="1">
        <f t="array" ref="U219">Common_InputFunctions.Utility_DisplayArrayInTable(Fertiliser_SourceData.Fertiliser_Products_Data5(),FertiliserProducts[[#Headers],[Company]], 121)</f>
        <v>Sulfur - Generic</v>
      </c>
      <c r="V219" s="177" cm="1">
        <f t="array" ref="V219">Common_InputFunctions.Utility_DisplayArrayInTable(Fertiliser_SourceData.Fertiliser_Products_Data5(),FertiliserProducts[[#Headers],[Company]], 121)</f>
        <v>0.15</v>
      </c>
      <c r="W219" s="177" t="str" cm="1">
        <f t="array" ref="W219">Common_InputFunctions.Utility_DisplayArrayInTable(Fertiliser_SourceData.Fertiliser_Products_Data5(),FertiliserProducts[[#Headers],[Company]], 121)</f>
        <v/>
      </c>
      <c r="X219" s="177" t="str" cm="1">
        <f t="array" ref="X219">Common_InputFunctions.Utility_DisplayArrayInTable(Fertiliser_SourceData.Fertiliser_Products_Data5(),FertiliserProducts[[#Headers],[Company]], 121)</f>
        <v/>
      </c>
      <c r="Y219" s="177" t="str" cm="1">
        <f t="array" ref="Y219">Common_InputFunctions.Utility_DisplayArrayInTable(Fertiliser_SourceData.Fertiliser_Products_Data5(),FertiliserProducts[[#Headers],[Company]], 121)</f>
        <v/>
      </c>
      <c r="Z219" s="177" t="str" cm="1">
        <f t="array" ref="Z219">Common_InputFunctions.Utility_DisplayArrayInTable(Fertiliser_SourceData.Fertiliser_Products_Data5(),FertiliserProducts[[#Headers],[Company]], 121)</f>
        <v/>
      </c>
      <c r="AA219" s="177" t="str" cm="1">
        <f t="array" ref="AA219">Common_InputFunctions.Utility_DisplayArrayInTable(Fertiliser_SourceData.Fertiliser_Products_Data5(),FertiliserProducts[[#Headers],[Company]], 121)</f>
        <v/>
      </c>
      <c r="AB219" s="177" t="str" cm="1">
        <f t="array" ref="AB219">Common_InputFunctions.Utility_DisplayArrayInTable(Fertiliser_SourceData.Fertiliser_Products_Data5(),FertiliserProducts[[#Headers],[Company]], 121)</f>
        <v/>
      </c>
      <c r="AC219" s="177" t="str" cm="1">
        <f t="array" ref="AC219">Common_InputFunctions.Utility_DisplayArrayInTable(Fertiliser_SourceData.Fertiliser_Products_Data5(),FertiliserProducts[[#Headers],[Company]], 121)</f>
        <v/>
      </c>
      <c r="AD219" s="177" t="str" cm="1">
        <f t="array" ref="AD219">Common_InputFunctions.Utility_DisplayArrayInTable(Fertiliser_SourceData.Fertiliser_Products_Data5(),FertiliserProducts[[#Headers],[Company]], 121)</f>
        <v/>
      </c>
      <c r="AE219" s="177" t="str" cm="1">
        <f t="array" ref="AE219">Common_InputFunctions.Utility_DisplayArrayInTable(Fertiliser_SourceData.Fertiliser_Products_Data5(),FertiliserProducts[[#Headers],[Company]], 121)</f>
        <v/>
      </c>
      <c r="AF219" s="177" t="str" cm="1">
        <f t="array" ref="AF219">Common_InputFunctions.Utility_DisplayArrayInTable(Fertiliser_SourceData.Fertiliser_Products_Data5(),FertiliserProducts[[#Headers],[Company]], 121)</f>
        <v/>
      </c>
      <c r="AG219" s="177" t="str" cm="1">
        <f t="array" ref="AG219">Common_InputFunctions.Utility_DisplayArrayInTable(Fertiliser_SourceData.Fertiliser_Products_Data5(),FertiliserProducts[[#Headers],[Company]], 121)</f>
        <v/>
      </c>
      <c r="AH219" s="177" t="str" cm="1">
        <f t="array" ref="AH219">Common_InputFunctions.Utility_DisplayArrayInTable(Fertiliser_SourceData.Fertiliser_Products_Data5(),FertiliserProducts[[#Headers],[Company]], 121)</f>
        <v/>
      </c>
    </row>
    <row r="220" spans="4:34" x14ac:dyDescent="0.25" ht="20" customHeight="1">
      <c r="D220" s="177" t="str" cm="1">
        <f t="array" ref="D220">Common_InputFunctions.Utility_DisplayArrayInTable(Fertiliser_SourceData.Fertiliser_Products_Data5(),FertiliserProducts[[#Headers],[Company]], 121)</f>
        <v>CSBP</v>
      </c>
      <c r="E220" s="177" t="str" cm="1">
        <f t="array" ref="E220">Common_InputFunctions.Utility_DisplayArrayInTable(Fertiliser_SourceData.Fertiliser_Products_Data5(),FertiliserProducts[[#Headers],[Company]], 121)</f>
        <v>K-Till Extra</v>
      </c>
      <c r="F220" s="177" t="str" cm="1">
        <f t="array" ref="F220">Common_InputFunctions.Utility_DisplayArrayInTable(Fertiliser_SourceData.Fertiliser_Products_Data5(),FertiliserProducts[[#Headers],[Company]], 121)</f>
        <v>kg</v>
      </c>
      <c r="G220" s="177" cm="1">
        <f t="array" ref="G220">Common_InputFunctions.Utility_DisplayArrayInTable(Fertiliser_SourceData.Fertiliser_Products_Data5(),FertiliserProducts[[#Headers],[Company]], 121)</f>
        <v>1</v>
      </c>
      <c r="H220" s="177" t="str" cm="1">
        <f t="array" ref="H220">Common_InputFunctions.Utility_DisplayArrayInTable(Fertiliser_SourceData.Fertiliser_Products_Data5(),FertiliserProducts[[#Headers],[Company]], 121)</f>
        <v/>
      </c>
      <c r="I220" s="177" t="str" cm="1">
        <f t="array" ref="I220">Common_InputFunctions.Utility_DisplayArrayInTable(Fertiliser_SourceData.Fertiliser_Products_Data5(),FertiliserProducts[[#Headers],[Company]], 121)</f>
        <v/>
      </c>
      <c r="J220" s="177" t="str" cm="1">
        <f t="array" ref="J220">Common_InputFunctions.Utility_DisplayArrayInTable(Fertiliser_SourceData.Fertiliser_Products_Data5(),FertiliserProducts[[#Headers],[Company]], 121)</f>
        <v/>
      </c>
      <c r="K220" s="177" cm="1">
        <f t="array" ref="K220">Common_InputFunctions.Utility_DisplayArrayInTable(Fertiliser_SourceData.Fertiliser_Products_Data5(),FertiliserProducts[[#Headers],[Company]], 121)</f>
        <v>10.73</v>
      </c>
      <c r="L220" s="177" cm="1">
        <f t="array" ref="L220">Common_InputFunctions.Utility_DisplayArrayInTable(Fertiliser_SourceData.Fertiliser_Products_Data5(),FertiliserProducts[[#Headers],[Company]], 121)</f>
        <v>10.95</v>
      </c>
      <c r="M220" s="177" cm="1">
        <f t="array" ref="M220">Common_InputFunctions.Utility_DisplayArrayInTable(Fertiliser_SourceData.Fertiliser_Products_Data5(),FertiliserProducts[[#Headers],[Company]], 121)</f>
        <v>11.35</v>
      </c>
      <c r="N220" s="177" cm="1">
        <f t="array" ref="N220">Common_InputFunctions.Utility_DisplayArrayInTable(Fertiliser_SourceData.Fertiliser_Products_Data5(),FertiliserProducts[[#Headers],[Company]], 121)</f>
        <v>6.55</v>
      </c>
      <c r="O220" s="177" t="str" cm="1">
        <f t="array" ref="O220">Common_InputFunctions.Utility_DisplayArrayInTable(Fertiliser_SourceData.Fertiliser_Products_Data5(),FertiliserProducts[[#Headers],[Company]], 121)</f>
        <v>Monoammonium phosphate (MAP)</v>
      </c>
      <c r="P220" s="177" cm="1">
        <f t="array" ref="P220">Common_InputFunctions.Utility_DisplayArrayInTable(Fertiliser_SourceData.Fertiliser_Products_Data5(),FertiliserProducts[[#Headers],[Company]], 121)</f>
        <v>0.5</v>
      </c>
      <c r="Q220" s="177" t="str" cm="1">
        <f t="array" ref="Q220">Common_InputFunctions.Utility_DisplayArrayInTable(Fertiliser_SourceData.Fertiliser_Products_Data5(),FertiliserProducts[[#Headers],[Company]], 121)</f>
        <v>Sulphate of ammonia (SOA)</v>
      </c>
      <c r="R220" s="177" cm="1">
        <f t="array" ref="R220">Common_InputFunctions.Utility_DisplayArrayInTable(Fertiliser_SourceData.Fertiliser_Products_Data5(),FertiliserProducts[[#Headers],[Company]], 121)</f>
        <v>0.27300000000000002</v>
      </c>
      <c r="S220" s="177" t="str" cm="1">
        <f t="array" ref="S220">Common_InputFunctions.Utility_DisplayArrayInTable(Fertiliser_SourceData.Fertiliser_Products_Data5(),FertiliserProducts[[#Headers],[Company]], 121)</f>
        <v>Muriate of potash (MOP)</v>
      </c>
      <c r="T220" s="177" cm="1">
        <f t="array" ref="T220">Common_InputFunctions.Utility_DisplayArrayInTable(Fertiliser_SourceData.Fertiliser_Products_Data5(),FertiliserProducts[[#Headers],[Company]], 121)</f>
        <v>0.22700000000000001</v>
      </c>
      <c r="U220" s="177" t="str" cm="1">
        <f t="array" ref="U220">Common_InputFunctions.Utility_DisplayArrayInTable(Fertiliser_SourceData.Fertiliser_Products_Data5(),FertiliserProducts[[#Headers],[Company]], 121)</f>
        <v>Copper</v>
      </c>
      <c r="V220" s="177" t="str" cm="1">
        <f t="array" ref="V220">Common_InputFunctions.Utility_DisplayArrayInTable(Fertiliser_SourceData.Fertiliser_Products_Data5(),FertiliserProducts[[#Headers],[Company]], 121)</f>
        <v>No data</v>
      </c>
      <c r="W220" s="177" t="str" cm="1">
        <f t="array" ref="W220">Common_InputFunctions.Utility_DisplayArrayInTable(Fertiliser_SourceData.Fertiliser_Products_Data5(),FertiliserProducts[[#Headers],[Company]], 121)</f>
        <v>Zinc</v>
      </c>
      <c r="X220" s="177" t="str" cm="1">
        <f t="array" ref="X220">Common_InputFunctions.Utility_DisplayArrayInTable(Fertiliser_SourceData.Fertiliser_Products_Data5(),FertiliserProducts[[#Headers],[Company]], 121)</f>
        <v>No data</v>
      </c>
      <c r="Y220" s="177" t="str" cm="1">
        <f t="array" ref="Y220">Common_InputFunctions.Utility_DisplayArrayInTable(Fertiliser_SourceData.Fertiliser_Products_Data5(),FertiliserProducts[[#Headers],[Company]], 121)</f>
        <v/>
      </c>
      <c r="Z220" s="177" t="str" cm="1">
        <f t="array" ref="Z220">Common_InputFunctions.Utility_DisplayArrayInTable(Fertiliser_SourceData.Fertiliser_Products_Data5(),FertiliserProducts[[#Headers],[Company]], 121)</f>
        <v/>
      </c>
      <c r="AA220" s="177" t="str" cm="1">
        <f t="array" ref="AA220">Common_InputFunctions.Utility_DisplayArrayInTable(Fertiliser_SourceData.Fertiliser_Products_Data5(),FertiliserProducts[[#Headers],[Company]], 121)</f>
        <v/>
      </c>
      <c r="AB220" s="177" t="str" cm="1">
        <f t="array" ref="AB220">Common_InputFunctions.Utility_DisplayArrayInTable(Fertiliser_SourceData.Fertiliser_Products_Data5(),FertiliserProducts[[#Headers],[Company]], 121)</f>
        <v/>
      </c>
      <c r="AC220" s="177" t="str" cm="1">
        <f t="array" ref="AC220">Common_InputFunctions.Utility_DisplayArrayInTable(Fertiliser_SourceData.Fertiliser_Products_Data5(),FertiliserProducts[[#Headers],[Company]], 121)</f>
        <v/>
      </c>
      <c r="AD220" s="177" t="str" cm="1">
        <f t="array" ref="AD220">Common_InputFunctions.Utility_DisplayArrayInTable(Fertiliser_SourceData.Fertiliser_Products_Data5(),FertiliserProducts[[#Headers],[Company]], 121)</f>
        <v/>
      </c>
      <c r="AE220" s="177" t="str" cm="1">
        <f t="array" ref="AE220">Common_InputFunctions.Utility_DisplayArrayInTable(Fertiliser_SourceData.Fertiliser_Products_Data5(),FertiliserProducts[[#Headers],[Company]], 121)</f>
        <v/>
      </c>
      <c r="AF220" s="177" t="str" cm="1">
        <f t="array" ref="AF220">Common_InputFunctions.Utility_DisplayArrayInTable(Fertiliser_SourceData.Fertiliser_Products_Data5(),FertiliserProducts[[#Headers],[Company]], 121)</f>
        <v/>
      </c>
      <c r="AG220" s="177" t="str" cm="1">
        <f t="array" ref="AG220">Common_InputFunctions.Utility_DisplayArrayInTable(Fertiliser_SourceData.Fertiliser_Products_Data5(),FertiliserProducts[[#Headers],[Company]], 121)</f>
        <v/>
      </c>
      <c r="AH220" s="177" t="str" cm="1">
        <f t="array" ref="AH220">Common_InputFunctions.Utility_DisplayArrayInTable(Fertiliser_SourceData.Fertiliser_Products_Data5(),FertiliserProducts[[#Headers],[Company]], 121)</f>
        <v/>
      </c>
    </row>
    <row r="221" spans="4:34" x14ac:dyDescent="0.25" ht="20" customHeight="1">
      <c r="D221" s="177" t="str" cm="1">
        <f t="array" ref="D221">Common_InputFunctions.Utility_DisplayArrayInTable(Fertiliser_SourceData.Fertiliser_Products_Data5(),FertiliserProducts[[#Headers],[Company]], 121)</f>
        <v>CSBP</v>
      </c>
      <c r="E221" s="177" t="str" cm="1">
        <f t="array" ref="E221">Common_InputFunctions.Utility_DisplayArrayInTable(Fertiliser_SourceData.Fertiliser_Products_Data5(),FertiliserProducts[[#Headers],[Company]], 121)</f>
        <v>Agras Extra</v>
      </c>
      <c r="F221" s="177" t="str" cm="1">
        <f t="array" ref="F221">Common_InputFunctions.Utility_DisplayArrayInTable(Fertiliser_SourceData.Fertiliser_Products_Data5(),FertiliserProducts[[#Headers],[Company]], 121)</f>
        <v>kg</v>
      </c>
      <c r="G221" s="177" cm="1">
        <f t="array" ref="G221">Common_InputFunctions.Utility_DisplayArrayInTable(Fertiliser_SourceData.Fertiliser_Products_Data5(),FertiliserProducts[[#Headers],[Company]], 121)</f>
        <v>1</v>
      </c>
      <c r="H221" s="177" t="str" cm="1">
        <f t="array" ref="H221">Common_InputFunctions.Utility_DisplayArrayInTable(Fertiliser_SourceData.Fertiliser_Products_Data5(),FertiliserProducts[[#Headers],[Company]], 121)</f>
        <v/>
      </c>
      <c r="I221" s="177" t="str" cm="1">
        <f t="array" ref="I221">Common_InputFunctions.Utility_DisplayArrayInTable(Fertiliser_SourceData.Fertiliser_Products_Data5(),FertiliserProducts[[#Headers],[Company]], 121)</f>
        <v/>
      </c>
      <c r="J221" s="177" t="str" cm="1">
        <f t="array" ref="J221">Common_InputFunctions.Utility_DisplayArrayInTable(Fertiliser_SourceData.Fertiliser_Products_Data5(),FertiliserProducts[[#Headers],[Company]], 121)</f>
        <v/>
      </c>
      <c r="K221" s="177" cm="1">
        <f t="array" ref="K221">Common_InputFunctions.Utility_DisplayArrayInTable(Fertiliser_SourceData.Fertiliser_Products_Data5(),FertiliserProducts[[#Headers],[Company]], 121)</f>
        <v>16.95</v>
      </c>
      <c r="L221" s="177" cm="1">
        <f t="array" ref="L221">Common_InputFunctions.Utility_DisplayArrayInTable(Fertiliser_SourceData.Fertiliser_Products_Data5(),FertiliserProducts[[#Headers],[Company]], 121)</f>
        <v>8.06</v>
      </c>
      <c r="M221" s="177" t="str" cm="1">
        <f t="array" ref="M221">Common_InputFunctions.Utility_DisplayArrayInTable(Fertiliser_SourceData.Fertiliser_Products_Data5(),FertiliserProducts[[#Headers],[Company]], 121)</f>
        <v/>
      </c>
      <c r="N221" s="177" cm="1">
        <f t="array" ref="N221">Common_InputFunctions.Utility_DisplayArrayInTable(Fertiliser_SourceData.Fertiliser_Products_Data5(),FertiliserProducts[[#Headers],[Company]], 121)</f>
        <v>15.17</v>
      </c>
      <c r="O221" s="177" t="str" cm="1">
        <f t="array" ref="O221">Common_InputFunctions.Utility_DisplayArrayInTable(Fertiliser_SourceData.Fertiliser_Products_Data5(),FertiliserProducts[[#Headers],[Company]], 121)</f>
        <v>Sulphate of ammonia (SOA)</v>
      </c>
      <c r="P221" s="177" cm="1">
        <f t="array" ref="P221">Common_InputFunctions.Utility_DisplayArrayInTable(Fertiliser_SourceData.Fertiliser_Products_Data5(),FertiliserProducts[[#Headers],[Company]], 121)</f>
        <v>0.63200000000000001</v>
      </c>
      <c r="Q221" s="177" t="str" cm="1">
        <f t="array" ref="Q221">Common_InputFunctions.Utility_DisplayArrayInTable(Fertiliser_SourceData.Fertiliser_Products_Data5(),FertiliserProducts[[#Headers],[Company]], 121)</f>
        <v>Monoammonium phosphate (MAP)</v>
      </c>
      <c r="R221" s="177" cm="1">
        <f t="array" ref="R221">Common_InputFunctions.Utility_DisplayArrayInTable(Fertiliser_SourceData.Fertiliser_Products_Data5(),FertiliserProducts[[#Headers],[Company]], 121)</f>
        <v>0.36799999999999999</v>
      </c>
      <c r="S221" s="177" t="str" cm="1">
        <f t="array" ref="S221">Common_InputFunctions.Utility_DisplayArrayInTable(Fertiliser_SourceData.Fertiliser_Products_Data5(),FertiliserProducts[[#Headers],[Company]], 121)</f>
        <v>Zinc</v>
      </c>
      <c r="T221" s="177" t="str" cm="1">
        <f t="array" ref="T221">Common_InputFunctions.Utility_DisplayArrayInTable(Fertiliser_SourceData.Fertiliser_Products_Data5(),FertiliserProducts[[#Headers],[Company]], 121)</f>
        <v>No data</v>
      </c>
      <c r="U221" s="177" t="str" cm="1">
        <f t="array" ref="U221">Common_InputFunctions.Utility_DisplayArrayInTable(Fertiliser_SourceData.Fertiliser_Products_Data5(),FertiliserProducts[[#Headers],[Company]], 121)</f>
        <v>Copper</v>
      </c>
      <c r="V221" s="177" t="str" cm="1">
        <f t="array" ref="V221">Common_InputFunctions.Utility_DisplayArrayInTable(Fertiliser_SourceData.Fertiliser_Products_Data5(),FertiliserProducts[[#Headers],[Company]], 121)</f>
        <v>No data</v>
      </c>
      <c r="W221" s="177" t="str" cm="1">
        <f t="array" ref="W221">Common_InputFunctions.Utility_DisplayArrayInTable(Fertiliser_SourceData.Fertiliser_Products_Data5(),FertiliserProducts[[#Headers],[Company]], 121)</f>
        <v>Molybdenum</v>
      </c>
      <c r="X221" s="177" t="str" cm="1">
        <f t="array" ref="X221">Common_InputFunctions.Utility_DisplayArrayInTable(Fertiliser_SourceData.Fertiliser_Products_Data5(),FertiliserProducts[[#Headers],[Company]], 121)</f>
        <v>No data</v>
      </c>
      <c r="Y221" s="177" t="str" cm="1">
        <f t="array" ref="Y221">Common_InputFunctions.Utility_DisplayArrayInTable(Fertiliser_SourceData.Fertiliser_Products_Data5(),FertiliserProducts[[#Headers],[Company]], 121)</f>
        <v>Cobalt</v>
      </c>
      <c r="Z221" s="177" t="str" cm="1">
        <f t="array" ref="Z221">Common_InputFunctions.Utility_DisplayArrayInTable(Fertiliser_SourceData.Fertiliser_Products_Data5(),FertiliserProducts[[#Headers],[Company]], 121)</f>
        <v>No data</v>
      </c>
      <c r="AA221" s="177" t="str" cm="1">
        <f t="array" ref="AA221">Common_InputFunctions.Utility_DisplayArrayInTable(Fertiliser_SourceData.Fertiliser_Products_Data5(),FertiliserProducts[[#Headers],[Company]], 121)</f>
        <v/>
      </c>
      <c r="AB221" s="177" t="str" cm="1">
        <f t="array" ref="AB221">Common_InputFunctions.Utility_DisplayArrayInTable(Fertiliser_SourceData.Fertiliser_Products_Data5(),FertiliserProducts[[#Headers],[Company]], 121)</f>
        <v/>
      </c>
      <c r="AC221" s="177" t="str" cm="1">
        <f t="array" ref="AC221">Common_InputFunctions.Utility_DisplayArrayInTable(Fertiliser_SourceData.Fertiliser_Products_Data5(),FertiliserProducts[[#Headers],[Company]], 121)</f>
        <v/>
      </c>
      <c r="AD221" s="177" t="str" cm="1">
        <f t="array" ref="AD221">Common_InputFunctions.Utility_DisplayArrayInTable(Fertiliser_SourceData.Fertiliser_Products_Data5(),FertiliserProducts[[#Headers],[Company]], 121)</f>
        <v/>
      </c>
      <c r="AE221" s="177" t="str" cm="1">
        <f t="array" ref="AE221">Common_InputFunctions.Utility_DisplayArrayInTable(Fertiliser_SourceData.Fertiliser_Products_Data5(),FertiliserProducts[[#Headers],[Company]], 121)</f>
        <v/>
      </c>
      <c r="AF221" s="177" t="str" cm="1">
        <f t="array" ref="AF221">Common_InputFunctions.Utility_DisplayArrayInTable(Fertiliser_SourceData.Fertiliser_Products_Data5(),FertiliserProducts[[#Headers],[Company]], 121)</f>
        <v/>
      </c>
      <c r="AG221" s="177" t="str" cm="1">
        <f t="array" ref="AG221">Common_InputFunctions.Utility_DisplayArrayInTable(Fertiliser_SourceData.Fertiliser_Products_Data5(),FertiliserProducts[[#Headers],[Company]], 121)</f>
        <v/>
      </c>
      <c r="AH221" s="177" t="str" cm="1">
        <f t="array" ref="AH221">Common_InputFunctions.Utility_DisplayArrayInTable(Fertiliser_SourceData.Fertiliser_Products_Data5(),FertiliserProducts[[#Headers],[Company]], 121)</f>
        <v/>
      </c>
    </row>
    <row r="222" spans="4:34" x14ac:dyDescent="0.25" ht="20" customHeight="1">
      <c r="D222" s="177" t="str" cm="1">
        <f t="array" ref="D222">Common_InputFunctions.Utility_DisplayArrayInTable(Fertiliser_SourceData.Fertiliser_Products_Data5(),FertiliserProducts[[#Headers],[Company]], 121)</f>
        <v>CSBP</v>
      </c>
      <c r="E222" s="177" t="str" cm="1">
        <f t="array" ref="E222">Common_InputFunctions.Utility_DisplayArrayInTable(Fertiliser_SourceData.Fertiliser_Products_Data5(),FertiliserProducts[[#Headers],[Company]], 121)</f>
        <v>Super Copper Zinc Moly</v>
      </c>
      <c r="F222" s="177" t="str" cm="1">
        <f t="array" ref="F222">Common_InputFunctions.Utility_DisplayArrayInTable(Fertiliser_SourceData.Fertiliser_Products_Data5(),FertiliserProducts[[#Headers],[Company]], 121)</f>
        <v>kg</v>
      </c>
      <c r="G222" s="177" cm="1">
        <f t="array" ref="G222">Common_InputFunctions.Utility_DisplayArrayInTable(Fertiliser_SourceData.Fertiliser_Products_Data5(),FertiliserProducts[[#Headers],[Company]], 121)</f>
        <v>1</v>
      </c>
      <c r="H222" s="177" t="str" cm="1">
        <f t="array" ref="H222">Common_InputFunctions.Utility_DisplayArrayInTable(Fertiliser_SourceData.Fertiliser_Products_Data5(),FertiliserProducts[[#Headers],[Company]], 121)</f>
        <v/>
      </c>
      <c r="I222" s="177" t="str" cm="1">
        <f t="array" ref="I222">Common_InputFunctions.Utility_DisplayArrayInTable(Fertiliser_SourceData.Fertiliser_Products_Data5(),FertiliserProducts[[#Headers],[Company]], 121)</f>
        <v/>
      </c>
      <c r="J222" s="177" t="str" cm="1">
        <f t="array" ref="J222">Common_InputFunctions.Utility_DisplayArrayInTable(Fertiliser_SourceData.Fertiliser_Products_Data5(),FertiliserProducts[[#Headers],[Company]], 121)</f>
        <v/>
      </c>
      <c r="K222" s="177" t="str" cm="1">
        <f t="array" ref="K222">Common_InputFunctions.Utility_DisplayArrayInTable(Fertiliser_SourceData.Fertiliser_Products_Data5(),FertiliserProducts[[#Headers],[Company]], 121)</f>
        <v/>
      </c>
      <c r="L222" s="177" cm="1">
        <f t="array" ref="L222">Common_InputFunctions.Utility_DisplayArrayInTable(Fertiliser_SourceData.Fertiliser_Products_Data5(),FertiliserProducts[[#Headers],[Company]], 121)</f>
        <v>8.8000000000000007</v>
      </c>
      <c r="M222" s="177" t="str" cm="1">
        <f t="array" ref="M222">Common_InputFunctions.Utility_DisplayArrayInTable(Fertiliser_SourceData.Fertiliser_Products_Data5(),FertiliserProducts[[#Headers],[Company]], 121)</f>
        <v/>
      </c>
      <c r="N222" s="177" cm="1">
        <f t="array" ref="N222">Common_InputFunctions.Utility_DisplayArrayInTable(Fertiliser_SourceData.Fertiliser_Products_Data5(),FertiliserProducts[[#Headers],[Company]], 121)</f>
        <v>11</v>
      </c>
      <c r="O222" s="177" t="str" cm="1">
        <f t="array" ref="O222">Common_InputFunctions.Utility_DisplayArrayInTable(Fertiliser_SourceData.Fertiliser_Products_Data5(),FertiliserProducts[[#Headers],[Company]], 121)</f>
        <v>Single superphosphate (SSP)</v>
      </c>
      <c r="P222" s="177" cm="1">
        <f t="array" ref="P222">Common_InputFunctions.Utility_DisplayArrayInTable(Fertiliser_SourceData.Fertiliser_Products_Data5(),FertiliserProducts[[#Headers],[Company]], 121)</f>
        <v>1</v>
      </c>
      <c r="Q222" s="177" t="str" cm="1">
        <f t="array" ref="Q222">Common_InputFunctions.Utility_DisplayArrayInTable(Fertiliser_SourceData.Fertiliser_Products_Data5(),FertiliserProducts[[#Headers],[Company]], 121)</f>
        <v>Copper</v>
      </c>
      <c r="R222" s="177" cm="1">
        <f t="array" ref="R222">Common_InputFunctions.Utility_DisplayArrayInTable(Fertiliser_SourceData.Fertiliser_Products_Data5(),FertiliserProducts[[#Headers],[Company]], 121)</f>
        <v>6.0000000000000001E-3</v>
      </c>
      <c r="S222" s="177" t="str" cm="1">
        <f t="array" ref="S222">Common_InputFunctions.Utility_DisplayArrayInTable(Fertiliser_SourceData.Fertiliser_Products_Data5(),FertiliserProducts[[#Headers],[Company]], 121)</f>
        <v>Zinc</v>
      </c>
      <c r="T222" s="177" cm="1">
        <f t="array" ref="T222">Common_InputFunctions.Utility_DisplayArrayInTable(Fertiliser_SourceData.Fertiliser_Products_Data5(),FertiliserProducts[[#Headers],[Company]], 121)</f>
        <v>3.0000000000000001E-3</v>
      </c>
      <c r="U222" s="177" t="str" cm="1">
        <f t="array" ref="U222">Common_InputFunctions.Utility_DisplayArrayInTable(Fertiliser_SourceData.Fertiliser_Products_Data5(),FertiliserProducts[[#Headers],[Company]], 121)</f>
        <v>Molybdenum</v>
      </c>
      <c r="V222" s="177" cm="1">
        <f t="array" ref="V222">Common_InputFunctions.Utility_DisplayArrayInTable(Fertiliser_SourceData.Fertiliser_Products_Data5(),FertiliserProducts[[#Headers],[Company]], 121)</f>
        <v>5.9999999999999995E-4</v>
      </c>
      <c r="W222" s="177" t="str" cm="1">
        <f t="array" ref="W222">Common_InputFunctions.Utility_DisplayArrayInTable(Fertiliser_SourceData.Fertiliser_Products_Data5(),FertiliserProducts[[#Headers],[Company]], 121)</f>
        <v/>
      </c>
      <c r="X222" s="177" t="str" cm="1">
        <f t="array" ref="X222">Common_InputFunctions.Utility_DisplayArrayInTable(Fertiliser_SourceData.Fertiliser_Products_Data5(),FertiliserProducts[[#Headers],[Company]], 121)</f>
        <v/>
      </c>
      <c r="Y222" s="177" t="str" cm="1">
        <f t="array" ref="Y222">Common_InputFunctions.Utility_DisplayArrayInTable(Fertiliser_SourceData.Fertiliser_Products_Data5(),FertiliserProducts[[#Headers],[Company]], 121)</f>
        <v/>
      </c>
      <c r="Z222" s="177" t="str" cm="1">
        <f t="array" ref="Z222">Common_InputFunctions.Utility_DisplayArrayInTable(Fertiliser_SourceData.Fertiliser_Products_Data5(),FertiliserProducts[[#Headers],[Company]], 121)</f>
        <v/>
      </c>
      <c r="AA222" s="177" t="str" cm="1">
        <f t="array" ref="AA222">Common_InputFunctions.Utility_DisplayArrayInTable(Fertiliser_SourceData.Fertiliser_Products_Data5(),FertiliserProducts[[#Headers],[Company]], 121)</f>
        <v/>
      </c>
      <c r="AB222" s="177" t="str" cm="1">
        <f t="array" ref="AB222">Common_InputFunctions.Utility_DisplayArrayInTable(Fertiliser_SourceData.Fertiliser_Products_Data5(),FertiliserProducts[[#Headers],[Company]], 121)</f>
        <v/>
      </c>
      <c r="AC222" s="177" t="str" cm="1">
        <f t="array" ref="AC222">Common_InputFunctions.Utility_DisplayArrayInTable(Fertiliser_SourceData.Fertiliser_Products_Data5(),FertiliserProducts[[#Headers],[Company]], 121)</f>
        <v/>
      </c>
      <c r="AD222" s="177" t="str" cm="1">
        <f t="array" ref="AD222">Common_InputFunctions.Utility_DisplayArrayInTable(Fertiliser_SourceData.Fertiliser_Products_Data5(),FertiliserProducts[[#Headers],[Company]], 121)</f>
        <v/>
      </c>
      <c r="AE222" s="177" t="str" cm="1">
        <f t="array" ref="AE222">Common_InputFunctions.Utility_DisplayArrayInTable(Fertiliser_SourceData.Fertiliser_Products_Data5(),FertiliserProducts[[#Headers],[Company]], 121)</f>
        <v/>
      </c>
      <c r="AF222" s="177" t="str" cm="1">
        <f t="array" ref="AF222">Common_InputFunctions.Utility_DisplayArrayInTable(Fertiliser_SourceData.Fertiliser_Products_Data5(),FertiliserProducts[[#Headers],[Company]], 121)</f>
        <v/>
      </c>
      <c r="AG222" s="177" t="str" cm="1">
        <f t="array" ref="AG222">Common_InputFunctions.Utility_DisplayArrayInTable(Fertiliser_SourceData.Fertiliser_Products_Data5(),FertiliserProducts[[#Headers],[Company]], 121)</f>
        <v/>
      </c>
      <c r="AH222" s="177" t="str" cm="1">
        <f t="array" ref="AH222">Common_InputFunctions.Utility_DisplayArrayInTable(Fertiliser_SourceData.Fertiliser_Products_Data5(),FertiliserProducts[[#Headers],[Company]], 121)</f>
        <v/>
      </c>
    </row>
    <row r="223" spans="4:34" x14ac:dyDescent="0.25" ht="20" customHeight="1">
      <c r="D223" s="177" t="str" cm="1">
        <f t="array" ref="D223">Common_InputFunctions.Utility_DisplayArrayInTable(Fertiliser_SourceData.Fertiliser_Products_Data5(),FertiliserProducts[[#Headers],[Company]], 121)</f>
        <v>CSBP</v>
      </c>
      <c r="E223" s="177" t="str" cm="1">
        <f t="array" ref="E223">Common_InputFunctions.Utility_DisplayArrayInTable(Fertiliser_SourceData.Fertiliser_Products_Data5(),FertiliserProducts[[#Headers],[Company]], 121)</f>
        <v>Flexi-N</v>
      </c>
      <c r="F223" s="177" t="str" cm="1">
        <f t="array" ref="F223">Common_InputFunctions.Utility_DisplayArrayInTable(Fertiliser_SourceData.Fertiliser_Products_Data5(),FertiliserProducts[[#Headers],[Company]], 121)</f>
        <v>L</v>
      </c>
      <c r="G223" s="177" cm="1">
        <f t="array" ref="G223">Common_InputFunctions.Utility_DisplayArrayInTable(Fertiliser_SourceData.Fertiliser_Products_Data5(),FertiliserProducts[[#Headers],[Company]], 121)</f>
        <v>1.32</v>
      </c>
      <c r="H223" s="177" t="str" cm="1">
        <f t="array" ref="H223">Common_InputFunctions.Utility_DisplayArrayInTable(Fertiliser_SourceData.Fertiliser_Products_Data5(),FertiliserProducts[[#Headers],[Company]], 121)</f>
        <v/>
      </c>
      <c r="I223" s="177" t="str" cm="1">
        <f t="array" ref="I223">Common_InputFunctions.Utility_DisplayArrayInTable(Fertiliser_SourceData.Fertiliser_Products_Data5(),FertiliserProducts[[#Headers],[Company]], 121)</f>
        <v/>
      </c>
      <c r="J223" s="177" t="str" cm="1">
        <f t="array" ref="J223">Common_InputFunctions.Utility_DisplayArrayInTable(Fertiliser_SourceData.Fertiliser_Products_Data5(),FertiliserProducts[[#Headers],[Company]], 121)</f>
        <v/>
      </c>
      <c r="K223" s="177" cm="1">
        <f t="array" ref="K223">Common_InputFunctions.Utility_DisplayArrayInTable(Fertiliser_SourceData.Fertiliser_Products_Data5(),FertiliserProducts[[#Headers],[Company]], 121)</f>
        <v>32</v>
      </c>
      <c r="L223" s="177" t="str" cm="1">
        <f t="array" ref="L223">Common_InputFunctions.Utility_DisplayArrayInTable(Fertiliser_SourceData.Fertiliser_Products_Data5(),FertiliserProducts[[#Headers],[Company]], 121)</f>
        <v/>
      </c>
      <c r="M223" s="177" t="str" cm="1">
        <f t="array" ref="M223">Common_InputFunctions.Utility_DisplayArrayInTable(Fertiliser_SourceData.Fertiliser_Products_Data5(),FertiliserProducts[[#Headers],[Company]], 121)</f>
        <v/>
      </c>
      <c r="N223" s="177" t="str" cm="1">
        <f t="array" ref="N223">Common_InputFunctions.Utility_DisplayArrayInTable(Fertiliser_SourceData.Fertiliser_Products_Data5(),FertiliserProducts[[#Headers],[Company]], 121)</f>
        <v/>
      </c>
      <c r="O223" s="177" t="str" cm="1">
        <f t="array" ref="O223">Common_InputFunctions.Utility_DisplayArrayInTable(Fertiliser_SourceData.Fertiliser_Products_Data5(),FertiliserProducts[[#Headers],[Company]], 121)</f>
        <v>Urea-ammonium nitrate (UAN)</v>
      </c>
      <c r="P223" s="177" cm="1">
        <f t="array" ref="P223">Common_InputFunctions.Utility_DisplayArrayInTable(Fertiliser_SourceData.Fertiliser_Products_Data5(),FertiliserProducts[[#Headers],[Company]], 121)</f>
        <v>1</v>
      </c>
      <c r="Q223" s="177" t="str" cm="1">
        <f t="array" ref="Q223">Common_InputFunctions.Utility_DisplayArrayInTable(Fertiliser_SourceData.Fertiliser_Products_Data5(),FertiliserProducts[[#Headers],[Company]], 121)</f>
        <v/>
      </c>
      <c r="R223" s="177" t="str" cm="1">
        <f t="array" ref="R223">Common_InputFunctions.Utility_DisplayArrayInTable(Fertiliser_SourceData.Fertiliser_Products_Data5(),FertiliserProducts[[#Headers],[Company]], 121)</f>
        <v/>
      </c>
      <c r="S223" s="177" t="str" cm="1">
        <f t="array" ref="S223">Common_InputFunctions.Utility_DisplayArrayInTable(Fertiliser_SourceData.Fertiliser_Products_Data5(),FertiliserProducts[[#Headers],[Company]], 121)</f>
        <v/>
      </c>
      <c r="T223" s="177" t="str" cm="1">
        <f t="array" ref="T223">Common_InputFunctions.Utility_DisplayArrayInTable(Fertiliser_SourceData.Fertiliser_Products_Data5(),FertiliserProducts[[#Headers],[Company]], 121)</f>
        <v/>
      </c>
      <c r="U223" s="177" t="str" cm="1">
        <f t="array" ref="U223">Common_InputFunctions.Utility_DisplayArrayInTable(Fertiliser_SourceData.Fertiliser_Products_Data5(),FertiliserProducts[[#Headers],[Company]], 121)</f>
        <v/>
      </c>
      <c r="V223" s="177" t="str" cm="1">
        <f t="array" ref="V223">Common_InputFunctions.Utility_DisplayArrayInTable(Fertiliser_SourceData.Fertiliser_Products_Data5(),FertiliserProducts[[#Headers],[Company]], 121)</f>
        <v/>
      </c>
      <c r="W223" s="177" t="str" cm="1">
        <f t="array" ref="W223">Common_InputFunctions.Utility_DisplayArrayInTable(Fertiliser_SourceData.Fertiliser_Products_Data5(),FertiliserProducts[[#Headers],[Company]], 121)</f>
        <v/>
      </c>
      <c r="X223" s="177" t="str" cm="1">
        <f t="array" ref="X223">Common_InputFunctions.Utility_DisplayArrayInTable(Fertiliser_SourceData.Fertiliser_Products_Data5(),FertiliserProducts[[#Headers],[Company]], 121)</f>
        <v/>
      </c>
      <c r="Y223" s="177" t="str" cm="1">
        <f t="array" ref="Y223">Common_InputFunctions.Utility_DisplayArrayInTable(Fertiliser_SourceData.Fertiliser_Products_Data5(),FertiliserProducts[[#Headers],[Company]], 121)</f>
        <v/>
      </c>
      <c r="Z223" s="177" t="str" cm="1">
        <f t="array" ref="Z223">Common_InputFunctions.Utility_DisplayArrayInTable(Fertiliser_SourceData.Fertiliser_Products_Data5(),FertiliserProducts[[#Headers],[Company]], 121)</f>
        <v/>
      </c>
      <c r="AA223" s="177" t="str" cm="1">
        <f t="array" ref="AA223">Common_InputFunctions.Utility_DisplayArrayInTable(Fertiliser_SourceData.Fertiliser_Products_Data5(),FertiliserProducts[[#Headers],[Company]], 121)</f>
        <v/>
      </c>
      <c r="AB223" s="177" t="str" cm="1">
        <f t="array" ref="AB223">Common_InputFunctions.Utility_DisplayArrayInTable(Fertiliser_SourceData.Fertiliser_Products_Data5(),FertiliserProducts[[#Headers],[Company]], 121)</f>
        <v/>
      </c>
      <c r="AC223" s="177" t="str" cm="1">
        <f t="array" ref="AC223">Common_InputFunctions.Utility_DisplayArrayInTable(Fertiliser_SourceData.Fertiliser_Products_Data5(),FertiliserProducts[[#Headers],[Company]], 121)</f>
        <v/>
      </c>
      <c r="AD223" s="177" t="str" cm="1">
        <f t="array" ref="AD223">Common_InputFunctions.Utility_DisplayArrayInTable(Fertiliser_SourceData.Fertiliser_Products_Data5(),FertiliserProducts[[#Headers],[Company]], 121)</f>
        <v/>
      </c>
      <c r="AE223" s="177" t="str" cm="1">
        <f t="array" ref="AE223">Common_InputFunctions.Utility_DisplayArrayInTable(Fertiliser_SourceData.Fertiliser_Products_Data5(),FertiliserProducts[[#Headers],[Company]], 121)</f>
        <v/>
      </c>
      <c r="AF223" s="177" t="str" cm="1">
        <f t="array" ref="AF223">Common_InputFunctions.Utility_DisplayArrayInTable(Fertiliser_SourceData.Fertiliser_Products_Data5(),FertiliserProducts[[#Headers],[Company]], 121)</f>
        <v/>
      </c>
      <c r="AG223" s="177" t="str" cm="1">
        <f t="array" ref="AG223">Common_InputFunctions.Utility_DisplayArrayInTable(Fertiliser_SourceData.Fertiliser_Products_Data5(),FertiliserProducts[[#Headers],[Company]], 121)</f>
        <v/>
      </c>
      <c r="AH223" s="177"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5376-9F9E-4762-851F-5BAEA874EB07}">
  <sheetPr>
    <tabColor theme="2" tint="-0.499984740745262"/>
  </sheetPr>
  <dimension ref="A1:AI1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851</v>
      </c>
      <c r="AG1"/>
      <c r="AH1"/>
      <c r="AI1"/>
    </row>
    <row r="2" spans="1:35" s="3" customFormat="1" ht="20" customHeight="1" x14ac:dyDescent="0.25">
      <c r="A2"/>
      <c r="AG2"/>
      <c r="AH2"/>
      <c r="AI2"/>
    </row>
    <row r="3" spans="1:35" ht="20"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 customHeight="1" x14ac:dyDescent="0.25">
      <c r="A4" s="5" t="str">
        <f>HYPERLINK("#'Results - Activity period'!A1", "Results - Activity period")</f>
        <v>Results - Activity period</v>
      </c>
    </row>
    <row r="5" spans="1:35" ht="20" customHeight="1" x14ac:dyDescent="0.25">
      <c r="A5" s="5" t="str">
        <f>HYPERLINK("#'Results - Product EI'!A1", "Results - Product Emissions Intensity")</f>
        <v>Results - Product Emissions Intensity</v>
      </c>
      <c r="D5" s="2" t="str" cm="1">
        <f t="array" ref="D5">Fuel_SourceData.Fuel_Scope1Scope3EmissionFactorsTransport_Title()</f>
        <v>Fuel scope 1 and 3 emission factors - Transport</v>
      </c>
      <c r="E5" s="168"/>
      <c r="F5" s="168"/>
      <c r="G5" s="168"/>
      <c r="H5" s="168"/>
      <c r="I5" s="168"/>
      <c r="J5" s="168"/>
      <c r="K5" s="168"/>
      <c r="L5" s="168"/>
    </row>
    <row r="6" spans="1:35" ht="20" customHeight="1" x14ac:dyDescent="0.25">
      <c r="D6" s="1" t="str" cm="1">
        <f t="array" ref="D6">Fuel_SourceData.Fuel_Scope1Scope3EmissionFactorsTransport_Description()</f>
        <v>Direct (scope 1) and indirect (scope 3) emission factors for the consumption of transport fuels in different transport equipment</v>
      </c>
      <c r="E6" s="168"/>
      <c r="F6" s="168"/>
      <c r="G6" s="168"/>
      <c r="H6" s="168"/>
      <c r="I6" s="168"/>
      <c r="J6" s="168"/>
      <c r="K6" s="168"/>
      <c r="L6" s="168"/>
    </row>
    <row r="7" spans="1:35" ht="20" customHeight="1" x14ac:dyDescent="0.25">
      <c r="D7" s="17" t="str" cm="1">
        <f t="array" ref="D7">Fuel_SourceData.Fuel_Scope1Scope3EmissionFactorsTransport_Source()</f>
        <v>Australian National Greenhouse Accounts Factors 2025 - Table 9</v>
      </c>
      <c r="E7" s="168"/>
      <c r="F7" s="168"/>
      <c r="G7" s="168"/>
      <c r="H7" s="168"/>
      <c r="I7" s="168"/>
      <c r="J7" s="168"/>
      <c r="K7" s="168"/>
      <c r="L7" s="168"/>
    </row>
    <row r="8" spans="1:35" ht="20" customHeight="1" x14ac:dyDescent="0.25">
      <c r="A8" s="7" t="s">
        <v>0</v>
      </c>
      <c r="D8" s="26" t="str" cm="1">
        <f t="array" ref="D8">"⚠️" &amp; Fuel_SourceData.Fuel_Scope1Scope3EmissionFactorsTransport_Variation()</f>
        <v>⚠️VARIATION OF SOURCE DATA: 'NE' values returned as zero for calculations.</v>
      </c>
      <c r="E8" s="168"/>
      <c r="F8" s="168"/>
      <c r="G8" s="168"/>
      <c r="H8" s="168"/>
      <c r="I8" s="168"/>
      <c r="J8" s="168"/>
      <c r="K8" s="168"/>
      <c r="L8" s="168"/>
    </row>
    <row r="9" spans="1:35" ht="20" customHeight="1" x14ac:dyDescent="0.25">
      <c r="A9" s="5" t="str">
        <f>HYPERLINK("#'Input - Enterprise'!A1", "Enterprise")</f>
        <v>Enterprise</v>
      </c>
      <c r="D9" s="217" t="s">
        <v>852</v>
      </c>
      <c r="E9" s="217" t="s">
        <v>853</v>
      </c>
      <c r="F9" s="217" t="s">
        <v>854</v>
      </c>
      <c r="G9" s="217" t="s">
        <v>855</v>
      </c>
      <c r="H9" s="217" t="s">
        <v>856</v>
      </c>
      <c r="I9" s="217" t="s">
        <v>857</v>
      </c>
      <c r="J9" s="217" t="s">
        <v>858</v>
      </c>
      <c r="K9" s="217" t="s">
        <v>859</v>
      </c>
      <c r="L9" s="217" t="s">
        <v>860</v>
      </c>
    </row>
    <row r="10" spans="1:35" ht="20" customHeight="1" x14ac:dyDescent="0.25">
      <c r="A10" s="5" t="str">
        <f>HYPERLINK("#'Input - Site'!A1", "Site")</f>
        <v>Site</v>
      </c>
      <c r="D10" s="218" t="str" cm="1">
        <f t="array" ref="D10">Common_InputFunctions.Utility_DisplayArrayInTable(Fuel_SourceData.Fuel_Scope1Scope3EmissionFactorsTransport_Data(), Table_Fuel_EFs_Transport[[#Headers],[Transport type]], 0)</f>
        <v>Cars and light commercial vehicles</v>
      </c>
      <c r="E10" s="218" t="str" cm="1">
        <f t="array" ref="E10">Common_InputFunctions.Utility_DisplayArrayInTable(Fuel_SourceData.Fuel_Scope1Scope3EmissionFactorsTransport_Data(), Table_Fuel_EFs_Transport[[#Headers],[Transport type]], 0)</f>
        <v>Gasoline</v>
      </c>
      <c r="F10" s="218" cm="1">
        <f t="array" ref="F10">Common_InputFunctions.Utility_DisplayArrayInTable(Fuel_SourceData.Fuel_Scope1Scope3EmissionFactorsTransport_Data(), Table_Fuel_EFs_Transport[[#Headers],[Transport type]], 0)</f>
        <v>34.200000000000003</v>
      </c>
      <c r="G10" s="218" t="str" cm="1">
        <f t="array" ref="G10">Common_InputFunctions.Utility_DisplayArrayInTable(Fuel_SourceData.Fuel_Scope1Scope3EmissionFactorsTransport_Data(), Table_Fuel_EFs_Transport[[#Headers],[Transport type]], 0)</f>
        <v>kl</v>
      </c>
      <c r="H10" s="218" cm="1">
        <f t="array" ref="H10">Common_InputFunctions.Utility_DisplayArrayInTable(Fuel_SourceData.Fuel_Scope1Scope3EmissionFactorsTransport_Data(), Table_Fuel_EFs_Transport[[#Headers],[Transport type]], 0)</f>
        <v>67.400000000000006</v>
      </c>
      <c r="I10" s="218" cm="1">
        <f t="array" ref="I10">Common_InputFunctions.Utility_DisplayArrayInTable(Fuel_SourceData.Fuel_Scope1Scope3EmissionFactorsTransport_Data(), Table_Fuel_EFs_Transport[[#Headers],[Transport type]], 0)</f>
        <v>0.02</v>
      </c>
      <c r="J10" s="218" cm="1">
        <f t="array" ref="J10">Common_InputFunctions.Utility_DisplayArrayInTable(Fuel_SourceData.Fuel_Scope1Scope3EmissionFactorsTransport_Data(), Table_Fuel_EFs_Transport[[#Headers],[Transport type]], 0)</f>
        <v>0.2</v>
      </c>
      <c r="K10" s="218" cm="1">
        <f t="array" ref="K10">Common_InputFunctions.Utility_DisplayArrayInTable(Fuel_SourceData.Fuel_Scope1Scope3EmissionFactorsTransport_Data(), Table_Fuel_EFs_Transport[[#Headers],[Transport type]], 0)</f>
        <v>67.62</v>
      </c>
      <c r="L10" s="218" cm="1">
        <f t="array" ref="L10">Common_InputFunctions.Utility_DisplayArrayInTable(Fuel_SourceData.Fuel_Scope1Scope3EmissionFactorsTransport_Data(), Table_Fuel_EFs_Transport[[#Headers],[Transport type]], 0)</f>
        <v>17.2</v>
      </c>
    </row>
    <row r="11" spans="1:35" ht="20" customHeight="1" x14ac:dyDescent="0.25">
      <c r="A11" s="5" t="str">
        <f>HYPERLINK("#'Input - Pasture Beef'!A1", "Pasture Beef")</f>
        <v>Pasture Beef</v>
      </c>
      <c r="D11" s="218" t="str" cm="1">
        <f t="array" ref="D11">Common_InputFunctions.Utility_DisplayArrayInTable(Fuel_SourceData.Fuel_Scope1Scope3EmissionFactorsTransport_Data(), Table_Fuel_EFs_Transport[[#Headers],[Transport type]], 0)</f>
        <v>Cars and light commercial vehicles</v>
      </c>
      <c r="E11" s="218" t="str" cm="1">
        <f t="array" ref="E11">Common_InputFunctions.Utility_DisplayArrayInTable(Fuel_SourceData.Fuel_Scope1Scope3EmissionFactorsTransport_Data(), Table_Fuel_EFs_Transport[[#Headers],[Transport type]], 0)</f>
        <v>Diesel oil</v>
      </c>
      <c r="F11" s="218" cm="1">
        <f t="array" ref="F11">Common_InputFunctions.Utility_DisplayArrayInTable(Fuel_SourceData.Fuel_Scope1Scope3EmissionFactorsTransport_Data(), Table_Fuel_EFs_Transport[[#Headers],[Transport type]], 0)</f>
        <v>38.6</v>
      </c>
      <c r="G11" s="218" t="str" cm="1">
        <f t="array" ref="G11">Common_InputFunctions.Utility_DisplayArrayInTable(Fuel_SourceData.Fuel_Scope1Scope3EmissionFactorsTransport_Data(), Table_Fuel_EFs_Transport[[#Headers],[Transport type]], 0)</f>
        <v>kl</v>
      </c>
      <c r="H11" s="218" cm="1">
        <f t="array" ref="H11">Common_InputFunctions.Utility_DisplayArrayInTable(Fuel_SourceData.Fuel_Scope1Scope3EmissionFactorsTransport_Data(), Table_Fuel_EFs_Transport[[#Headers],[Transport type]], 0)</f>
        <v>69.900000000000006</v>
      </c>
      <c r="I11" s="218" cm="1">
        <f t="array" ref="I11">Common_InputFunctions.Utility_DisplayArrayInTable(Fuel_SourceData.Fuel_Scope1Scope3EmissionFactorsTransport_Data(), Table_Fuel_EFs_Transport[[#Headers],[Transport type]], 0)</f>
        <v>0.01</v>
      </c>
      <c r="J11" s="218" cm="1">
        <f t="array" ref="J11">Common_InputFunctions.Utility_DisplayArrayInTable(Fuel_SourceData.Fuel_Scope1Scope3EmissionFactorsTransport_Data(), Table_Fuel_EFs_Transport[[#Headers],[Transport type]], 0)</f>
        <v>0.5</v>
      </c>
      <c r="K11" s="218" cm="1">
        <f t="array" ref="K11">Common_InputFunctions.Utility_DisplayArrayInTable(Fuel_SourceData.Fuel_Scope1Scope3EmissionFactorsTransport_Data(), Table_Fuel_EFs_Transport[[#Headers],[Transport type]], 0)</f>
        <v>70.41</v>
      </c>
      <c r="L11" s="218" cm="1">
        <f t="array" ref="L11">Common_InputFunctions.Utility_DisplayArrayInTable(Fuel_SourceData.Fuel_Scope1Scope3EmissionFactorsTransport_Data(), Table_Fuel_EFs_Transport[[#Headers],[Transport type]], 0)</f>
        <v>17.3</v>
      </c>
    </row>
    <row r="12" spans="1:35" ht="20" customHeight="1" x14ac:dyDescent="0.25">
      <c r="A12" s="5" t="str">
        <f>HYPERLINK("#'Input - Livestock sales'!A1", "Livestock sales")</f>
        <v>Livestock sales</v>
      </c>
      <c r="D12" s="218" t="str" cm="1">
        <f t="array" ref="D12">Common_InputFunctions.Utility_DisplayArrayInTable(Fuel_SourceData.Fuel_Scope1Scope3EmissionFactorsTransport_Data(), Table_Fuel_EFs_Transport[[#Headers],[Transport type]], 0)</f>
        <v>Cars and light commercial vehicles</v>
      </c>
      <c r="E12" s="218" t="str" cm="1">
        <f t="array" ref="E12">Common_InputFunctions.Utility_DisplayArrayInTable(Fuel_SourceData.Fuel_Scope1Scope3EmissionFactorsTransport_Data(), Table_Fuel_EFs_Transport[[#Headers],[Transport type]], 0)</f>
        <v>Liquefied petroleum gas (LPG)</v>
      </c>
      <c r="F12" s="218" cm="1">
        <f t="array" ref="F12">Common_InputFunctions.Utility_DisplayArrayInTable(Fuel_SourceData.Fuel_Scope1Scope3EmissionFactorsTransport_Data(), Table_Fuel_EFs_Transport[[#Headers],[Transport type]], 0)</f>
        <v>26.2</v>
      </c>
      <c r="G12" s="218" t="str" cm="1">
        <f t="array" ref="G12">Common_InputFunctions.Utility_DisplayArrayInTable(Fuel_SourceData.Fuel_Scope1Scope3EmissionFactorsTransport_Data(), Table_Fuel_EFs_Transport[[#Headers],[Transport type]], 0)</f>
        <v>kl</v>
      </c>
      <c r="H12" s="218" cm="1">
        <f t="array" ref="H12">Common_InputFunctions.Utility_DisplayArrayInTable(Fuel_SourceData.Fuel_Scope1Scope3EmissionFactorsTransport_Data(), Table_Fuel_EFs_Transport[[#Headers],[Transport type]], 0)</f>
        <v>60.2</v>
      </c>
      <c r="I12" s="218" cm="1">
        <f t="array" ref="I12">Common_InputFunctions.Utility_DisplayArrayInTable(Fuel_SourceData.Fuel_Scope1Scope3EmissionFactorsTransport_Data(), Table_Fuel_EFs_Transport[[#Headers],[Transport type]], 0)</f>
        <v>0.5</v>
      </c>
      <c r="J12" s="218" cm="1">
        <f t="array" ref="J12">Common_InputFunctions.Utility_DisplayArrayInTable(Fuel_SourceData.Fuel_Scope1Scope3EmissionFactorsTransport_Data(), Table_Fuel_EFs_Transport[[#Headers],[Transport type]], 0)</f>
        <v>0.3</v>
      </c>
      <c r="K12" s="218" cm="1">
        <f t="array" ref="K12">Common_InputFunctions.Utility_DisplayArrayInTable(Fuel_SourceData.Fuel_Scope1Scope3EmissionFactorsTransport_Data(), Table_Fuel_EFs_Transport[[#Headers],[Transport type]], 0)</f>
        <v>61</v>
      </c>
      <c r="L12" s="218" cm="1">
        <f t="array" ref="L12">Common_InputFunctions.Utility_DisplayArrayInTable(Fuel_SourceData.Fuel_Scope1Scope3EmissionFactorsTransport_Data(), Table_Fuel_EFs_Transport[[#Headers],[Transport type]], 0)</f>
        <v>20.2</v>
      </c>
    </row>
    <row r="13" spans="1:35" ht="20" customHeight="1" x14ac:dyDescent="0.25">
      <c r="A13" s="5" t="str">
        <f>HYPERLINK("#'Input - Beef cattle purchases'!A1", "Beef cattle purchases")</f>
        <v>Beef cattle purchases</v>
      </c>
      <c r="D13" s="218" t="str" cm="1">
        <f t="array" ref="D13">Common_InputFunctions.Utility_DisplayArrayInTable(Fuel_SourceData.Fuel_Scope1Scope3EmissionFactorsTransport_Data(), Table_Fuel_EFs_Transport[[#Headers],[Transport type]], 0)</f>
        <v>Cars and light commercial vehicles</v>
      </c>
      <c r="E13" s="218" t="str" cm="1">
        <f t="array" ref="E13">Common_InputFunctions.Utility_DisplayArrayInTable(Fuel_SourceData.Fuel_Scope1Scope3EmissionFactorsTransport_Data(), Table_Fuel_EFs_Transport[[#Headers],[Transport type]], 0)</f>
        <v>Fuel oil</v>
      </c>
      <c r="F13" s="218" cm="1">
        <f t="array" ref="F13">Common_InputFunctions.Utility_DisplayArrayInTable(Fuel_SourceData.Fuel_Scope1Scope3EmissionFactorsTransport_Data(), Table_Fuel_EFs_Transport[[#Headers],[Transport type]], 0)</f>
        <v>39.700000000000003</v>
      </c>
      <c r="G13" s="218" t="str" cm="1">
        <f t="array" ref="G13">Common_InputFunctions.Utility_DisplayArrayInTable(Fuel_SourceData.Fuel_Scope1Scope3EmissionFactorsTransport_Data(), Table_Fuel_EFs_Transport[[#Headers],[Transport type]], 0)</f>
        <v>kl</v>
      </c>
      <c r="H13" s="218" cm="1">
        <f t="array" ref="H13">Common_InputFunctions.Utility_DisplayArrayInTable(Fuel_SourceData.Fuel_Scope1Scope3EmissionFactorsTransport_Data(), Table_Fuel_EFs_Transport[[#Headers],[Transport type]], 0)</f>
        <v>73.599999999999994</v>
      </c>
      <c r="I13" s="218" cm="1">
        <f t="array" ref="I13">Common_InputFunctions.Utility_DisplayArrayInTable(Fuel_SourceData.Fuel_Scope1Scope3EmissionFactorsTransport_Data(), Table_Fuel_EFs_Transport[[#Headers],[Transport type]], 0)</f>
        <v>0.08</v>
      </c>
      <c r="J13" s="218" cm="1">
        <f t="array" ref="J13">Common_InputFunctions.Utility_DisplayArrayInTable(Fuel_SourceData.Fuel_Scope1Scope3EmissionFactorsTransport_Data(), Table_Fuel_EFs_Transport[[#Headers],[Transport type]], 0)</f>
        <v>0.5</v>
      </c>
      <c r="K13" s="218" cm="1">
        <f t="array" ref="K13">Common_InputFunctions.Utility_DisplayArrayInTable(Fuel_SourceData.Fuel_Scope1Scope3EmissionFactorsTransport_Data(), Table_Fuel_EFs_Transport[[#Headers],[Transport type]], 0)</f>
        <v>74.180000000000007</v>
      </c>
      <c r="L13" s="218" cm="1">
        <f t="array" ref="L13">Common_InputFunctions.Utility_DisplayArrayInTable(Fuel_SourceData.Fuel_Scope1Scope3EmissionFactorsTransport_Data(), Table_Fuel_EFs_Transport[[#Headers],[Transport type]], 0)</f>
        <v>18</v>
      </c>
    </row>
    <row r="14" spans="1:35" ht="20" customHeight="1" x14ac:dyDescent="0.25">
      <c r="A14" s="5" t="str">
        <f>HYPERLINK("#'Input - Pasture'!A1", "Pasture")</f>
        <v>Pasture</v>
      </c>
      <c r="D14" s="218" t="str" cm="1">
        <f t="array" ref="D14">Common_InputFunctions.Utility_DisplayArrayInTable(Fuel_SourceData.Fuel_Scope1Scope3EmissionFactorsTransport_Data(), Table_Fuel_EFs_Transport[[#Headers],[Transport type]], 0)</f>
        <v>Cars and light commercial vehicles</v>
      </c>
      <c r="E14" s="218" t="str" cm="1">
        <f t="array" ref="E14">Common_InputFunctions.Utility_DisplayArrayInTable(Fuel_SourceData.Fuel_Scope1Scope3EmissionFactorsTransport_Data(), Table_Fuel_EFs_Transport[[#Headers],[Transport type]], 0)</f>
        <v>Ethanol</v>
      </c>
      <c r="F14" s="218" cm="1">
        <f t="array" ref="F14">Common_InputFunctions.Utility_DisplayArrayInTable(Fuel_SourceData.Fuel_Scope1Scope3EmissionFactorsTransport_Data(), Table_Fuel_EFs_Transport[[#Headers],[Transport type]], 0)</f>
        <v>23.4</v>
      </c>
      <c r="G14" s="218" t="str" cm="1">
        <f t="array" ref="G14">Common_InputFunctions.Utility_DisplayArrayInTable(Fuel_SourceData.Fuel_Scope1Scope3EmissionFactorsTransport_Data(), Table_Fuel_EFs_Transport[[#Headers],[Transport type]], 0)</f>
        <v>kl</v>
      </c>
      <c r="H14" s="218" cm="1">
        <f t="array" ref="H14">Common_InputFunctions.Utility_DisplayArrayInTable(Fuel_SourceData.Fuel_Scope1Scope3EmissionFactorsTransport_Data(), Table_Fuel_EFs_Transport[[#Headers],[Transport type]], 0)</f>
        <v>0</v>
      </c>
      <c r="I14" s="218" cm="1">
        <f t="array" ref="I14">Common_InputFunctions.Utility_DisplayArrayInTable(Fuel_SourceData.Fuel_Scope1Scope3EmissionFactorsTransport_Data(), Table_Fuel_EFs_Transport[[#Headers],[Transport type]], 0)</f>
        <v>0.2</v>
      </c>
      <c r="J14" s="218" cm="1">
        <f t="array" ref="J14">Common_InputFunctions.Utility_DisplayArrayInTable(Fuel_SourceData.Fuel_Scope1Scope3EmissionFactorsTransport_Data(), Table_Fuel_EFs_Transport[[#Headers],[Transport type]], 0)</f>
        <v>0.2</v>
      </c>
      <c r="K14" s="218" cm="1">
        <f t="array" ref="K14">Common_InputFunctions.Utility_DisplayArrayInTable(Fuel_SourceData.Fuel_Scope1Scope3EmissionFactorsTransport_Data(), Table_Fuel_EFs_Transport[[#Headers],[Transport type]], 0)</f>
        <v>0.4</v>
      </c>
      <c r="L14" s="218" t="str" cm="1">
        <f t="array" ref="L14">Common_InputFunctions.Utility_DisplayArrayInTable(Fuel_SourceData.Fuel_Scope1Scope3EmissionFactorsTransport_Data(), Table_Fuel_EFs_Transport[[#Headers],[Transport type]], 0)</f>
        <v>NE</v>
      </c>
    </row>
    <row r="15" spans="1:35" ht="20" customHeight="1" x14ac:dyDescent="0.25">
      <c r="A15" s="5" t="str">
        <f>HYPERLINK("#'Input - Fert Prod System'!A1", "Fert Prod System")</f>
        <v>Fert Prod System</v>
      </c>
      <c r="D15" s="218" t="str" cm="1">
        <f t="array" ref="D15">Common_InputFunctions.Utility_DisplayArrayInTable(Fuel_SourceData.Fuel_Scope1Scope3EmissionFactorsTransport_Data(), Table_Fuel_EFs_Transport[[#Headers],[Transport type]], 0)</f>
        <v>Cars and light commercial vehicles</v>
      </c>
      <c r="E15" s="218" t="str" cm="1">
        <f t="array" ref="E15">Common_InputFunctions.Utility_DisplayArrayInTable(Fuel_SourceData.Fuel_Scope1Scope3EmissionFactorsTransport_Data(), Table_Fuel_EFs_Transport[[#Headers],[Transport type]], 0)</f>
        <v>Biodiesel</v>
      </c>
      <c r="F15" s="218" cm="1">
        <f t="array" ref="F15">Common_InputFunctions.Utility_DisplayArrayInTable(Fuel_SourceData.Fuel_Scope1Scope3EmissionFactorsTransport_Data(), Table_Fuel_EFs_Transport[[#Headers],[Transport type]], 0)</f>
        <v>34.6</v>
      </c>
      <c r="G15" s="218" t="str" cm="1">
        <f t="array" ref="G15">Common_InputFunctions.Utility_DisplayArrayInTable(Fuel_SourceData.Fuel_Scope1Scope3EmissionFactorsTransport_Data(), Table_Fuel_EFs_Transport[[#Headers],[Transport type]], 0)</f>
        <v>kl</v>
      </c>
      <c r="H15" s="218" cm="1">
        <f t="array" ref="H15">Common_InputFunctions.Utility_DisplayArrayInTable(Fuel_SourceData.Fuel_Scope1Scope3EmissionFactorsTransport_Data(), Table_Fuel_EFs_Transport[[#Headers],[Transport type]], 0)</f>
        <v>0</v>
      </c>
      <c r="I15" s="218" cm="1">
        <f t="array" ref="I15">Common_InputFunctions.Utility_DisplayArrayInTable(Fuel_SourceData.Fuel_Scope1Scope3EmissionFactorsTransport_Data(), Table_Fuel_EFs_Transport[[#Headers],[Transport type]], 0)</f>
        <v>0.8</v>
      </c>
      <c r="J15" s="218" cm="1">
        <f t="array" ref="J15">Common_InputFunctions.Utility_DisplayArrayInTable(Fuel_SourceData.Fuel_Scope1Scope3EmissionFactorsTransport_Data(), Table_Fuel_EFs_Transport[[#Headers],[Transport type]], 0)</f>
        <v>1.7</v>
      </c>
      <c r="K15" s="218" cm="1">
        <f t="array" ref="K15">Common_InputFunctions.Utility_DisplayArrayInTable(Fuel_SourceData.Fuel_Scope1Scope3EmissionFactorsTransport_Data(), Table_Fuel_EFs_Transport[[#Headers],[Transport type]], 0)</f>
        <v>2.5</v>
      </c>
      <c r="L15" s="218" t="str" cm="1">
        <f t="array" ref="L15">Common_InputFunctions.Utility_DisplayArrayInTable(Fuel_SourceData.Fuel_Scope1Scope3EmissionFactorsTransport_Data(), Table_Fuel_EFs_Transport[[#Headers],[Transport type]], 0)</f>
        <v>NE</v>
      </c>
    </row>
    <row r="16" spans="1:35" ht="20" customHeight="1" x14ac:dyDescent="0.25">
      <c r="A16" s="5" t="str">
        <f>HYPERLINK("#'Input - Fertiliser'!A1", "Fertiliser")</f>
        <v>Fertiliser</v>
      </c>
      <c r="D16" s="218" t="str" cm="1">
        <f t="array" ref="D16">Common_InputFunctions.Utility_DisplayArrayInTable(Fuel_SourceData.Fuel_Scope1Scope3EmissionFactorsTransport_Data(), Table_Fuel_EFs_Transport[[#Headers],[Transport type]], 0)</f>
        <v>Cars and light commercial vehicles</v>
      </c>
      <c r="E16" s="218" t="str" cm="1">
        <f t="array" ref="E16">Common_InputFunctions.Utility_DisplayArrayInTable(Fuel_SourceData.Fuel_Scope1Scope3EmissionFactorsTransport_Data(), Table_Fuel_EFs_Transport[[#Headers],[Transport type]], 0)</f>
        <v>Renewable diesel</v>
      </c>
      <c r="F16" s="218" cm="1">
        <f t="array" ref="F16">Common_InputFunctions.Utility_DisplayArrayInTable(Fuel_SourceData.Fuel_Scope1Scope3EmissionFactorsTransport_Data(), Table_Fuel_EFs_Transport[[#Headers],[Transport type]], 0)</f>
        <v>38.6</v>
      </c>
      <c r="G16" s="218" t="str" cm="1">
        <f t="array" ref="G16">Common_InputFunctions.Utility_DisplayArrayInTable(Fuel_SourceData.Fuel_Scope1Scope3EmissionFactorsTransport_Data(), Table_Fuel_EFs_Transport[[#Headers],[Transport type]], 0)</f>
        <v>kl</v>
      </c>
      <c r="H16" s="218" cm="1">
        <f t="array" ref="H16">Common_InputFunctions.Utility_DisplayArrayInTable(Fuel_SourceData.Fuel_Scope1Scope3EmissionFactorsTransport_Data(), Table_Fuel_EFs_Transport[[#Headers],[Transport type]], 0)</f>
        <v>0</v>
      </c>
      <c r="I16" s="218" cm="1">
        <f t="array" ref="I16">Common_InputFunctions.Utility_DisplayArrayInTable(Fuel_SourceData.Fuel_Scope1Scope3EmissionFactorsTransport_Data(), Table_Fuel_EFs_Transport[[#Headers],[Transport type]], 0)</f>
        <v>0.01</v>
      </c>
      <c r="J16" s="218" cm="1">
        <f t="array" ref="J16">Common_InputFunctions.Utility_DisplayArrayInTable(Fuel_SourceData.Fuel_Scope1Scope3EmissionFactorsTransport_Data(), Table_Fuel_EFs_Transport[[#Headers],[Transport type]], 0)</f>
        <v>0.5</v>
      </c>
      <c r="K16" s="218" cm="1">
        <f t="array" ref="K16">Common_InputFunctions.Utility_DisplayArrayInTable(Fuel_SourceData.Fuel_Scope1Scope3EmissionFactorsTransport_Data(), Table_Fuel_EFs_Transport[[#Headers],[Transport type]], 0)</f>
        <v>0.51</v>
      </c>
      <c r="L16" s="218" t="str" cm="1">
        <f t="array" ref="L16">Common_InputFunctions.Utility_DisplayArrayInTable(Fuel_SourceData.Fuel_Scope1Scope3EmissionFactorsTransport_Data(), Table_Fuel_EFs_Transport[[#Headers],[Transport type]], 0)</f>
        <v>NE</v>
      </c>
    </row>
    <row r="17" spans="1:12" ht="20" customHeight="1" x14ac:dyDescent="0.25">
      <c r="A17" s="5" t="str">
        <f>HYPERLINK("#'Input - Fuel'!A1", "Fuel")</f>
        <v>Fuel</v>
      </c>
      <c r="D17" s="218" t="str" cm="1">
        <f t="array" ref="D17">Common_InputFunctions.Utility_DisplayArrayInTable(Fuel_SourceData.Fuel_Scope1Scope3EmissionFactorsTransport_Data(), Table_Fuel_EFs_Transport[[#Headers],[Transport type]], 0)</f>
        <v>Cars and light commercial vehicles</v>
      </c>
      <c r="E17" s="218" t="str" cm="1">
        <f t="array" ref="E17">Common_InputFunctions.Utility_DisplayArrayInTable(Fuel_SourceData.Fuel_Scope1Scope3EmissionFactorsTransport_Data(), Table_Fuel_EFs_Transport[[#Headers],[Transport type]], 0)</f>
        <v>Other biofuels</v>
      </c>
      <c r="F17" s="218" cm="1">
        <f t="array" ref="F17">Common_InputFunctions.Utility_DisplayArrayInTable(Fuel_SourceData.Fuel_Scope1Scope3EmissionFactorsTransport_Data(), Table_Fuel_EFs_Transport[[#Headers],[Transport type]], 0)</f>
        <v>23.4</v>
      </c>
      <c r="G17" s="218" t="str" cm="1">
        <f t="array" ref="G17">Common_InputFunctions.Utility_DisplayArrayInTable(Fuel_SourceData.Fuel_Scope1Scope3EmissionFactorsTransport_Data(), Table_Fuel_EFs_Transport[[#Headers],[Transport type]], 0)</f>
        <v>kl</v>
      </c>
      <c r="H17" s="218" cm="1">
        <f t="array" ref="H17">Common_InputFunctions.Utility_DisplayArrayInTable(Fuel_SourceData.Fuel_Scope1Scope3EmissionFactorsTransport_Data(), Table_Fuel_EFs_Transport[[#Headers],[Transport type]], 0)</f>
        <v>0</v>
      </c>
      <c r="I17" s="218" cm="1">
        <f t="array" ref="I17">Common_InputFunctions.Utility_DisplayArrayInTable(Fuel_SourceData.Fuel_Scope1Scope3EmissionFactorsTransport_Data(), Table_Fuel_EFs_Transport[[#Headers],[Transport type]], 0)</f>
        <v>0.8</v>
      </c>
      <c r="J17" s="218" cm="1">
        <f t="array" ref="J17">Common_InputFunctions.Utility_DisplayArrayInTable(Fuel_SourceData.Fuel_Scope1Scope3EmissionFactorsTransport_Data(), Table_Fuel_EFs_Transport[[#Headers],[Transport type]], 0)</f>
        <v>1.7</v>
      </c>
      <c r="K17" s="218" cm="1">
        <f t="array" ref="K17">Common_InputFunctions.Utility_DisplayArrayInTable(Fuel_SourceData.Fuel_Scope1Scope3EmissionFactorsTransport_Data(), Table_Fuel_EFs_Transport[[#Headers],[Transport type]], 0)</f>
        <v>2.5</v>
      </c>
      <c r="L17" s="218" t="str" cm="1">
        <f t="array" ref="L17">Common_InputFunctions.Utility_DisplayArrayInTable(Fuel_SourceData.Fuel_Scope1Scope3EmissionFactorsTransport_Data(), Table_Fuel_EFs_Transport[[#Headers],[Transport type]], 0)</f>
        <v>NE</v>
      </c>
    </row>
    <row r="18" spans="1:12" ht="20" customHeight="1" x14ac:dyDescent="0.25">
      <c r="A18" s="5" t="str">
        <f>HYPERLINK("#'Input - Electricity'!A1", "Electricity")</f>
        <v>Electricity</v>
      </c>
      <c r="D18" s="218" t="str" cm="1">
        <f t="array" ref="D18">Common_InputFunctions.Utility_DisplayArrayInTable(Fuel_SourceData.Fuel_Scope1Scope3EmissionFactorsTransport_Data(), Table_Fuel_EFs_Transport[[#Headers],[Transport type]], 0)</f>
        <v>Light duty vehicles</v>
      </c>
      <c r="E18" s="218" t="str" cm="1">
        <f t="array" ref="E18">Common_InputFunctions.Utility_DisplayArrayInTable(Fuel_SourceData.Fuel_Scope1Scope3EmissionFactorsTransport_Data(), Table_Fuel_EFs_Transport[[#Headers],[Transport type]], 0)</f>
        <v>Compressed natural gas</v>
      </c>
      <c r="F18" s="218" cm="1">
        <f t="array" ref="F18">Common_InputFunctions.Utility_DisplayArrayInTable(Fuel_SourceData.Fuel_Scope1Scope3EmissionFactorsTransport_Data(), Table_Fuel_EFs_Transport[[#Headers],[Transport type]], 0)</f>
        <v>3.9300000000000002E-2</v>
      </c>
      <c r="G18" s="218" t="str" cm="1">
        <f t="array" ref="G18">Common_InputFunctions.Utility_DisplayArrayInTable(Fuel_SourceData.Fuel_Scope1Scope3EmissionFactorsTransport_Data(), Table_Fuel_EFs_Transport[[#Headers],[Transport type]], 0)</f>
        <v>m3</v>
      </c>
      <c r="H18" s="218" cm="1">
        <f t="array" ref="H18">Common_InputFunctions.Utility_DisplayArrayInTable(Fuel_SourceData.Fuel_Scope1Scope3EmissionFactorsTransport_Data(), Table_Fuel_EFs_Transport[[#Headers],[Transport type]], 0)</f>
        <v>51.4</v>
      </c>
      <c r="I18" s="218" cm="1">
        <f t="array" ref="I18">Common_InputFunctions.Utility_DisplayArrayInTable(Fuel_SourceData.Fuel_Scope1Scope3EmissionFactorsTransport_Data(), Table_Fuel_EFs_Transport[[#Headers],[Transport type]], 0)</f>
        <v>7.3</v>
      </c>
      <c r="J18" s="218" cm="1">
        <f t="array" ref="J18">Common_InputFunctions.Utility_DisplayArrayInTable(Fuel_SourceData.Fuel_Scope1Scope3EmissionFactorsTransport_Data(), Table_Fuel_EFs_Transport[[#Headers],[Transport type]], 0)</f>
        <v>0.3</v>
      </c>
      <c r="K18" s="218" cm="1">
        <f t="array" ref="K18">Common_InputFunctions.Utility_DisplayArrayInTable(Fuel_SourceData.Fuel_Scope1Scope3EmissionFactorsTransport_Data(), Table_Fuel_EFs_Transport[[#Headers],[Transport type]], 0)</f>
        <v>59</v>
      </c>
      <c r="L18" s="218" cm="1">
        <f t="array" ref="L18">Common_InputFunctions.Utility_DisplayArrayInTable(Fuel_SourceData.Fuel_Scope1Scope3EmissionFactorsTransport_Data(), Table_Fuel_EFs_Transport[[#Headers],[Transport type]], 0)</f>
        <v>18</v>
      </c>
    </row>
    <row r="19" spans="1:12" ht="20" customHeight="1" x14ac:dyDescent="0.25">
      <c r="A19" s="5" t="str">
        <f>HYPERLINK("#'Input - Common farm inputs'!A1", "Common farm inputs")</f>
        <v>Common farm inputs</v>
      </c>
      <c r="D19" s="218" t="str" cm="1">
        <f t="array" ref="D19">Common_InputFunctions.Utility_DisplayArrayInTable(Fuel_SourceData.Fuel_Scope1Scope3EmissionFactorsTransport_Data(), Table_Fuel_EFs_Transport[[#Headers],[Transport type]], 0)</f>
        <v>Light duty vehicles</v>
      </c>
      <c r="E19" s="218" t="str" cm="1">
        <f t="array" ref="E19">Common_InputFunctions.Utility_DisplayArrayInTable(Fuel_SourceData.Fuel_Scope1Scope3EmissionFactorsTransport_Data(), Table_Fuel_EFs_Transport[[#Headers],[Transport type]], 0)</f>
        <v>Liquefied natural gas</v>
      </c>
      <c r="F19" s="218" cm="1">
        <f t="array" ref="F19">Common_InputFunctions.Utility_DisplayArrayInTable(Fuel_SourceData.Fuel_Scope1Scope3EmissionFactorsTransport_Data(), Table_Fuel_EFs_Transport[[#Headers],[Transport type]], 0)</f>
        <v>25.3</v>
      </c>
      <c r="G19" s="218" t="str" cm="1">
        <f t="array" ref="G19">Common_InputFunctions.Utility_DisplayArrayInTable(Fuel_SourceData.Fuel_Scope1Scope3EmissionFactorsTransport_Data(), Table_Fuel_EFs_Transport[[#Headers],[Transport type]], 0)</f>
        <v>kl</v>
      </c>
      <c r="H19" s="218" cm="1">
        <f t="array" ref="H19">Common_InputFunctions.Utility_DisplayArrayInTable(Fuel_SourceData.Fuel_Scope1Scope3EmissionFactorsTransport_Data(), Table_Fuel_EFs_Transport[[#Headers],[Transport type]], 0)</f>
        <v>51.4</v>
      </c>
      <c r="I19" s="218" cm="1">
        <f t="array" ref="I19">Common_InputFunctions.Utility_DisplayArrayInTable(Fuel_SourceData.Fuel_Scope1Scope3EmissionFactorsTransport_Data(), Table_Fuel_EFs_Transport[[#Headers],[Transport type]], 0)</f>
        <v>7.3</v>
      </c>
      <c r="J19" s="218" cm="1">
        <f t="array" ref="J19">Common_InputFunctions.Utility_DisplayArrayInTable(Fuel_SourceData.Fuel_Scope1Scope3EmissionFactorsTransport_Data(), Table_Fuel_EFs_Transport[[#Headers],[Transport type]], 0)</f>
        <v>0.3</v>
      </c>
      <c r="K19" s="218" cm="1">
        <f t="array" ref="K19">Common_InputFunctions.Utility_DisplayArrayInTable(Fuel_SourceData.Fuel_Scope1Scope3EmissionFactorsTransport_Data(), Table_Fuel_EFs_Transport[[#Headers],[Transport type]], 0)</f>
        <v>59</v>
      </c>
      <c r="L19" s="218" cm="1">
        <f t="array" ref="L19">Common_InputFunctions.Utility_DisplayArrayInTable(Fuel_SourceData.Fuel_Scope1Scope3EmissionFactorsTransport_Data(), Table_Fuel_EFs_Transport[[#Headers],[Transport type]], 0)</f>
        <v>18</v>
      </c>
    </row>
    <row r="20" spans="1:12" ht="20" customHeight="1" x14ac:dyDescent="0.25">
      <c r="A20" s="5" t="str">
        <f>HYPERLINK("#'Input - Crop pasture farm input'!A1", "Crop pasture farm input")</f>
        <v>Crop pasture farm input</v>
      </c>
      <c r="D20" s="218" t="str" cm="1">
        <f t="array" ref="D20">Common_InputFunctions.Utility_DisplayArrayInTable(Fuel_SourceData.Fuel_Scope1Scope3EmissionFactorsTransport_Data(), Table_Fuel_EFs_Transport[[#Headers],[Transport type]], 0)</f>
        <v>Heavy duty vehicles</v>
      </c>
      <c r="E20" s="218" t="str" cm="1">
        <f t="array" ref="E20">Common_InputFunctions.Utility_DisplayArrayInTable(Fuel_SourceData.Fuel_Scope1Scope3EmissionFactorsTransport_Data(), Table_Fuel_EFs_Transport[[#Headers],[Transport type]], 0)</f>
        <v>Compressed natural gas</v>
      </c>
      <c r="F20" s="218" cm="1">
        <f t="array" ref="F20">Common_InputFunctions.Utility_DisplayArrayInTable(Fuel_SourceData.Fuel_Scope1Scope3EmissionFactorsTransport_Data(), Table_Fuel_EFs_Transport[[#Headers],[Transport type]], 0)</f>
        <v>3.9300000000000002E-2</v>
      </c>
      <c r="G20" s="218" t="str" cm="1">
        <f t="array" ref="G20">Common_InputFunctions.Utility_DisplayArrayInTable(Fuel_SourceData.Fuel_Scope1Scope3EmissionFactorsTransport_Data(), Table_Fuel_EFs_Transport[[#Headers],[Transport type]], 0)</f>
        <v>m3</v>
      </c>
      <c r="H20" s="218" cm="1">
        <f t="array" ref="H20">Common_InputFunctions.Utility_DisplayArrayInTable(Fuel_SourceData.Fuel_Scope1Scope3EmissionFactorsTransport_Data(), Table_Fuel_EFs_Transport[[#Headers],[Transport type]], 0)</f>
        <v>51.4</v>
      </c>
      <c r="I20" s="218" cm="1">
        <f t="array" ref="I20">Common_InputFunctions.Utility_DisplayArrayInTable(Fuel_SourceData.Fuel_Scope1Scope3EmissionFactorsTransport_Data(), Table_Fuel_EFs_Transport[[#Headers],[Transport type]], 0)</f>
        <v>2.8</v>
      </c>
      <c r="J20" s="218" cm="1">
        <f t="array" ref="J20">Common_InputFunctions.Utility_DisplayArrayInTable(Fuel_SourceData.Fuel_Scope1Scope3EmissionFactorsTransport_Data(), Table_Fuel_EFs_Transport[[#Headers],[Transport type]], 0)</f>
        <v>0.3</v>
      </c>
      <c r="K20" s="218" cm="1">
        <f t="array" ref="K20">Common_InputFunctions.Utility_DisplayArrayInTable(Fuel_SourceData.Fuel_Scope1Scope3EmissionFactorsTransport_Data(), Table_Fuel_EFs_Transport[[#Headers],[Transport type]], 0)</f>
        <v>54.5</v>
      </c>
      <c r="L20" s="218" cm="1">
        <f t="array" ref="L20">Common_InputFunctions.Utility_DisplayArrayInTable(Fuel_SourceData.Fuel_Scope1Scope3EmissionFactorsTransport_Data(), Table_Fuel_EFs_Transport[[#Headers],[Transport type]], 0)</f>
        <v>18</v>
      </c>
    </row>
    <row r="21" spans="1:12" ht="20" customHeight="1" x14ac:dyDescent="0.25">
      <c r="A21" s="5" t="str">
        <f>HYPERLINK("#'Input - Livestock farm Inputs'!A1", "Livestock farm Inputs")</f>
        <v>Livestock farm Inputs</v>
      </c>
      <c r="D21" s="218" t="str" cm="1">
        <f t="array" ref="D21">Common_InputFunctions.Utility_DisplayArrayInTable(Fuel_SourceData.Fuel_Scope1Scope3EmissionFactorsTransport_Data(), Table_Fuel_EFs_Transport[[#Headers],[Transport type]], 0)</f>
        <v>Heavy duty vehicles</v>
      </c>
      <c r="E21" s="218" t="str" cm="1">
        <f t="array" ref="E21">Common_InputFunctions.Utility_DisplayArrayInTable(Fuel_SourceData.Fuel_Scope1Scope3EmissionFactorsTransport_Data(), Table_Fuel_EFs_Transport[[#Headers],[Transport type]], 0)</f>
        <v>Liquefied natural gas</v>
      </c>
      <c r="F21" s="218" cm="1">
        <f t="array" ref="F21">Common_InputFunctions.Utility_DisplayArrayInTable(Fuel_SourceData.Fuel_Scope1Scope3EmissionFactorsTransport_Data(), Table_Fuel_EFs_Transport[[#Headers],[Transport type]], 0)</f>
        <v>25.3</v>
      </c>
      <c r="G21" s="218" t="str" cm="1">
        <f t="array" ref="G21">Common_InputFunctions.Utility_DisplayArrayInTable(Fuel_SourceData.Fuel_Scope1Scope3EmissionFactorsTransport_Data(), Table_Fuel_EFs_Transport[[#Headers],[Transport type]], 0)</f>
        <v>kl</v>
      </c>
      <c r="H21" s="218" cm="1">
        <f t="array" ref="H21">Common_InputFunctions.Utility_DisplayArrayInTable(Fuel_SourceData.Fuel_Scope1Scope3EmissionFactorsTransport_Data(), Table_Fuel_EFs_Transport[[#Headers],[Transport type]], 0)</f>
        <v>51.4</v>
      </c>
      <c r="I21" s="218" cm="1">
        <f t="array" ref="I21">Common_InputFunctions.Utility_DisplayArrayInTable(Fuel_SourceData.Fuel_Scope1Scope3EmissionFactorsTransport_Data(), Table_Fuel_EFs_Transport[[#Headers],[Transport type]], 0)</f>
        <v>2.8</v>
      </c>
      <c r="J21" s="218" cm="1">
        <f t="array" ref="J21">Common_InputFunctions.Utility_DisplayArrayInTable(Fuel_SourceData.Fuel_Scope1Scope3EmissionFactorsTransport_Data(), Table_Fuel_EFs_Transport[[#Headers],[Transport type]], 0)</f>
        <v>0.3</v>
      </c>
      <c r="K21" s="218" cm="1">
        <f t="array" ref="K21">Common_InputFunctions.Utility_DisplayArrayInTable(Fuel_SourceData.Fuel_Scope1Scope3EmissionFactorsTransport_Data(), Table_Fuel_EFs_Transport[[#Headers],[Transport type]], 0)</f>
        <v>54.5</v>
      </c>
      <c r="L21" s="218" cm="1">
        <f t="array" ref="L21">Common_InputFunctions.Utility_DisplayArrayInTable(Fuel_SourceData.Fuel_Scope1Scope3EmissionFactorsTransport_Data(), Table_Fuel_EFs_Transport[[#Headers],[Transport type]], 0)</f>
        <v>18</v>
      </c>
    </row>
    <row r="22" spans="1:12" ht="20" customHeight="1" x14ac:dyDescent="0.25">
      <c r="A22" s="5" t="str">
        <f>HYPERLINK("#'Input - Freight'!A1", "Freight")</f>
        <v>Freight</v>
      </c>
      <c r="D22" s="218" t="str" cm="1">
        <f t="array" ref="D22">Common_InputFunctions.Utility_DisplayArrayInTable(Fuel_SourceData.Fuel_Scope1Scope3EmissionFactorsTransport_Data(), Table_Fuel_EFs_Transport[[#Headers],[Transport type]], 0)</f>
        <v>Heavy duty vehicles</v>
      </c>
      <c r="E22" s="218" t="str" cm="1">
        <f t="array" ref="E22">Common_InputFunctions.Utility_DisplayArrayInTable(Fuel_SourceData.Fuel_Scope1Scope3EmissionFactorsTransport_Data(), Table_Fuel_EFs_Transport[[#Headers],[Transport type]], 0)</f>
        <v>Diesel oil - Euro iv or higher</v>
      </c>
      <c r="F22" s="218" cm="1">
        <f t="array" ref="F22">Common_InputFunctions.Utility_DisplayArrayInTable(Fuel_SourceData.Fuel_Scope1Scope3EmissionFactorsTransport_Data(), Table_Fuel_EFs_Transport[[#Headers],[Transport type]], 0)</f>
        <v>38.6</v>
      </c>
      <c r="G22" s="218" t="str" cm="1">
        <f t="array" ref="G22">Common_InputFunctions.Utility_DisplayArrayInTable(Fuel_SourceData.Fuel_Scope1Scope3EmissionFactorsTransport_Data(), Table_Fuel_EFs_Transport[[#Headers],[Transport type]], 0)</f>
        <v>kl</v>
      </c>
      <c r="H22" s="218" cm="1">
        <f t="array" ref="H22">Common_InputFunctions.Utility_DisplayArrayInTable(Fuel_SourceData.Fuel_Scope1Scope3EmissionFactorsTransport_Data(), Table_Fuel_EFs_Transport[[#Headers],[Transport type]], 0)</f>
        <v>69.900000000000006</v>
      </c>
      <c r="I22" s="218" cm="1">
        <f t="array" ref="I22">Common_InputFunctions.Utility_DisplayArrayInTable(Fuel_SourceData.Fuel_Scope1Scope3EmissionFactorsTransport_Data(), Table_Fuel_EFs_Transport[[#Headers],[Transport type]], 0)</f>
        <v>7.0000000000000007E-2</v>
      </c>
      <c r="J22" s="218" cm="1">
        <f t="array" ref="J22">Common_InputFunctions.Utility_DisplayArrayInTable(Fuel_SourceData.Fuel_Scope1Scope3EmissionFactorsTransport_Data(), Table_Fuel_EFs_Transport[[#Headers],[Transport type]], 0)</f>
        <v>0.4</v>
      </c>
      <c r="K22" s="218" cm="1">
        <f t="array" ref="K22">Common_InputFunctions.Utility_DisplayArrayInTable(Fuel_SourceData.Fuel_Scope1Scope3EmissionFactorsTransport_Data(), Table_Fuel_EFs_Transport[[#Headers],[Transport type]], 0)</f>
        <v>70.37</v>
      </c>
      <c r="L22" s="218" cm="1">
        <f t="array" ref="L22">Common_InputFunctions.Utility_DisplayArrayInTable(Fuel_SourceData.Fuel_Scope1Scope3EmissionFactorsTransport_Data(), Table_Fuel_EFs_Transport[[#Headers],[Transport type]], 0)</f>
        <v>17.3</v>
      </c>
    </row>
    <row r="23" spans="1:12" ht="20" customHeight="1" x14ac:dyDescent="0.25">
      <c r="A23" s="5" t="str">
        <f>HYPERLINK("#'Input - Solid waste'!A1", "Solid waste")</f>
        <v>Solid waste</v>
      </c>
      <c r="D23" s="218" t="str" cm="1">
        <f t="array" ref="D23">Common_InputFunctions.Utility_DisplayArrayInTable(Fuel_SourceData.Fuel_Scope1Scope3EmissionFactorsTransport_Data(), Table_Fuel_EFs_Transport[[#Headers],[Transport type]], 0)</f>
        <v>Heavy duty vehicles</v>
      </c>
      <c r="E23" s="218" t="str" cm="1">
        <f t="array" ref="E23">Common_InputFunctions.Utility_DisplayArrayInTable(Fuel_SourceData.Fuel_Scope1Scope3EmissionFactorsTransport_Data(), Table_Fuel_EFs_Transport[[#Headers],[Transport type]], 0)</f>
        <v>Diesel oil - Euro iii</v>
      </c>
      <c r="F23" s="218" cm="1">
        <f t="array" ref="F23">Common_InputFunctions.Utility_DisplayArrayInTable(Fuel_SourceData.Fuel_Scope1Scope3EmissionFactorsTransport_Data(), Table_Fuel_EFs_Transport[[#Headers],[Transport type]], 0)</f>
        <v>38.6</v>
      </c>
      <c r="G23" s="218" t="str" cm="1">
        <f t="array" ref="G23">Common_InputFunctions.Utility_DisplayArrayInTable(Fuel_SourceData.Fuel_Scope1Scope3EmissionFactorsTransport_Data(), Table_Fuel_EFs_Transport[[#Headers],[Transport type]], 0)</f>
        <v>kl</v>
      </c>
      <c r="H23" s="218" cm="1">
        <f t="array" ref="H23">Common_InputFunctions.Utility_DisplayArrayInTable(Fuel_SourceData.Fuel_Scope1Scope3EmissionFactorsTransport_Data(), Table_Fuel_EFs_Transport[[#Headers],[Transport type]], 0)</f>
        <v>69.900000000000006</v>
      </c>
      <c r="I23" s="218" cm="1">
        <f t="array" ref="I23">Common_InputFunctions.Utility_DisplayArrayInTable(Fuel_SourceData.Fuel_Scope1Scope3EmissionFactorsTransport_Data(), Table_Fuel_EFs_Transport[[#Headers],[Transport type]], 0)</f>
        <v>0.1</v>
      </c>
      <c r="J23" s="218" cm="1">
        <f t="array" ref="J23">Common_InputFunctions.Utility_DisplayArrayInTable(Fuel_SourceData.Fuel_Scope1Scope3EmissionFactorsTransport_Data(), Table_Fuel_EFs_Transport[[#Headers],[Transport type]], 0)</f>
        <v>0.4</v>
      </c>
      <c r="K23" s="218" cm="1">
        <f t="array" ref="K23">Common_InputFunctions.Utility_DisplayArrayInTable(Fuel_SourceData.Fuel_Scope1Scope3EmissionFactorsTransport_Data(), Table_Fuel_EFs_Transport[[#Headers],[Transport type]], 0)</f>
        <v>70.400000000000006</v>
      </c>
      <c r="L23" s="218" cm="1">
        <f t="array" ref="L23">Common_InputFunctions.Utility_DisplayArrayInTable(Fuel_SourceData.Fuel_Scope1Scope3EmissionFactorsTransport_Data(), Table_Fuel_EFs_Transport[[#Headers],[Transport type]], 0)</f>
        <v>17.3</v>
      </c>
    </row>
    <row r="24" spans="1:12" ht="20" customHeight="1" x14ac:dyDescent="0.25">
      <c r="A24" s="5" t="str">
        <f>HYPERLINK("#'Input - Manure sent off-site'!A1", "Manure sent off-site")</f>
        <v>Manure sent off-site</v>
      </c>
      <c r="D24" s="218" t="str" cm="1">
        <f t="array" ref="D24">Common_InputFunctions.Utility_DisplayArrayInTable(Fuel_SourceData.Fuel_Scope1Scope3EmissionFactorsTransport_Data(), Table_Fuel_EFs_Transport[[#Headers],[Transport type]], 0)</f>
        <v>Heavy duty vehicles</v>
      </c>
      <c r="E24" s="218" t="str" cm="1">
        <f t="array" ref="E24">Common_InputFunctions.Utility_DisplayArrayInTable(Fuel_SourceData.Fuel_Scope1Scope3EmissionFactorsTransport_Data(), Table_Fuel_EFs_Transport[[#Headers],[Transport type]], 0)</f>
        <v>Diesel oil - Euro i</v>
      </c>
      <c r="F24" s="218" cm="1">
        <f t="array" ref="F24">Common_InputFunctions.Utility_DisplayArrayInTable(Fuel_SourceData.Fuel_Scope1Scope3EmissionFactorsTransport_Data(), Table_Fuel_EFs_Transport[[#Headers],[Transport type]], 0)</f>
        <v>38.6</v>
      </c>
      <c r="G24" s="218" t="str" cm="1">
        <f t="array" ref="G24">Common_InputFunctions.Utility_DisplayArrayInTable(Fuel_SourceData.Fuel_Scope1Scope3EmissionFactorsTransport_Data(), Table_Fuel_EFs_Transport[[#Headers],[Transport type]], 0)</f>
        <v>kl</v>
      </c>
      <c r="H24" s="218" cm="1">
        <f t="array" ref="H24">Common_InputFunctions.Utility_DisplayArrayInTable(Fuel_SourceData.Fuel_Scope1Scope3EmissionFactorsTransport_Data(), Table_Fuel_EFs_Transport[[#Headers],[Transport type]], 0)</f>
        <v>69.900000000000006</v>
      </c>
      <c r="I24" s="218" cm="1">
        <f t="array" ref="I24">Common_InputFunctions.Utility_DisplayArrayInTable(Fuel_SourceData.Fuel_Scope1Scope3EmissionFactorsTransport_Data(), Table_Fuel_EFs_Transport[[#Headers],[Transport type]], 0)</f>
        <v>0.2</v>
      </c>
      <c r="J24" s="218" cm="1">
        <f t="array" ref="J24">Common_InputFunctions.Utility_DisplayArrayInTable(Fuel_SourceData.Fuel_Scope1Scope3EmissionFactorsTransport_Data(), Table_Fuel_EFs_Transport[[#Headers],[Transport type]], 0)</f>
        <v>0.4</v>
      </c>
      <c r="K24" s="218" cm="1">
        <f t="array" ref="K24">Common_InputFunctions.Utility_DisplayArrayInTable(Fuel_SourceData.Fuel_Scope1Scope3EmissionFactorsTransport_Data(), Table_Fuel_EFs_Transport[[#Headers],[Transport type]], 0)</f>
        <v>70.5</v>
      </c>
      <c r="L24" s="218" cm="1">
        <f t="array" ref="L24">Common_InputFunctions.Utility_DisplayArrayInTable(Fuel_SourceData.Fuel_Scope1Scope3EmissionFactorsTransport_Data(), Table_Fuel_EFs_Transport[[#Headers],[Transport type]], 0)</f>
        <v>17.3</v>
      </c>
    </row>
    <row r="25" spans="1:12" ht="20" customHeight="1" x14ac:dyDescent="0.25">
      <c r="A25" s="5" t="str">
        <f>HYPERLINK("#'Input - Data quality'!A1", "Data quality")</f>
        <v>Data quality</v>
      </c>
      <c r="D25" s="218" t="str" cm="1">
        <f t="array" ref="D25">Common_InputFunctions.Utility_DisplayArrayInTable(Fuel_SourceData.Fuel_Scope1Scope3EmissionFactorsTransport_Data(), Table_Fuel_EFs_Transport[[#Headers],[Transport type]], 0)</f>
        <v>Heavy duty vehicles</v>
      </c>
      <c r="E25" s="218" t="str" cm="1">
        <f t="array" ref="E25">Common_InputFunctions.Utility_DisplayArrayInTable(Fuel_SourceData.Fuel_Scope1Scope3EmissionFactorsTransport_Data(), Table_Fuel_EFs_Transport[[#Headers],[Transport type]], 0)</f>
        <v>Renewable diesel – Euro iv or higher</v>
      </c>
      <c r="F25" s="218" cm="1">
        <f t="array" ref="F25">Common_InputFunctions.Utility_DisplayArrayInTable(Fuel_SourceData.Fuel_Scope1Scope3EmissionFactorsTransport_Data(), Table_Fuel_EFs_Transport[[#Headers],[Transport type]], 0)</f>
        <v>38.6</v>
      </c>
      <c r="G25" s="218" t="str" cm="1">
        <f t="array" ref="G25">Common_InputFunctions.Utility_DisplayArrayInTable(Fuel_SourceData.Fuel_Scope1Scope3EmissionFactorsTransport_Data(), Table_Fuel_EFs_Transport[[#Headers],[Transport type]], 0)</f>
        <v>kl</v>
      </c>
      <c r="H25" s="218" cm="1">
        <f t="array" ref="H25">Common_InputFunctions.Utility_DisplayArrayInTable(Fuel_SourceData.Fuel_Scope1Scope3EmissionFactorsTransport_Data(), Table_Fuel_EFs_Transport[[#Headers],[Transport type]], 0)</f>
        <v>0</v>
      </c>
      <c r="I25" s="218" cm="1">
        <f t="array" ref="I25">Common_InputFunctions.Utility_DisplayArrayInTable(Fuel_SourceData.Fuel_Scope1Scope3EmissionFactorsTransport_Data(), Table_Fuel_EFs_Transport[[#Headers],[Transport type]], 0)</f>
        <v>7.0000000000000007E-2</v>
      </c>
      <c r="J25" s="218" cm="1">
        <f t="array" ref="J25">Common_InputFunctions.Utility_DisplayArrayInTable(Fuel_SourceData.Fuel_Scope1Scope3EmissionFactorsTransport_Data(), Table_Fuel_EFs_Transport[[#Headers],[Transport type]], 0)</f>
        <v>0.4</v>
      </c>
      <c r="K25" s="218" cm="1">
        <f t="array" ref="K25">Common_InputFunctions.Utility_DisplayArrayInTable(Fuel_SourceData.Fuel_Scope1Scope3EmissionFactorsTransport_Data(), Table_Fuel_EFs_Transport[[#Headers],[Transport type]], 0)</f>
        <v>0.47</v>
      </c>
      <c r="L25" s="218" t="str" cm="1">
        <f t="array" ref="L25">Common_InputFunctions.Utility_DisplayArrayInTable(Fuel_SourceData.Fuel_Scope1Scope3EmissionFactorsTransport_Data(), Table_Fuel_EFs_Transport[[#Headers],[Transport type]], 0)</f>
        <v>NE</v>
      </c>
    </row>
    <row r="26" spans="1:12" ht="20" customHeight="1" x14ac:dyDescent="0.25">
      <c r="D26" s="218" t="str" cm="1">
        <f t="array" ref="D26">Common_InputFunctions.Utility_DisplayArrayInTable(Fuel_SourceData.Fuel_Scope1Scope3EmissionFactorsTransport_Data(), Table_Fuel_EFs_Transport[[#Headers],[Transport type]], 0)</f>
        <v>Heavy duty vehicles</v>
      </c>
      <c r="E26" s="218" t="str" cm="1">
        <f t="array" ref="E26">Common_InputFunctions.Utility_DisplayArrayInTable(Fuel_SourceData.Fuel_Scope1Scope3EmissionFactorsTransport_Data(), Table_Fuel_EFs_Transport[[#Headers],[Transport type]], 0)</f>
        <v>Renewable diesel – Euro iii</v>
      </c>
      <c r="F26" s="218" cm="1">
        <f t="array" ref="F26">Common_InputFunctions.Utility_DisplayArrayInTable(Fuel_SourceData.Fuel_Scope1Scope3EmissionFactorsTransport_Data(), Table_Fuel_EFs_Transport[[#Headers],[Transport type]], 0)</f>
        <v>38.6</v>
      </c>
      <c r="G26" s="218" t="str" cm="1">
        <f t="array" ref="G26">Common_InputFunctions.Utility_DisplayArrayInTable(Fuel_SourceData.Fuel_Scope1Scope3EmissionFactorsTransport_Data(), Table_Fuel_EFs_Transport[[#Headers],[Transport type]], 0)</f>
        <v>kl</v>
      </c>
      <c r="H26" s="218" cm="1">
        <f t="array" ref="H26">Common_InputFunctions.Utility_DisplayArrayInTable(Fuel_SourceData.Fuel_Scope1Scope3EmissionFactorsTransport_Data(), Table_Fuel_EFs_Transport[[#Headers],[Transport type]], 0)</f>
        <v>0</v>
      </c>
      <c r="I26" s="218" cm="1">
        <f t="array" ref="I26">Common_InputFunctions.Utility_DisplayArrayInTable(Fuel_SourceData.Fuel_Scope1Scope3EmissionFactorsTransport_Data(), Table_Fuel_EFs_Transport[[#Headers],[Transport type]], 0)</f>
        <v>0.1</v>
      </c>
      <c r="J26" s="218" cm="1">
        <f t="array" ref="J26">Common_InputFunctions.Utility_DisplayArrayInTable(Fuel_SourceData.Fuel_Scope1Scope3EmissionFactorsTransport_Data(), Table_Fuel_EFs_Transport[[#Headers],[Transport type]], 0)</f>
        <v>0.4</v>
      </c>
      <c r="K26" s="218" cm="1">
        <f t="array" ref="K26">Common_InputFunctions.Utility_DisplayArrayInTable(Fuel_SourceData.Fuel_Scope1Scope3EmissionFactorsTransport_Data(), Table_Fuel_EFs_Transport[[#Headers],[Transport type]], 0)</f>
        <v>0.5</v>
      </c>
      <c r="L26" s="218" t="str" cm="1">
        <f t="array" ref="L26">Common_InputFunctions.Utility_DisplayArrayInTable(Fuel_SourceData.Fuel_Scope1Scope3EmissionFactorsTransport_Data(), Table_Fuel_EFs_Transport[[#Headers],[Transport type]], 0)</f>
        <v>NE</v>
      </c>
    </row>
    <row r="27" spans="1:12" ht="20" customHeight="1" x14ac:dyDescent="0.25">
      <c r="D27" s="218" t="str" cm="1">
        <f t="array" ref="D27">Common_InputFunctions.Utility_DisplayArrayInTable(Fuel_SourceData.Fuel_Scope1Scope3EmissionFactorsTransport_Data(), Table_Fuel_EFs_Transport[[#Headers],[Transport type]], 0)</f>
        <v>Heavy duty vehicles</v>
      </c>
      <c r="E27" s="218" t="str" cm="1">
        <f t="array" ref="E27">Common_InputFunctions.Utility_DisplayArrayInTable(Fuel_SourceData.Fuel_Scope1Scope3EmissionFactorsTransport_Data(), Table_Fuel_EFs_Transport[[#Headers],[Transport type]], 0)</f>
        <v>Renewable diesel – Euro i</v>
      </c>
      <c r="F27" s="218" cm="1">
        <f t="array" ref="F27">Common_InputFunctions.Utility_DisplayArrayInTable(Fuel_SourceData.Fuel_Scope1Scope3EmissionFactorsTransport_Data(), Table_Fuel_EFs_Transport[[#Headers],[Transport type]], 0)</f>
        <v>38.6</v>
      </c>
      <c r="G27" s="218" t="str" cm="1">
        <f t="array" ref="G27">Common_InputFunctions.Utility_DisplayArrayInTable(Fuel_SourceData.Fuel_Scope1Scope3EmissionFactorsTransport_Data(), Table_Fuel_EFs_Transport[[#Headers],[Transport type]], 0)</f>
        <v>kl</v>
      </c>
      <c r="H27" s="218" cm="1">
        <f t="array" ref="H27">Common_InputFunctions.Utility_DisplayArrayInTable(Fuel_SourceData.Fuel_Scope1Scope3EmissionFactorsTransport_Data(), Table_Fuel_EFs_Transport[[#Headers],[Transport type]], 0)</f>
        <v>0</v>
      </c>
      <c r="I27" s="218" cm="1">
        <f t="array" ref="I27">Common_InputFunctions.Utility_DisplayArrayInTable(Fuel_SourceData.Fuel_Scope1Scope3EmissionFactorsTransport_Data(), Table_Fuel_EFs_Transport[[#Headers],[Transport type]], 0)</f>
        <v>0.2</v>
      </c>
      <c r="J27" s="218" cm="1">
        <f t="array" ref="J27">Common_InputFunctions.Utility_DisplayArrayInTable(Fuel_SourceData.Fuel_Scope1Scope3EmissionFactorsTransport_Data(), Table_Fuel_EFs_Transport[[#Headers],[Transport type]], 0)</f>
        <v>0.4</v>
      </c>
      <c r="K27" s="218" cm="1">
        <f t="array" ref="K27">Common_InputFunctions.Utility_DisplayArrayInTable(Fuel_SourceData.Fuel_Scope1Scope3EmissionFactorsTransport_Data(), Table_Fuel_EFs_Transport[[#Headers],[Transport type]], 0)</f>
        <v>0.6</v>
      </c>
      <c r="L27" s="218" t="str" cm="1">
        <f t="array" ref="L27">Common_InputFunctions.Utility_DisplayArrayInTable(Fuel_SourceData.Fuel_Scope1Scope3EmissionFactorsTransport_Data(), Table_Fuel_EFs_Transport[[#Headers],[Transport type]], 0)</f>
        <v>NE</v>
      </c>
    </row>
    <row r="28" spans="1:12" ht="20" customHeight="1" x14ac:dyDescent="0.25">
      <c r="A28" s="6" t="s">
        <v>2</v>
      </c>
      <c r="D28" s="218" t="str" cm="1">
        <f t="array" ref="D28">Common_InputFunctions.Utility_DisplayArrayInTable(Fuel_SourceData.Fuel_Scope1Scope3EmissionFactorsTransport_Data(), Table_Fuel_EFs_Transport[[#Headers],[Transport type]], 0)</f>
        <v>Aviation</v>
      </c>
      <c r="E28" s="218" t="str" cm="1">
        <f t="array" ref="E28">Common_InputFunctions.Utility_DisplayArrayInTable(Fuel_SourceData.Fuel_Scope1Scope3EmissionFactorsTransport_Data(), Table_Fuel_EFs_Transport[[#Headers],[Transport type]], 0)</f>
        <v>Gasoline for use as fuel in an aircraft</v>
      </c>
      <c r="F28" s="218" cm="1">
        <f t="array" ref="F28">Common_InputFunctions.Utility_DisplayArrayInTable(Fuel_SourceData.Fuel_Scope1Scope3EmissionFactorsTransport_Data(), Table_Fuel_EFs_Transport[[#Headers],[Transport type]], 0)</f>
        <v>33.1</v>
      </c>
      <c r="G28" s="218" t="str" cm="1">
        <f t="array" ref="G28">Common_InputFunctions.Utility_DisplayArrayInTable(Fuel_SourceData.Fuel_Scope1Scope3EmissionFactorsTransport_Data(), Table_Fuel_EFs_Transport[[#Headers],[Transport type]], 0)</f>
        <v>kl</v>
      </c>
      <c r="H28" s="218" cm="1">
        <f t="array" ref="H28">Common_InputFunctions.Utility_DisplayArrayInTable(Fuel_SourceData.Fuel_Scope1Scope3EmissionFactorsTransport_Data(), Table_Fuel_EFs_Transport[[#Headers],[Transport type]], 0)</f>
        <v>67</v>
      </c>
      <c r="I28" s="218" cm="1">
        <f t="array" ref="I28">Common_InputFunctions.Utility_DisplayArrayInTable(Fuel_SourceData.Fuel_Scope1Scope3EmissionFactorsTransport_Data(), Table_Fuel_EFs_Transport[[#Headers],[Transport type]], 0)</f>
        <v>0.06</v>
      </c>
      <c r="J28" s="218" cm="1">
        <f t="array" ref="J28">Common_InputFunctions.Utility_DisplayArrayInTable(Fuel_SourceData.Fuel_Scope1Scope3EmissionFactorsTransport_Data(), Table_Fuel_EFs_Transport[[#Headers],[Transport type]], 0)</f>
        <v>0.6</v>
      </c>
      <c r="K28" s="218" cm="1">
        <f t="array" ref="K28">Common_InputFunctions.Utility_DisplayArrayInTable(Fuel_SourceData.Fuel_Scope1Scope3EmissionFactorsTransport_Data(), Table_Fuel_EFs_Transport[[#Headers],[Transport type]], 0)</f>
        <v>67.66</v>
      </c>
      <c r="L28" s="218" cm="1">
        <f t="array" ref="L28">Common_InputFunctions.Utility_DisplayArrayInTable(Fuel_SourceData.Fuel_Scope1Scope3EmissionFactorsTransport_Data(), Table_Fuel_EFs_Transport[[#Headers],[Transport type]], 0)</f>
        <v>18</v>
      </c>
    </row>
    <row r="29" spans="1:12" ht="20" customHeight="1" x14ac:dyDescent="0.25">
      <c r="A29" s="5" t="str">
        <f>HYPERLINK("#'3.2.1.1-2 Enteric Methane'!A1", "3.2.1.1-2 Enteric Methane")</f>
        <v>3.2.1.1-2 Enteric Methane</v>
      </c>
      <c r="D29" s="218" t="str" cm="1">
        <f t="array" ref="D29">Common_InputFunctions.Utility_DisplayArrayInTable(Fuel_SourceData.Fuel_Scope1Scope3EmissionFactorsTransport_Data(), Table_Fuel_EFs_Transport[[#Headers],[Transport type]], 0)</f>
        <v>Aviation</v>
      </c>
      <c r="E29" s="218" t="str" cm="1">
        <f t="array" ref="E29">Common_InputFunctions.Utility_DisplayArrayInTable(Fuel_SourceData.Fuel_Scope1Scope3EmissionFactorsTransport_Data(), Table_Fuel_EFs_Transport[[#Headers],[Transport type]], 0)</f>
        <v>Kerosene for use as fuel in an aircraft</v>
      </c>
      <c r="F29" s="218" cm="1">
        <f t="array" ref="F29">Common_InputFunctions.Utility_DisplayArrayInTable(Fuel_SourceData.Fuel_Scope1Scope3EmissionFactorsTransport_Data(), Table_Fuel_EFs_Transport[[#Headers],[Transport type]], 0)</f>
        <v>36.799999999999997</v>
      </c>
      <c r="G29" s="218" t="str" cm="1">
        <f t="array" ref="G29">Common_InputFunctions.Utility_DisplayArrayInTable(Fuel_SourceData.Fuel_Scope1Scope3EmissionFactorsTransport_Data(), Table_Fuel_EFs_Transport[[#Headers],[Transport type]], 0)</f>
        <v>kl</v>
      </c>
      <c r="H29" s="218" cm="1">
        <f t="array" ref="H29">Common_InputFunctions.Utility_DisplayArrayInTable(Fuel_SourceData.Fuel_Scope1Scope3EmissionFactorsTransport_Data(), Table_Fuel_EFs_Transport[[#Headers],[Transport type]], 0)</f>
        <v>69.599999999999994</v>
      </c>
      <c r="I29" s="218" cm="1">
        <f t="array" ref="I29">Common_InputFunctions.Utility_DisplayArrayInTable(Fuel_SourceData.Fuel_Scope1Scope3EmissionFactorsTransport_Data(), Table_Fuel_EFs_Transport[[#Headers],[Transport type]], 0)</f>
        <v>0.01</v>
      </c>
      <c r="J29" s="218" cm="1">
        <f t="array" ref="J29">Common_InputFunctions.Utility_DisplayArrayInTable(Fuel_SourceData.Fuel_Scope1Scope3EmissionFactorsTransport_Data(), Table_Fuel_EFs_Transport[[#Headers],[Transport type]], 0)</f>
        <v>0.6</v>
      </c>
      <c r="K29" s="218" cm="1">
        <f t="array" ref="K29">Common_InputFunctions.Utility_DisplayArrayInTable(Fuel_SourceData.Fuel_Scope1Scope3EmissionFactorsTransport_Data(), Table_Fuel_EFs_Transport[[#Headers],[Transport type]], 0)</f>
        <v>70.209999999999994</v>
      </c>
      <c r="L29" s="218" cm="1">
        <f t="array" ref="L29">Common_InputFunctions.Utility_DisplayArrayInTable(Fuel_SourceData.Fuel_Scope1Scope3EmissionFactorsTransport_Data(), Table_Fuel_EFs_Transport[[#Headers],[Transport type]], 0)</f>
        <v>18</v>
      </c>
    </row>
    <row r="30" spans="1:12" ht="20" customHeight="1" x14ac:dyDescent="0.25">
      <c r="A30" s="5" t="str">
        <f>HYPERLINK("#'4.2.1.1-2 Methane'!A1", "4.2.1.1-2 Manure methane")</f>
        <v>4.2.1.1-2 Manure methane</v>
      </c>
      <c r="D30" s="218" t="str" cm="1">
        <f t="array" ref="D30">Common_InputFunctions.Utility_DisplayArrayInTable(Fuel_SourceData.Fuel_Scope1Scope3EmissionFactorsTransport_Data(), Table_Fuel_EFs_Transport[[#Headers],[Transport type]], 0)</f>
        <v>Aviation</v>
      </c>
      <c r="E30" s="218" t="str" cm="1">
        <f t="array" ref="E30">Common_InputFunctions.Utility_DisplayArrayInTable(Fuel_SourceData.Fuel_Scope1Scope3EmissionFactorsTransport_Data(), Table_Fuel_EFs_Transport[[#Headers],[Transport type]], 0)</f>
        <v>Renewable aviation kerosene</v>
      </c>
      <c r="F30" s="218" cm="1">
        <f t="array" ref="F30">Common_InputFunctions.Utility_DisplayArrayInTable(Fuel_SourceData.Fuel_Scope1Scope3EmissionFactorsTransport_Data(), Table_Fuel_EFs_Transport[[#Headers],[Transport type]], 0)</f>
        <v>36.799999999999997</v>
      </c>
      <c r="G30" s="218" t="str" cm="1">
        <f t="array" ref="G30">Common_InputFunctions.Utility_DisplayArrayInTable(Fuel_SourceData.Fuel_Scope1Scope3EmissionFactorsTransport_Data(), Table_Fuel_EFs_Transport[[#Headers],[Transport type]], 0)</f>
        <v>kl</v>
      </c>
      <c r="H30" s="218" cm="1">
        <f t="array" ref="H30">Common_InputFunctions.Utility_DisplayArrayInTable(Fuel_SourceData.Fuel_Scope1Scope3EmissionFactorsTransport_Data(), Table_Fuel_EFs_Transport[[#Headers],[Transport type]], 0)</f>
        <v>0</v>
      </c>
      <c r="I30" s="218" cm="1">
        <f t="array" ref="I30">Common_InputFunctions.Utility_DisplayArrayInTable(Fuel_SourceData.Fuel_Scope1Scope3EmissionFactorsTransport_Data(), Table_Fuel_EFs_Transport[[#Headers],[Transport type]], 0)</f>
        <v>0.01</v>
      </c>
      <c r="J30" s="218" cm="1">
        <f t="array" ref="J30">Common_InputFunctions.Utility_DisplayArrayInTable(Fuel_SourceData.Fuel_Scope1Scope3EmissionFactorsTransport_Data(), Table_Fuel_EFs_Transport[[#Headers],[Transport type]], 0)</f>
        <v>0.6</v>
      </c>
      <c r="K30" s="218" cm="1">
        <f t="array" ref="K30">Common_InputFunctions.Utility_DisplayArrayInTable(Fuel_SourceData.Fuel_Scope1Scope3EmissionFactorsTransport_Data(), Table_Fuel_EFs_Transport[[#Headers],[Transport type]], 0)</f>
        <v>0.61</v>
      </c>
      <c r="L30" s="218" t="str" cm="1">
        <f t="array" ref="L30">Common_InputFunctions.Utility_DisplayArrayInTable(Fuel_SourceData.Fuel_Scope1Scope3EmissionFactorsTransport_Data(), Table_Fuel_EFs_Transport[[#Headers],[Transport type]], 0)</f>
        <v>NE</v>
      </c>
    </row>
    <row r="31" spans="1:12" ht="20" customHeight="1" x14ac:dyDescent="0.25">
      <c r="A31" s="5" t="str">
        <f>HYPERLINK("#'4.2.1.3-4 Soil direct N20'!A1", "4.2.1.3-4 Soil direct N2O")</f>
        <v>4.2.1.3-4 Soil direct N2O</v>
      </c>
      <c r="D31" s="218" t="str" cm="1">
        <f t="array" ref="D31">Common_InputFunctions.Utility_DisplayArrayInTable(Fuel_SourceData.Fuel_Scope1Scope3EmissionFactorsTransport_Data(), Table_Fuel_EFs_Transport[[#Headers],[Transport type]], 0)</f>
        <v>Vessels</v>
      </c>
      <c r="E31" s="218" t="str" cm="1">
        <f t="array" ref="E31">Common_InputFunctions.Utility_DisplayArrayInTable(Fuel_SourceData.Fuel_Scope1Scope3EmissionFactorsTransport_Data(), Table_Fuel_EFs_Transport[[#Headers],[Transport type]], 0)</f>
        <v>Gasoline</v>
      </c>
      <c r="F31" s="218" cm="1">
        <f t="array" ref="F31">Common_InputFunctions.Utility_DisplayArrayInTable(Fuel_SourceData.Fuel_Scope1Scope3EmissionFactorsTransport_Data(), Table_Fuel_EFs_Transport[[#Headers],[Transport type]], 0)</f>
        <v>34.200000000000003</v>
      </c>
      <c r="G31" s="218" t="str" cm="1">
        <f t="array" ref="G31">Common_InputFunctions.Utility_DisplayArrayInTable(Fuel_SourceData.Fuel_Scope1Scope3EmissionFactorsTransport_Data(), Table_Fuel_EFs_Transport[[#Headers],[Transport type]], 0)</f>
        <v>kL</v>
      </c>
      <c r="H31" s="218" cm="1">
        <f t="array" ref="H31">Common_InputFunctions.Utility_DisplayArrayInTable(Fuel_SourceData.Fuel_Scope1Scope3EmissionFactorsTransport_Data(), Table_Fuel_EFs_Transport[[#Headers],[Transport type]], 0)</f>
        <v>67.400000000000006</v>
      </c>
      <c r="I31" s="218" cm="1">
        <f t="array" ref="I31">Common_InputFunctions.Utility_DisplayArrayInTable(Fuel_SourceData.Fuel_Scope1Scope3EmissionFactorsTransport_Data(), Table_Fuel_EFs_Transport[[#Headers],[Transport type]], 0)</f>
        <v>10.1</v>
      </c>
      <c r="J31" s="218" cm="1">
        <f t="array" ref="J31">Common_InputFunctions.Utility_DisplayArrayInTable(Fuel_SourceData.Fuel_Scope1Scope3EmissionFactorsTransport_Data(), Table_Fuel_EFs_Transport[[#Headers],[Transport type]], 0)</f>
        <v>0.3</v>
      </c>
      <c r="K31" s="218" t="str" cm="1">
        <f t="array" ref="K31">Common_InputFunctions.Utility_DisplayArrayInTable(Fuel_SourceData.Fuel_Scope1Scope3EmissionFactorsTransport_Data(), Table_Fuel_EFs_Transport[[#Headers],[Transport type]], 0)</f>
        <v/>
      </c>
      <c r="L31" s="218" cm="1">
        <f t="array" ref="L31">Common_InputFunctions.Utility_DisplayArrayInTable(Fuel_SourceData.Fuel_Scope1Scope3EmissionFactorsTransport_Data(), Table_Fuel_EFs_Transport[[#Headers],[Transport type]], 0)</f>
        <v>17.2</v>
      </c>
    </row>
    <row r="32" spans="1:12" ht="20" customHeight="1" x14ac:dyDescent="0.25">
      <c r="A32" s="5" t="str">
        <f>HYPERLINK("#'4.2.1.5-6 Soil Atmos Dep'!A1", "4.2.1.5-6 Soil atm. deposition")</f>
        <v>4.2.1.5-6 Soil atm. deposition</v>
      </c>
      <c r="D32" s="219" t="str" cm="1">
        <f t="array" ref="D32">Common_InputFunctions.Utility_DisplayArrayInTable(Fuel_SourceData.Fuel_Scope1Scope3EmissionFactorsTransport_Data(), Table_Fuel_EFs_Transport[[#Headers],[Transport type]], 0)</f>
        <v>Vessels</v>
      </c>
      <c r="E32" s="219" t="str" cm="1">
        <f t="array" ref="E32">Common_InputFunctions.Utility_DisplayArrayInTable(Fuel_SourceData.Fuel_Scope1Scope3EmissionFactorsTransport_Data(), Table_Fuel_EFs_Transport[[#Headers],[Transport type]], 0)</f>
        <v>Diesel oil</v>
      </c>
      <c r="F32" s="219" cm="1">
        <f t="array" ref="F32">Common_InputFunctions.Utility_DisplayArrayInTable(Fuel_SourceData.Fuel_Scope1Scope3EmissionFactorsTransport_Data(), Table_Fuel_EFs_Transport[[#Headers],[Transport type]], 0)</f>
        <v>38.6</v>
      </c>
      <c r="G32" s="219" t="str" cm="1">
        <f t="array" ref="G32">Common_InputFunctions.Utility_DisplayArrayInTable(Fuel_SourceData.Fuel_Scope1Scope3EmissionFactorsTransport_Data(), Table_Fuel_EFs_Transport[[#Headers],[Transport type]], 0)</f>
        <v>kL</v>
      </c>
      <c r="H32" s="219" cm="1">
        <f t="array" ref="H32">Common_InputFunctions.Utility_DisplayArrayInTable(Fuel_SourceData.Fuel_Scope1Scope3EmissionFactorsTransport_Data(), Table_Fuel_EFs_Transport[[#Headers],[Transport type]], 0)</f>
        <v>69.900000000000006</v>
      </c>
      <c r="I32" s="219" cm="1">
        <f t="array" ref="I32">Common_InputFunctions.Utility_DisplayArrayInTable(Fuel_SourceData.Fuel_Scope1Scope3EmissionFactorsTransport_Data(), Table_Fuel_EFs_Transport[[#Headers],[Transport type]], 0)</f>
        <v>0.2</v>
      </c>
      <c r="J32" s="219" cm="1">
        <f t="array" ref="J32">Common_InputFunctions.Utility_DisplayArrayInTable(Fuel_SourceData.Fuel_Scope1Scope3EmissionFactorsTransport_Data(), Table_Fuel_EFs_Transport[[#Headers],[Transport type]], 0)</f>
        <v>0.5</v>
      </c>
      <c r="K32" s="219" t="str" cm="1">
        <f t="array" ref="K32">Common_InputFunctions.Utility_DisplayArrayInTable(Fuel_SourceData.Fuel_Scope1Scope3EmissionFactorsTransport_Data(), Table_Fuel_EFs_Transport[[#Headers],[Transport type]], 0)</f>
        <v/>
      </c>
      <c r="L32" s="219" cm="1">
        <f t="array" ref="L32">Common_InputFunctions.Utility_DisplayArrayInTable(Fuel_SourceData.Fuel_Scope1Scope3EmissionFactorsTransport_Data(), Table_Fuel_EFs_Transport[[#Headers],[Transport type]], 0)</f>
        <v>17.3</v>
      </c>
    </row>
    <row r="33" spans="1:12" ht="20" customHeight="1" x14ac:dyDescent="0.25">
      <c r="A33" s="5" t="str">
        <f>HYPERLINK("#'4.2.1.7-8 Soil leach runoff'!A1", "4.2.1.7-8 Soil leach &amp; runoff")</f>
        <v>4.2.1.7-8 Soil leach &amp; runoff</v>
      </c>
      <c r="D33" s="219" t="str" cm="1">
        <f t="array" ref="D33">Common_InputFunctions.Utility_DisplayArrayInTable(Fuel_SourceData.Fuel_Scope1Scope3EmissionFactorsTransport_Data(), Table_Fuel_EFs_Transport[[#Headers],[Transport type]], 0)</f>
        <v>Vessels</v>
      </c>
      <c r="E33" s="219" t="str" cm="1">
        <f t="array" ref="E33">Common_InputFunctions.Utility_DisplayArrayInTable(Fuel_SourceData.Fuel_Scope1Scope3EmissionFactorsTransport_Data(), Table_Fuel_EFs_Transport[[#Headers],[Transport type]], 0)</f>
        <v>Fuel Oil</v>
      </c>
      <c r="F33" s="219" cm="1">
        <f t="array" ref="F33">Common_InputFunctions.Utility_DisplayArrayInTable(Fuel_SourceData.Fuel_Scope1Scope3EmissionFactorsTransport_Data(), Table_Fuel_EFs_Transport[[#Headers],[Transport type]], 0)</f>
        <v>39.700000000000003</v>
      </c>
      <c r="G33" s="219" t="str" cm="1">
        <f t="array" ref="G33">Common_InputFunctions.Utility_DisplayArrayInTable(Fuel_SourceData.Fuel_Scope1Scope3EmissionFactorsTransport_Data(), Table_Fuel_EFs_Transport[[#Headers],[Transport type]], 0)</f>
        <v>kL</v>
      </c>
      <c r="H33" s="219" cm="1">
        <f t="array" ref="H33">Common_InputFunctions.Utility_DisplayArrayInTable(Fuel_SourceData.Fuel_Scope1Scope3EmissionFactorsTransport_Data(), Table_Fuel_EFs_Transport[[#Headers],[Transport type]], 0)</f>
        <v>73.599999999999994</v>
      </c>
      <c r="I33" s="219" cm="1">
        <f t="array" ref="I33">Common_InputFunctions.Utility_DisplayArrayInTable(Fuel_SourceData.Fuel_Scope1Scope3EmissionFactorsTransport_Data(), Table_Fuel_EFs_Transport[[#Headers],[Transport type]], 0)</f>
        <v>0.2</v>
      </c>
      <c r="J33" s="219" cm="1">
        <f t="array" ref="J33">Common_InputFunctions.Utility_DisplayArrayInTable(Fuel_SourceData.Fuel_Scope1Scope3EmissionFactorsTransport_Data(), Table_Fuel_EFs_Transport[[#Headers],[Transport type]], 0)</f>
        <v>0.5</v>
      </c>
      <c r="K33" s="219" t="str" cm="1">
        <f t="array" ref="K33">Common_InputFunctions.Utility_DisplayArrayInTable(Fuel_SourceData.Fuel_Scope1Scope3EmissionFactorsTransport_Data(), Table_Fuel_EFs_Transport[[#Headers],[Transport type]], 0)</f>
        <v/>
      </c>
      <c r="L33" s="219" cm="1">
        <f t="array" ref="L33">Common_InputFunctions.Utility_DisplayArrayInTable(Fuel_SourceData.Fuel_Scope1Scope3EmissionFactorsTransport_Data(), Table_Fuel_EFs_Transport[[#Headers],[Transport type]], 0)</f>
        <v>18</v>
      </c>
    </row>
    <row r="34" spans="1:12" ht="20" customHeight="1" x14ac:dyDescent="0.25">
      <c r="A34" s="5" t="str">
        <f>HYPERLINK("#'5.1.1.1-2 Inorganic fert N2O'!A1", "5.1.1.1-2 Inorganic fert N2O")</f>
        <v>5.1.1.1-2 Inorganic fert N2O</v>
      </c>
      <c r="D34" s="219" t="str" cm="1">
        <f t="array" ref="D34">Common_InputFunctions.Utility_DisplayArrayInTable(Fuel_SourceData.Fuel_Scope1Scope3EmissionFactorsTransport_Data(), Table_Fuel_EFs_Transport[[#Headers],[Transport type]], 0)</f>
        <v>Off-road Agriculture and forestry equipment</v>
      </c>
      <c r="E34" s="219" t="str" cm="1">
        <f t="array" ref="E34">Common_InputFunctions.Utility_DisplayArrayInTable(Fuel_SourceData.Fuel_Scope1Scope3EmissionFactorsTransport_Data(), Table_Fuel_EFs_Transport[[#Headers],[Transport type]], 0)</f>
        <v>Diesel oil</v>
      </c>
      <c r="F34" s="219" cm="1">
        <f t="array" ref="F34">Common_InputFunctions.Utility_DisplayArrayInTable(Fuel_SourceData.Fuel_Scope1Scope3EmissionFactorsTransport_Data(), Table_Fuel_EFs_Transport[[#Headers],[Transport type]], 0)</f>
        <v>38.6</v>
      </c>
      <c r="G34" s="219" t="str" cm="1">
        <f t="array" ref="G34">Common_InputFunctions.Utility_DisplayArrayInTable(Fuel_SourceData.Fuel_Scope1Scope3EmissionFactorsTransport_Data(), Table_Fuel_EFs_Transport[[#Headers],[Transport type]], 0)</f>
        <v>kL</v>
      </c>
      <c r="H34" s="219" cm="1">
        <f t="array" ref="H34">Common_InputFunctions.Utility_DisplayArrayInTable(Fuel_SourceData.Fuel_Scope1Scope3EmissionFactorsTransport_Data(), Table_Fuel_EFs_Transport[[#Headers],[Transport type]], 0)</f>
        <v>69.900000000000006</v>
      </c>
      <c r="I34" s="219" cm="1">
        <f t="array" ref="I34">Common_InputFunctions.Utility_DisplayArrayInTable(Fuel_SourceData.Fuel_Scope1Scope3EmissionFactorsTransport_Data(), Table_Fuel_EFs_Transport[[#Headers],[Transport type]], 0)</f>
        <v>0.3</v>
      </c>
      <c r="J34" s="219" cm="1">
        <f t="array" ref="J34">Common_InputFunctions.Utility_DisplayArrayInTable(Fuel_SourceData.Fuel_Scope1Scope3EmissionFactorsTransport_Data(), Table_Fuel_EFs_Transport[[#Headers],[Transport type]], 0)</f>
        <v>0.5</v>
      </c>
      <c r="K34" s="219" t="str" cm="1">
        <f t="array" ref="K34">Common_InputFunctions.Utility_DisplayArrayInTable(Fuel_SourceData.Fuel_Scope1Scope3EmissionFactorsTransport_Data(), Table_Fuel_EFs_Transport[[#Headers],[Transport type]], 0)</f>
        <v/>
      </c>
      <c r="L34" s="219" cm="1">
        <f t="array" ref="L34">Common_InputFunctions.Utility_DisplayArrayInTable(Fuel_SourceData.Fuel_Scope1Scope3EmissionFactorsTransport_Data(), Table_Fuel_EFs_Transport[[#Headers],[Transport type]], 0)</f>
        <v>17.3</v>
      </c>
    </row>
    <row r="35" spans="1:12" ht="20" customHeight="1" x14ac:dyDescent="0.25">
      <c r="A35" s="5" t="str">
        <f>HYPERLINK("#'5.1.1.3-4 Inorganic fert CO2'!A1", "5.1.1.3-4 Inorganic fert CO2")</f>
        <v>5.1.1.3-4 Inorganic fert CO2</v>
      </c>
    </row>
    <row r="36" spans="1:12" ht="20" customHeight="1" x14ac:dyDescent="0.25">
      <c r="A36" s="5" t="str">
        <f>HYPERLINK("#'5.2.1.1-2 Organic Fert N2O'!A1", "5.2.1.1-2 Organic fert N2O")</f>
        <v>5.2.1.1-2 Organic fert N2O</v>
      </c>
    </row>
    <row r="37" spans="1:12" ht="20" customHeight="1" x14ac:dyDescent="0.25">
      <c r="A37" s="5" t="str">
        <f>HYPERLINK("#'5.3.1.1-2 Lime CO2'!A1", "5.3.1.1-2 Lime CO2")</f>
        <v>5.3.1.1-2 Lime CO2</v>
      </c>
      <c r="D37" s="2" t="str" cm="1">
        <f t="array" ref="D37">Fuel_SourceData.Fuel_Scope1Scope3EmissionFactorsTransportOffRoad_Title()</f>
        <v>Fuel scope 1 and 3 emission factors - Off-road equipment and vessels</v>
      </c>
    </row>
    <row r="38" spans="1:12" ht="20" customHeight="1" x14ac:dyDescent="0.25">
      <c r="A38" s="5" t="str">
        <f>HYPERLINK("#'5.4.1.1-4 Atmos deposition'!A1", "5.4.1.1-4 Atmos. deposition")</f>
        <v>5.4.1.1-4 Atmos. deposition</v>
      </c>
      <c r="D38" s="17" t="str" cm="1">
        <f t="array" ref="D38">Fuel_SourceData.Fuel_Scope1Scope3EmissionFactorsTransportOffRoad_Source()</f>
        <v>VEERG 2026: Table A.4.2.1</v>
      </c>
    </row>
    <row r="39" spans="1:12" ht="20" customHeight="1" x14ac:dyDescent="0.25">
      <c r="A39" s="5" t="str">
        <f>HYPERLINK("#'5.5.1.1-2 Leaching and runoff'!A1", "5.5.1.1-2 Leaching &amp; runoff")</f>
        <v>5.5.1.1-2 Leaching &amp; runoff</v>
      </c>
      <c r="D39" s="20" t="s">
        <v>861</v>
      </c>
      <c r="E39" s="20" t="s">
        <v>862</v>
      </c>
      <c r="F39" s="20" t="s">
        <v>863</v>
      </c>
      <c r="G39" s="20" t="s">
        <v>864</v>
      </c>
      <c r="H39" s="20" t="s">
        <v>865</v>
      </c>
      <c r="I39" s="20" t="s">
        <v>866</v>
      </c>
      <c r="J39" s="20" t="s">
        <v>867</v>
      </c>
    </row>
    <row r="40" spans="1:12" ht="20" customHeight="1" x14ac:dyDescent="0.25">
      <c r="A40" s="5" t="str">
        <f>HYPERLINK("#'6.2.1.1-2 Pasture residue N2O'!A1", "6.2.1.1-2 Pasture residue N2O")</f>
        <v>6.2.1.1-2 Pasture residue N2O</v>
      </c>
      <c r="D40" s="20" t="str" cm="1">
        <f t="array" ref="D40">Common_InputFunctions.Utility_DisplayArrayInTable(Fuel_SourceData.Fuel_Scope1Scope3EmissionFactorsTransportOffRoad_Data(), Table_SourceData_Fuel_TransportOffroad[[#Headers],[Transport type t]],0)</f>
        <v>Vessel</v>
      </c>
      <c r="E40" s="20" t="str" cm="1">
        <f t="array" ref="E40">Common_InputFunctions.Utility_DisplayArrayInTable(Fuel_SourceData.Fuel_Scope1Scope3EmissionFactorsTransportOffRoad_Data(), Table_SourceData_Fuel_TransportOffroad[[#Headers],[Transport type t]],0)</f>
        <v>Petrol</v>
      </c>
      <c r="F40" s="20" cm="1">
        <f t="array" ref="F40">Common_InputFunctions.Utility_DisplayArrayInTable(Fuel_SourceData.Fuel_Scope1Scope3EmissionFactorsTransportOffRoad_Data(), Table_SourceData_Fuel_TransportOffroad[[#Headers],[Transport type t]],0)</f>
        <v>34.200000000000003</v>
      </c>
      <c r="G40" s="20" cm="1">
        <f t="array" ref="G40">Common_InputFunctions.Utility_DisplayArrayInTable(Fuel_SourceData.Fuel_Scope1Scope3EmissionFactorsTransportOffRoad_Data(), Table_SourceData_Fuel_TransportOffroad[[#Headers],[Transport type t]],0)</f>
        <v>67.400000000000006</v>
      </c>
      <c r="H40" s="20" cm="1">
        <f t="array" ref="H40">Common_InputFunctions.Utility_DisplayArrayInTable(Fuel_SourceData.Fuel_Scope1Scope3EmissionFactorsTransportOffRoad_Data(), Table_SourceData_Fuel_TransportOffroad[[#Headers],[Transport type t]],0)</f>
        <v>10.1</v>
      </c>
      <c r="I40" s="20" cm="1">
        <f t="array" ref="I40">Common_InputFunctions.Utility_DisplayArrayInTable(Fuel_SourceData.Fuel_Scope1Scope3EmissionFactorsTransportOffRoad_Data(), Table_SourceData_Fuel_TransportOffroad[[#Headers],[Transport type t]],0)</f>
        <v>0.3</v>
      </c>
      <c r="J40" s="20" cm="1">
        <f t="array" ref="J40">Common_InputFunctions.Utility_DisplayArrayInTable(Fuel_SourceData.Fuel_Scope1Scope3EmissionFactorsTransportOffRoad_Data(), Table_SourceData_Fuel_TransportOffroad[[#Headers],[Transport type t]],0)</f>
        <v>17.2</v>
      </c>
    </row>
    <row r="41" spans="1:12" ht="20" customHeight="1" x14ac:dyDescent="0.25">
      <c r="A41" s="5" t="str">
        <f>HYPERLINK("#'6.3.1.1-2 Leach runoff pasture'!A1", "6.3.1.1-2 Leach &amp; runoff (pasture)")</f>
        <v>6.3.1.1-2 Leach &amp; runoff (pasture)</v>
      </c>
      <c r="D41" s="1" t="str" cm="1">
        <f t="array" ref="D41">Common_InputFunctions.Utility_DisplayArrayInTable(Fuel_SourceData.Fuel_Scope1Scope3EmissionFactorsTransportOffRoad_Data(), Table_SourceData_Fuel_TransportOffroad[[#Headers],[Transport type t]],0)</f>
        <v>Vessel</v>
      </c>
      <c r="E41" s="20" t="str" cm="1">
        <f t="array" ref="E41">Common_InputFunctions.Utility_DisplayArrayInTable(Fuel_SourceData.Fuel_Scope1Scope3EmissionFactorsTransportOffRoad_Data(), Table_SourceData_Fuel_TransportOffroad[[#Headers],[Transport type t]],0)</f>
        <v>Diesel</v>
      </c>
      <c r="F41" s="20" cm="1">
        <f t="array" ref="F41">Common_InputFunctions.Utility_DisplayArrayInTable(Fuel_SourceData.Fuel_Scope1Scope3EmissionFactorsTransportOffRoad_Data(), Table_SourceData_Fuel_TransportOffroad[[#Headers],[Transport type t]],0)</f>
        <v>38.6</v>
      </c>
      <c r="G41" s="20" cm="1">
        <f t="array" ref="G41">Common_InputFunctions.Utility_DisplayArrayInTable(Fuel_SourceData.Fuel_Scope1Scope3EmissionFactorsTransportOffRoad_Data(), Table_SourceData_Fuel_TransportOffroad[[#Headers],[Transport type t]],0)</f>
        <v>69.900000000000006</v>
      </c>
      <c r="H41" s="20" cm="1">
        <f t="array" ref="H41">Common_InputFunctions.Utility_DisplayArrayInTable(Fuel_SourceData.Fuel_Scope1Scope3EmissionFactorsTransportOffRoad_Data(), Table_SourceData_Fuel_TransportOffroad[[#Headers],[Transport type t]],0)</f>
        <v>0.2</v>
      </c>
      <c r="I41" s="20" cm="1">
        <f t="array" ref="I41">Common_InputFunctions.Utility_DisplayArrayInTable(Fuel_SourceData.Fuel_Scope1Scope3EmissionFactorsTransportOffRoad_Data(), Table_SourceData_Fuel_TransportOffroad[[#Headers],[Transport type t]],0)</f>
        <v>0.5</v>
      </c>
      <c r="J41" s="20" cm="1">
        <f t="array" ref="J41">Common_InputFunctions.Utility_DisplayArrayInTable(Fuel_SourceData.Fuel_Scope1Scope3EmissionFactorsTransportOffRoad_Data(), Table_SourceData_Fuel_TransportOffroad[[#Headers],[Transport type t]],0)</f>
        <v>17.3</v>
      </c>
    </row>
    <row r="42" spans="1:12" ht="20" customHeight="1" x14ac:dyDescent="0.25">
      <c r="A42" s="5" t="str">
        <f>HYPERLINK("#'8.1.1.1-2 Transport fuel'!A1", "8.1.1.1-2 Transport fuel")</f>
        <v>8.1.1.1-2 Transport fuel</v>
      </c>
      <c r="D42" s="1" t="str" cm="1">
        <f t="array" ref="D42">Common_InputFunctions.Utility_DisplayArrayInTable(Fuel_SourceData.Fuel_Scope1Scope3EmissionFactorsTransportOffRoad_Data(), Table_SourceData_Fuel_TransportOffroad[[#Headers],[Transport type t]],0)</f>
        <v>Vessel</v>
      </c>
      <c r="E42" s="20" t="str" cm="1">
        <f t="array" ref="E42">Common_InputFunctions.Utility_DisplayArrayInTable(Fuel_SourceData.Fuel_Scope1Scope3EmissionFactorsTransportOffRoad_Data(), Table_SourceData_Fuel_TransportOffroad[[#Headers],[Transport type t]],0)</f>
        <v>Fuel Oil</v>
      </c>
      <c r="F42" s="20" cm="1">
        <f t="array" ref="F42">Common_InputFunctions.Utility_DisplayArrayInTable(Fuel_SourceData.Fuel_Scope1Scope3EmissionFactorsTransportOffRoad_Data(), Table_SourceData_Fuel_TransportOffroad[[#Headers],[Transport type t]],0)</f>
        <v>39.700000000000003</v>
      </c>
      <c r="G42" s="20" cm="1">
        <f t="array" ref="G42">Common_InputFunctions.Utility_DisplayArrayInTable(Fuel_SourceData.Fuel_Scope1Scope3EmissionFactorsTransportOffRoad_Data(), Table_SourceData_Fuel_TransportOffroad[[#Headers],[Transport type t]],0)</f>
        <v>73.599999999999994</v>
      </c>
      <c r="H42" s="20" cm="1">
        <f t="array" ref="H42">Common_InputFunctions.Utility_DisplayArrayInTable(Fuel_SourceData.Fuel_Scope1Scope3EmissionFactorsTransportOffRoad_Data(), Table_SourceData_Fuel_TransportOffroad[[#Headers],[Transport type t]],0)</f>
        <v>0.2</v>
      </c>
      <c r="I42" s="20" cm="1">
        <f t="array" ref="I42">Common_InputFunctions.Utility_DisplayArrayInTable(Fuel_SourceData.Fuel_Scope1Scope3EmissionFactorsTransportOffRoad_Data(), Table_SourceData_Fuel_TransportOffroad[[#Headers],[Transport type t]],0)</f>
        <v>0.5</v>
      </c>
      <c r="J42" s="20" cm="1">
        <f t="array" ref="J42">Common_InputFunctions.Utility_DisplayArrayInTable(Fuel_SourceData.Fuel_Scope1Scope3EmissionFactorsTransportOffRoad_Data(), Table_SourceData_Fuel_TransportOffroad[[#Headers],[Transport type t]],0)</f>
        <v>18</v>
      </c>
    </row>
    <row r="43" spans="1:12" ht="20" customHeight="1" x14ac:dyDescent="0.25">
      <c r="A43" s="5" t="str">
        <f>HYPERLINK("#'8.2.1.1-2 Stationary fuel'!A1", "8.2.1.1-2 Stationary fuel")</f>
        <v>8.2.1.1-2 Stationary fuel</v>
      </c>
      <c r="D43" s="1" t="str" cm="1">
        <f t="array" ref="D43">Common_InputFunctions.Utility_DisplayArrayInTable(Fuel_SourceData.Fuel_Scope1Scope3EmissionFactorsTransportOffRoad_Data(), Table_SourceData_Fuel_TransportOffroad[[#Headers],[Transport type t]],0)</f>
        <v>Off-road Agriculture and forestry equipment</v>
      </c>
      <c r="E43" s="20" t="str" cm="1">
        <f t="array" ref="E43">Common_InputFunctions.Utility_DisplayArrayInTable(Fuel_SourceData.Fuel_Scope1Scope3EmissionFactorsTransportOffRoad_Data(), Table_SourceData_Fuel_TransportOffroad[[#Headers],[Transport type t]],0)</f>
        <v>Diesel</v>
      </c>
      <c r="F43" s="20" cm="1">
        <f t="array" ref="F43">Common_InputFunctions.Utility_DisplayArrayInTable(Fuel_SourceData.Fuel_Scope1Scope3EmissionFactorsTransportOffRoad_Data(), Table_SourceData_Fuel_TransportOffroad[[#Headers],[Transport type t]],0)</f>
        <v>38.6</v>
      </c>
      <c r="G43" s="20" cm="1">
        <f t="array" ref="G43">Common_InputFunctions.Utility_DisplayArrayInTable(Fuel_SourceData.Fuel_Scope1Scope3EmissionFactorsTransportOffRoad_Data(), Table_SourceData_Fuel_TransportOffroad[[#Headers],[Transport type t]],0)</f>
        <v>69.900000000000006</v>
      </c>
      <c r="H43" s="20" cm="1">
        <f t="array" ref="H43">Common_InputFunctions.Utility_DisplayArrayInTable(Fuel_SourceData.Fuel_Scope1Scope3EmissionFactorsTransportOffRoad_Data(), Table_SourceData_Fuel_TransportOffroad[[#Headers],[Transport type t]],0)</f>
        <v>0.3</v>
      </c>
      <c r="I43" s="20" cm="1">
        <f t="array" ref="I43">Common_InputFunctions.Utility_DisplayArrayInTable(Fuel_SourceData.Fuel_Scope1Scope3EmissionFactorsTransportOffRoad_Data(), Table_SourceData_Fuel_TransportOffroad[[#Headers],[Transport type t]],0)</f>
        <v>0.5</v>
      </c>
      <c r="J43" s="20" cm="1">
        <f t="array" ref="J43">Common_InputFunctions.Utility_DisplayArrayInTable(Fuel_SourceData.Fuel_Scope1Scope3EmissionFactorsTransportOffRoad_Data(), Table_SourceData_Fuel_TransportOffroad[[#Headers],[Transport type t]],0)</f>
        <v>17.3</v>
      </c>
    </row>
    <row r="44" spans="1:12" ht="20" customHeight="1" x14ac:dyDescent="0.25">
      <c r="A44" s="5" t="str">
        <f>HYPERLINK("#'10.1.1-2 Solid waste treatment'!A1", "10.1.1.1-2 Solid waste")</f>
        <v>10.1.1.1-2 Solid waste</v>
      </c>
    </row>
    <row r="45" spans="1:12" ht="20" customHeight="1" x14ac:dyDescent="0.25">
      <c r="A45" s="5" t="str">
        <f>HYPERLINK("#'14.1.1-2 Purchased electricity'!A1", "14.1.1-2 Purchased electricity")</f>
        <v>14.1.1-2 Purchased electricity</v>
      </c>
    </row>
    <row r="46" spans="1:12" ht="20" customHeight="1" x14ac:dyDescent="0.25">
      <c r="A46" s="5" t="str">
        <f>HYPERLINK("#'15 Scope 3'!A1", "15 Scope 3")</f>
        <v>15 Scope 3</v>
      </c>
    </row>
    <row r="47" spans="1:12" ht="20" customHeight="1" x14ac:dyDescent="0.25">
      <c r="A47" s="5" t="str">
        <f>HYPERLINK("#'Calcs - Manure sent off-site'!A1", "Calcs - Manure sent off-site")</f>
        <v>Calcs - Manure sent off-site</v>
      </c>
    </row>
    <row r="48" spans="1:12" ht="20" customHeight="1" x14ac:dyDescent="0.25"/>
    <row r="49" spans="1:12" ht="20" customHeight="1" x14ac:dyDescent="0.25">
      <c r="D49" s="2" t="str" cm="1">
        <f t="array" ref="D49">Fuel_SourceData.Fuel_Scope1Scope3EmissionFactorsStationaryLiquid_Title()</f>
        <v>Fuel scope 1 and 3 emission factors - Stationary liquid fuels</v>
      </c>
      <c r="E49" s="168"/>
      <c r="F49" s="168"/>
      <c r="G49" s="168"/>
      <c r="H49" s="168"/>
      <c r="I49" s="168"/>
      <c r="J49" s="168"/>
      <c r="K49" s="168"/>
      <c r="L49" s="168"/>
    </row>
    <row r="50" spans="1:12" ht="20" customHeight="1" x14ac:dyDescent="0.25">
      <c r="A50" s="85" t="s">
        <v>1</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68"/>
      <c r="F50" s="168"/>
      <c r="G50" s="168"/>
      <c r="H50" s="168"/>
      <c r="I50" s="168"/>
      <c r="J50" s="168"/>
      <c r="K50" s="168"/>
      <c r="L50" s="168"/>
    </row>
    <row r="51" spans="1:12" ht="20" customHeight="1" x14ac:dyDescent="0.25">
      <c r="A51" s="5" t="str">
        <f>HYPERLINK("#'Constants - Pasture Beef'!A1", "Constants - Pasture Beef")</f>
        <v>Constants - Pasture Beef</v>
      </c>
      <c r="D51" s="17" t="str" cm="1">
        <f t="array" ref="D51">Fuel_SourceData.Fuel_Scope1Scope3EmissionFactorsStationaryLiquid_Source()</f>
        <v>Australian National Greenhouse Accounts Factors 2025 - Table 8</v>
      </c>
      <c r="E51" s="168"/>
      <c r="F51" s="168"/>
      <c r="G51" s="168"/>
      <c r="H51" s="168"/>
      <c r="I51" s="168"/>
      <c r="J51" s="168"/>
      <c r="K51" s="168"/>
      <c r="L51" s="168"/>
    </row>
    <row r="52" spans="1:12" ht="20" customHeight="1" x14ac:dyDescent="0.25">
      <c r="A52" s="5" t="str">
        <f>HYPERLINK("#'Constants - Ag Residue'!A1", "Constants - Ag residue")</f>
        <v>Constants - Ag residue</v>
      </c>
      <c r="D52" s="26" t="str" cm="1">
        <f t="array" ref="D52">"⚠️" &amp; Fuel_SourceData.Fuel_Scope1Scope3EmissionFactorsStationaryLiquid_Variation()</f>
        <v>⚠️VARIATION OF SOURCE DATA: 'NE' values returned as zero for calculations.</v>
      </c>
      <c r="E52" s="168"/>
      <c r="F52" s="168"/>
      <c r="G52" s="168"/>
      <c r="H52" s="168"/>
      <c r="I52" s="168"/>
      <c r="J52" s="168"/>
      <c r="K52" s="168"/>
      <c r="L52" s="168"/>
    </row>
    <row r="53" spans="1:12" ht="20" customHeight="1" x14ac:dyDescent="0.25">
      <c r="A53" s="5" t="str">
        <f>HYPERLINK("#'Constants - Common Livestock'!A1", "Constants - Common Livestock")</f>
        <v>Constants - Common Livestock</v>
      </c>
      <c r="D53" s="186" t="s">
        <v>853</v>
      </c>
      <c r="E53" s="217" t="s">
        <v>854</v>
      </c>
      <c r="F53" s="186" t="s">
        <v>855</v>
      </c>
      <c r="G53" s="217" t="s">
        <v>856</v>
      </c>
      <c r="H53" s="217" t="s">
        <v>857</v>
      </c>
      <c r="I53" s="217" t="s">
        <v>858</v>
      </c>
      <c r="J53" s="217" t="s">
        <v>859</v>
      </c>
      <c r="K53" s="217" t="s">
        <v>860</v>
      </c>
      <c r="L53" s="168"/>
    </row>
    <row r="54" spans="1:12" ht="20" customHeight="1" x14ac:dyDescent="0.25">
      <c r="A54" s="5" t="str">
        <f>HYPERLINK("#'Constants - Electricity'!A1", "Constants - Electricity")</f>
        <v>Constants - Electricity</v>
      </c>
      <c r="D54" s="220"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20" cm="1">
        <f t="array" ref="E54">Common_InputFunctions.Utility_DisplayArrayInTable(Fuel_SourceData.Fuel_Scope1Scope3EmissionFactorsStationaryLiquid_Data(), Table_Fuel_EFs_StationaryLiquid[[#Headers],[Fuel combusted]],0)</f>
        <v>38.799999999999997</v>
      </c>
      <c r="F54" s="220" t="str" cm="1">
        <f t="array" ref="F54">Common_InputFunctions.Utility_DisplayArrayInTable(Fuel_SourceData.Fuel_Scope1Scope3EmissionFactorsStationaryLiquid_Data(), Table_Fuel_EFs_StationaryLiquid[[#Headers],[Fuel combusted]],0)</f>
        <v>kl</v>
      </c>
      <c r="G54" s="220" cm="1">
        <f t="array" ref="G54">Common_InputFunctions.Utility_DisplayArrayInTable(Fuel_SourceData.Fuel_Scope1Scope3EmissionFactorsStationaryLiquid_Data(), Table_Fuel_EFs_StationaryLiquid[[#Headers],[Fuel combusted]],0)</f>
        <v>13.9</v>
      </c>
      <c r="H54" s="220" cm="1">
        <f t="array" ref="H54">Common_InputFunctions.Utility_DisplayArrayInTable(Fuel_SourceData.Fuel_Scope1Scope3EmissionFactorsStationaryLiquid_Data(), Table_Fuel_EFs_StationaryLiquid[[#Headers],[Fuel combusted]],0)</f>
        <v>0</v>
      </c>
      <c r="I54" s="220" cm="1">
        <f t="array" ref="I54">Common_InputFunctions.Utility_DisplayArrayInTable(Fuel_SourceData.Fuel_Scope1Scope3EmissionFactorsStationaryLiquid_Data(), Table_Fuel_EFs_StationaryLiquid[[#Headers],[Fuel combusted]],0)</f>
        <v>0</v>
      </c>
      <c r="J54" s="220" cm="1">
        <f t="array" ref="J54">Common_InputFunctions.Utility_DisplayArrayInTable(Fuel_SourceData.Fuel_Scope1Scope3EmissionFactorsStationaryLiquid_Data(), Table_Fuel_EFs_StationaryLiquid[[#Headers],[Fuel combusted]],0)</f>
        <v>13.9</v>
      </c>
      <c r="K54" s="220" cm="1">
        <f t="array" ref="K54">Common_InputFunctions.Utility_DisplayArrayInTable(Fuel_SourceData.Fuel_Scope1Scope3EmissionFactorsStationaryLiquid_Data(), Table_Fuel_EFs_StationaryLiquid[[#Headers],[Fuel combusted]],0)</f>
        <v>18</v>
      </c>
      <c r="L54" s="168"/>
    </row>
    <row r="55" spans="1:12" ht="20" customHeight="1" x14ac:dyDescent="0.25">
      <c r="A55" s="5" t="str">
        <f>HYPERLINK("#'Constants - Fertiliser'!A1", "Constants - Fertiliser")</f>
        <v>Constants - Fertiliser</v>
      </c>
      <c r="D55" s="220" t="str" cm="1">
        <f t="array" ref="D55">Common_InputFunctions.Utility_DisplayArrayInTable(Fuel_SourceData.Fuel_Scope1Scope3EmissionFactorsStationaryLiquid_Data(), Table_Fuel_EFs_StationaryLiquid[[#Headers],[Fuel combusted]],0)</f>
        <v>Petroleum based greases</v>
      </c>
      <c r="E55" s="220" cm="1">
        <f t="array" ref="E55">Common_InputFunctions.Utility_DisplayArrayInTable(Fuel_SourceData.Fuel_Scope1Scope3EmissionFactorsStationaryLiquid_Data(), Table_Fuel_EFs_StationaryLiquid[[#Headers],[Fuel combusted]],0)</f>
        <v>38.799999999999997</v>
      </c>
      <c r="F55" s="220" t="str" cm="1">
        <f t="array" ref="F55">Common_InputFunctions.Utility_DisplayArrayInTable(Fuel_SourceData.Fuel_Scope1Scope3EmissionFactorsStationaryLiquid_Data(), Table_Fuel_EFs_StationaryLiquid[[#Headers],[Fuel combusted]],0)</f>
        <v>kl</v>
      </c>
      <c r="G55" s="220" cm="1">
        <f t="array" ref="G55">Common_InputFunctions.Utility_DisplayArrayInTable(Fuel_SourceData.Fuel_Scope1Scope3EmissionFactorsStationaryLiquid_Data(), Table_Fuel_EFs_StationaryLiquid[[#Headers],[Fuel combusted]],0)</f>
        <v>3.5</v>
      </c>
      <c r="H55" s="220" cm="1">
        <f t="array" ref="H55">Common_InputFunctions.Utility_DisplayArrayInTable(Fuel_SourceData.Fuel_Scope1Scope3EmissionFactorsStationaryLiquid_Data(), Table_Fuel_EFs_StationaryLiquid[[#Headers],[Fuel combusted]],0)</f>
        <v>0</v>
      </c>
      <c r="I55" s="220" cm="1">
        <f t="array" ref="I55">Common_InputFunctions.Utility_DisplayArrayInTable(Fuel_SourceData.Fuel_Scope1Scope3EmissionFactorsStationaryLiquid_Data(), Table_Fuel_EFs_StationaryLiquid[[#Headers],[Fuel combusted]],0)</f>
        <v>0</v>
      </c>
      <c r="J55" s="220" cm="1">
        <f t="array" ref="J55">Common_InputFunctions.Utility_DisplayArrayInTable(Fuel_SourceData.Fuel_Scope1Scope3EmissionFactorsStationaryLiquid_Data(), Table_Fuel_EFs_StationaryLiquid[[#Headers],[Fuel combusted]],0)</f>
        <v>3.5</v>
      </c>
      <c r="K55" s="220" cm="1">
        <f t="array" ref="K55">Common_InputFunctions.Utility_DisplayArrayInTable(Fuel_SourceData.Fuel_Scope1Scope3EmissionFactorsStationaryLiquid_Data(), Table_Fuel_EFs_StationaryLiquid[[#Headers],[Fuel combusted]],0)</f>
        <v>18</v>
      </c>
      <c r="L55" s="168"/>
    </row>
    <row r="56" spans="1:12" ht="20" customHeight="1" x14ac:dyDescent="0.25">
      <c r="A56" s="86" t="str">
        <f>HYPERLINK("#'Constants - Fuel'!A1", "Constants - Fuel")</f>
        <v>Constants - Fuel</v>
      </c>
      <c r="D56" s="220" t="str" cm="1">
        <f t="array" ref="D56">Common_InputFunctions.Utility_DisplayArrayInTable(Fuel_SourceData.Fuel_Scope1Scope3EmissionFactorsStationaryLiquid_Data(), Table_Fuel_EFs_StationaryLiquid[[#Headers],[Fuel combusted]],0)</f>
        <v>Crude oil including crude oil condensates</v>
      </c>
      <c r="E56" s="220" cm="1">
        <f t="array" ref="E56">Common_InputFunctions.Utility_DisplayArrayInTable(Fuel_SourceData.Fuel_Scope1Scope3EmissionFactorsStationaryLiquid_Data(), Table_Fuel_EFs_StationaryLiquid[[#Headers],[Fuel combusted]],0)</f>
        <v>45.3</v>
      </c>
      <c r="F56" s="220" t="str" cm="1">
        <f t="array" ref="F56">Common_InputFunctions.Utility_DisplayArrayInTable(Fuel_SourceData.Fuel_Scope1Scope3EmissionFactorsStationaryLiquid_Data(), Table_Fuel_EFs_StationaryLiquid[[#Headers],[Fuel combusted]],0)</f>
        <v>t</v>
      </c>
      <c r="G56" s="220" cm="1">
        <f t="array" ref="G56">Common_InputFunctions.Utility_DisplayArrayInTable(Fuel_SourceData.Fuel_Scope1Scope3EmissionFactorsStationaryLiquid_Data(), Table_Fuel_EFs_StationaryLiquid[[#Headers],[Fuel combusted]],0)</f>
        <v>69.599999999999994</v>
      </c>
      <c r="H56" s="220" cm="1">
        <f t="array" ref="H56">Common_InputFunctions.Utility_DisplayArrayInTable(Fuel_SourceData.Fuel_Scope1Scope3EmissionFactorsStationaryLiquid_Data(), Table_Fuel_EFs_StationaryLiquid[[#Headers],[Fuel combusted]],0)</f>
        <v>0.08</v>
      </c>
      <c r="I56" s="220" cm="1">
        <f t="array" ref="I56">Common_InputFunctions.Utility_DisplayArrayInTable(Fuel_SourceData.Fuel_Scope1Scope3EmissionFactorsStationaryLiquid_Data(), Table_Fuel_EFs_StationaryLiquid[[#Headers],[Fuel combusted]],0)</f>
        <v>0.2</v>
      </c>
      <c r="J56" s="220" cm="1">
        <f t="array" ref="J56">Common_InputFunctions.Utility_DisplayArrayInTable(Fuel_SourceData.Fuel_Scope1Scope3EmissionFactorsStationaryLiquid_Data(), Table_Fuel_EFs_StationaryLiquid[[#Headers],[Fuel combusted]],0)</f>
        <v>69.88</v>
      </c>
      <c r="K56" s="220" t="str" cm="1">
        <f t="array" ref="K56">Common_InputFunctions.Utility_DisplayArrayInTable(Fuel_SourceData.Fuel_Scope1Scope3EmissionFactorsStationaryLiquid_Data(), Table_Fuel_EFs_StationaryLiquid[[#Headers],[Fuel combusted]],0)</f>
        <v>NE</v>
      </c>
      <c r="L56" s="168"/>
    </row>
    <row r="57" spans="1:12" ht="20" customHeight="1" x14ac:dyDescent="0.25">
      <c r="A57" s="5" t="str">
        <f>HYPERLINK("#'Constants - Scope 3'!A1", "Constants - Scope 3")</f>
        <v>Constants - Scope 3</v>
      </c>
      <c r="D57" s="220" t="str" cm="1">
        <f t="array" ref="D57">Common_InputFunctions.Utility_DisplayArrayInTable(Fuel_SourceData.Fuel_Scope1Scope3EmissionFactorsStationaryLiquid_Data(), Table_Fuel_EFs_StationaryLiquid[[#Headers],[Fuel combusted]],0)</f>
        <v>Other natural gas liquids</v>
      </c>
      <c r="E57" s="220" cm="1">
        <f t="array" ref="E57">Common_InputFunctions.Utility_DisplayArrayInTable(Fuel_SourceData.Fuel_Scope1Scope3EmissionFactorsStationaryLiquid_Data(), Table_Fuel_EFs_StationaryLiquid[[#Headers],[Fuel combusted]],0)</f>
        <v>46.5</v>
      </c>
      <c r="F57" s="220" t="str" cm="1">
        <f t="array" ref="F57">Common_InputFunctions.Utility_DisplayArrayInTable(Fuel_SourceData.Fuel_Scope1Scope3EmissionFactorsStationaryLiquid_Data(), Table_Fuel_EFs_StationaryLiquid[[#Headers],[Fuel combusted]],0)</f>
        <v>t</v>
      </c>
      <c r="G57" s="220" cm="1">
        <f t="array" ref="G57">Common_InputFunctions.Utility_DisplayArrayInTable(Fuel_SourceData.Fuel_Scope1Scope3EmissionFactorsStationaryLiquid_Data(), Table_Fuel_EFs_StationaryLiquid[[#Headers],[Fuel combusted]],0)</f>
        <v>61</v>
      </c>
      <c r="H57" s="220" cm="1">
        <f t="array" ref="H57">Common_InputFunctions.Utility_DisplayArrayInTable(Fuel_SourceData.Fuel_Scope1Scope3EmissionFactorsStationaryLiquid_Data(), Table_Fuel_EFs_StationaryLiquid[[#Headers],[Fuel combusted]],0)</f>
        <v>0.08</v>
      </c>
      <c r="I57" s="220" cm="1">
        <f t="array" ref="I57">Common_InputFunctions.Utility_DisplayArrayInTable(Fuel_SourceData.Fuel_Scope1Scope3EmissionFactorsStationaryLiquid_Data(), Table_Fuel_EFs_StationaryLiquid[[#Headers],[Fuel combusted]],0)</f>
        <v>0.2</v>
      </c>
      <c r="J57" s="220" cm="1">
        <f t="array" ref="J57">Common_InputFunctions.Utility_DisplayArrayInTable(Fuel_SourceData.Fuel_Scope1Scope3EmissionFactorsStationaryLiquid_Data(), Table_Fuel_EFs_StationaryLiquid[[#Headers],[Fuel combusted]],0)</f>
        <v>61.28</v>
      </c>
      <c r="K57" s="220" t="str" cm="1">
        <f t="array" ref="K57">Common_InputFunctions.Utility_DisplayArrayInTable(Fuel_SourceData.Fuel_Scope1Scope3EmissionFactorsStationaryLiquid_Data(), Table_Fuel_EFs_StationaryLiquid[[#Headers],[Fuel combusted]],0)</f>
        <v>NE</v>
      </c>
      <c r="L57" s="168"/>
    </row>
    <row r="58" spans="1:12" ht="20" customHeight="1" x14ac:dyDescent="0.25">
      <c r="A58" s="5" t="str">
        <f>HYPERLINK("#'Constants - Solid Waste'!A1", "Constants - Solid Waste")</f>
        <v>Constants - Solid Waste</v>
      </c>
      <c r="D58" s="220"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20" cm="1">
        <f t="array" ref="E58">Common_InputFunctions.Utility_DisplayArrayInTable(Fuel_SourceData.Fuel_Scope1Scope3EmissionFactorsStationaryLiquid_Data(), Table_Fuel_EFs_StationaryLiquid[[#Headers],[Fuel combusted]],0)</f>
        <v>34.200000000000003</v>
      </c>
      <c r="F58" s="220" t="str" cm="1">
        <f t="array" ref="F58">Common_InputFunctions.Utility_DisplayArrayInTable(Fuel_SourceData.Fuel_Scope1Scope3EmissionFactorsStationaryLiquid_Data(), Table_Fuel_EFs_StationaryLiquid[[#Headers],[Fuel combusted]],0)</f>
        <v>kL</v>
      </c>
      <c r="G58" s="220" cm="1">
        <f t="array" ref="G58">Common_InputFunctions.Utility_DisplayArrayInTable(Fuel_SourceData.Fuel_Scope1Scope3EmissionFactorsStationaryLiquid_Data(), Table_Fuel_EFs_StationaryLiquid[[#Headers],[Fuel combusted]],0)</f>
        <v>67.400000000000006</v>
      </c>
      <c r="H58" s="220" cm="1">
        <f t="array" ref="H58">Common_InputFunctions.Utility_DisplayArrayInTable(Fuel_SourceData.Fuel_Scope1Scope3EmissionFactorsStationaryLiquid_Data(), Table_Fuel_EFs_StationaryLiquid[[#Headers],[Fuel combusted]],0)</f>
        <v>0.2</v>
      </c>
      <c r="I58" s="220" cm="1">
        <f t="array" ref="I58">Common_InputFunctions.Utility_DisplayArrayInTable(Fuel_SourceData.Fuel_Scope1Scope3EmissionFactorsStationaryLiquid_Data(), Table_Fuel_EFs_StationaryLiquid[[#Headers],[Fuel combusted]],0)</f>
        <v>0.2</v>
      </c>
      <c r="J58" s="220" cm="1">
        <f t="array" ref="J58">Common_InputFunctions.Utility_DisplayArrayInTable(Fuel_SourceData.Fuel_Scope1Scope3EmissionFactorsStationaryLiquid_Data(), Table_Fuel_EFs_StationaryLiquid[[#Headers],[Fuel combusted]],0)</f>
        <v>67.8</v>
      </c>
      <c r="K58" s="220" cm="1">
        <f t="array" ref="K58">Common_InputFunctions.Utility_DisplayArrayInTable(Fuel_SourceData.Fuel_Scope1Scope3EmissionFactorsStationaryLiquid_Data(), Table_Fuel_EFs_StationaryLiquid[[#Headers],[Fuel combusted]],0)</f>
        <v>17.2</v>
      </c>
      <c r="L58" s="168"/>
    </row>
    <row r="59" spans="1:12" ht="20" customHeight="1" x14ac:dyDescent="0.25">
      <c r="A59" s="5" t="str">
        <f>HYPERLINK("#'Constants - Common'!A1", "Constants - Common")</f>
        <v>Constants - Common</v>
      </c>
      <c r="D59" s="220" t="str" cm="1">
        <f t="array" ref="D59">Common_InputFunctions.Utility_DisplayArrayInTable(Fuel_SourceData.Fuel_Scope1Scope3EmissionFactorsStationaryLiquid_Data(), Table_Fuel_EFs_StationaryLiquid[[#Headers],[Fuel combusted]],0)</f>
        <v>Aviation gasoline</v>
      </c>
      <c r="E59" s="220" cm="1">
        <f t="array" ref="E59">Common_InputFunctions.Utility_DisplayArrayInTable(Fuel_SourceData.Fuel_Scope1Scope3EmissionFactorsStationaryLiquid_Data(), Table_Fuel_EFs_StationaryLiquid[[#Headers],[Fuel combusted]],0)</f>
        <v>33.1</v>
      </c>
      <c r="F59" s="220" t="str" cm="1">
        <f t="array" ref="F59">Common_InputFunctions.Utility_DisplayArrayInTable(Fuel_SourceData.Fuel_Scope1Scope3EmissionFactorsStationaryLiquid_Data(), Table_Fuel_EFs_StationaryLiquid[[#Headers],[Fuel combusted]],0)</f>
        <v>kL</v>
      </c>
      <c r="G59" s="220" cm="1">
        <f t="array" ref="G59">Common_InputFunctions.Utility_DisplayArrayInTable(Fuel_SourceData.Fuel_Scope1Scope3EmissionFactorsStationaryLiquid_Data(), Table_Fuel_EFs_StationaryLiquid[[#Headers],[Fuel combusted]],0)</f>
        <v>67</v>
      </c>
      <c r="H59" s="220" cm="1">
        <f t="array" ref="H59">Common_InputFunctions.Utility_DisplayArrayInTable(Fuel_SourceData.Fuel_Scope1Scope3EmissionFactorsStationaryLiquid_Data(), Table_Fuel_EFs_StationaryLiquid[[#Headers],[Fuel combusted]],0)</f>
        <v>0.2</v>
      </c>
      <c r="I59" s="220" cm="1">
        <f t="array" ref="I59">Common_InputFunctions.Utility_DisplayArrayInTable(Fuel_SourceData.Fuel_Scope1Scope3EmissionFactorsStationaryLiquid_Data(), Table_Fuel_EFs_StationaryLiquid[[#Headers],[Fuel combusted]],0)</f>
        <v>0.2</v>
      </c>
      <c r="J59" s="220" cm="1">
        <f t="array" ref="J59">Common_InputFunctions.Utility_DisplayArrayInTable(Fuel_SourceData.Fuel_Scope1Scope3EmissionFactorsStationaryLiquid_Data(), Table_Fuel_EFs_StationaryLiquid[[#Headers],[Fuel combusted]],0)</f>
        <v>67.400000000000006</v>
      </c>
      <c r="K59" s="220" cm="1">
        <f t="array" ref="K59">Common_InputFunctions.Utility_DisplayArrayInTable(Fuel_SourceData.Fuel_Scope1Scope3EmissionFactorsStationaryLiquid_Data(), Table_Fuel_EFs_StationaryLiquid[[#Headers],[Fuel combusted]],0)</f>
        <v>18</v>
      </c>
      <c r="L59" s="168"/>
    </row>
    <row r="60" spans="1:12" ht="20" customHeight="1" x14ac:dyDescent="0.25">
      <c r="A60" s="5" t="str">
        <f>HYPERLINK("#'Acknowledgements'!A1", "Acknowledgements")</f>
        <v>Acknowledgements</v>
      </c>
      <c r="D60" s="220" t="str" cm="1">
        <f t="array" ref="D60">Common_InputFunctions.Utility_DisplayArrayInTable(Fuel_SourceData.Fuel_Scope1Scope3EmissionFactorsStationaryLiquid_Data(), Table_Fuel_EFs_StationaryLiquid[[#Headers],[Fuel combusted]],0)</f>
        <v>Kerosene (other than for use as fuel in an aircraft)</v>
      </c>
      <c r="E60" s="220" cm="1">
        <f t="array" ref="E60">Common_InputFunctions.Utility_DisplayArrayInTable(Fuel_SourceData.Fuel_Scope1Scope3EmissionFactorsStationaryLiquid_Data(), Table_Fuel_EFs_StationaryLiquid[[#Headers],[Fuel combusted]],0)</f>
        <v>37.5</v>
      </c>
      <c r="F60" s="220" t="str" cm="1">
        <f t="array" ref="F60">Common_InputFunctions.Utility_DisplayArrayInTable(Fuel_SourceData.Fuel_Scope1Scope3EmissionFactorsStationaryLiquid_Data(), Table_Fuel_EFs_StationaryLiquid[[#Headers],[Fuel combusted]],0)</f>
        <v>kL</v>
      </c>
      <c r="G60" s="220" cm="1">
        <f t="array" ref="G60">Common_InputFunctions.Utility_DisplayArrayInTable(Fuel_SourceData.Fuel_Scope1Scope3EmissionFactorsStationaryLiquid_Data(), Table_Fuel_EFs_StationaryLiquid[[#Headers],[Fuel combusted]],0)</f>
        <v>68.900000000000006</v>
      </c>
      <c r="H60" s="220" cm="1">
        <f t="array" ref="H60">Common_InputFunctions.Utility_DisplayArrayInTable(Fuel_SourceData.Fuel_Scope1Scope3EmissionFactorsStationaryLiquid_Data(), Table_Fuel_EFs_StationaryLiquid[[#Headers],[Fuel combusted]],0)</f>
        <v>0.01</v>
      </c>
      <c r="I60" s="220" cm="1">
        <f t="array" ref="I60">Common_InputFunctions.Utility_DisplayArrayInTable(Fuel_SourceData.Fuel_Scope1Scope3EmissionFactorsStationaryLiquid_Data(), Table_Fuel_EFs_StationaryLiquid[[#Headers],[Fuel combusted]],0)</f>
        <v>0.2</v>
      </c>
      <c r="J60" s="220" cm="1">
        <f t="array" ref="J60">Common_InputFunctions.Utility_DisplayArrayInTable(Fuel_SourceData.Fuel_Scope1Scope3EmissionFactorsStationaryLiquid_Data(), Table_Fuel_EFs_StationaryLiquid[[#Headers],[Fuel combusted]],0)</f>
        <v>69.11</v>
      </c>
      <c r="K60" s="220" cm="1">
        <f t="array" ref="K60">Common_InputFunctions.Utility_DisplayArrayInTable(Fuel_SourceData.Fuel_Scope1Scope3EmissionFactorsStationaryLiquid_Data(), Table_Fuel_EFs_StationaryLiquid[[#Headers],[Fuel combusted]],0)</f>
        <v>18</v>
      </c>
      <c r="L60" s="168"/>
    </row>
    <row r="61" spans="1:12" ht="20" customHeight="1" x14ac:dyDescent="0.25">
      <c r="D61" s="220" t="str" cm="1">
        <f t="array" ref="D61">Common_InputFunctions.Utility_DisplayArrayInTable(Fuel_SourceData.Fuel_Scope1Scope3EmissionFactorsStationaryLiquid_Data(), Table_Fuel_EFs_StationaryLiquid[[#Headers],[Fuel combusted]],0)</f>
        <v>Aviation turbine fuel / kerosene</v>
      </c>
      <c r="E61" s="220" cm="1">
        <f t="array" ref="E61">Common_InputFunctions.Utility_DisplayArrayInTable(Fuel_SourceData.Fuel_Scope1Scope3EmissionFactorsStationaryLiquid_Data(), Table_Fuel_EFs_StationaryLiquid[[#Headers],[Fuel combusted]],0)</f>
        <v>36.799999999999997</v>
      </c>
      <c r="F61" s="220" t="str" cm="1">
        <f t="array" ref="F61">Common_InputFunctions.Utility_DisplayArrayInTable(Fuel_SourceData.Fuel_Scope1Scope3EmissionFactorsStationaryLiquid_Data(), Table_Fuel_EFs_StationaryLiquid[[#Headers],[Fuel combusted]],0)</f>
        <v>kL</v>
      </c>
      <c r="G61" s="220" cm="1">
        <f t="array" ref="G61">Common_InputFunctions.Utility_DisplayArrayInTable(Fuel_SourceData.Fuel_Scope1Scope3EmissionFactorsStationaryLiquid_Data(), Table_Fuel_EFs_StationaryLiquid[[#Headers],[Fuel combusted]],0)</f>
        <v>69.599999999999994</v>
      </c>
      <c r="H61" s="220" cm="1">
        <f t="array" ref="H61">Common_InputFunctions.Utility_DisplayArrayInTable(Fuel_SourceData.Fuel_Scope1Scope3EmissionFactorsStationaryLiquid_Data(), Table_Fuel_EFs_StationaryLiquid[[#Headers],[Fuel combusted]],0)</f>
        <v>0.02</v>
      </c>
      <c r="I61" s="220" cm="1">
        <f t="array" ref="I61">Common_InputFunctions.Utility_DisplayArrayInTable(Fuel_SourceData.Fuel_Scope1Scope3EmissionFactorsStationaryLiquid_Data(), Table_Fuel_EFs_StationaryLiquid[[#Headers],[Fuel combusted]],0)</f>
        <v>0.2</v>
      </c>
      <c r="J61" s="220" cm="1">
        <f t="array" ref="J61">Common_InputFunctions.Utility_DisplayArrayInTable(Fuel_SourceData.Fuel_Scope1Scope3EmissionFactorsStationaryLiquid_Data(), Table_Fuel_EFs_StationaryLiquid[[#Headers],[Fuel combusted]],0)</f>
        <v>69.819999999999993</v>
      </c>
      <c r="K61" s="220" cm="1">
        <f t="array" ref="K61">Common_InputFunctions.Utility_DisplayArrayInTable(Fuel_SourceData.Fuel_Scope1Scope3EmissionFactorsStationaryLiquid_Data(), Table_Fuel_EFs_StationaryLiquid[[#Headers],[Fuel combusted]],0)</f>
        <v>18</v>
      </c>
      <c r="L61" s="168"/>
    </row>
    <row r="62" spans="1:12" ht="20" customHeight="1" x14ac:dyDescent="0.25">
      <c r="D62" s="220" t="str" cm="1">
        <f t="array" ref="D62">Common_InputFunctions.Utility_DisplayArrayInTable(Fuel_SourceData.Fuel_Scope1Scope3EmissionFactorsStationaryLiquid_Data(), Table_Fuel_EFs_StationaryLiquid[[#Headers],[Fuel combusted]],0)</f>
        <v>Heating oil</v>
      </c>
      <c r="E62" s="220" cm="1">
        <f t="array" ref="E62">Common_InputFunctions.Utility_DisplayArrayInTable(Fuel_SourceData.Fuel_Scope1Scope3EmissionFactorsStationaryLiquid_Data(), Table_Fuel_EFs_StationaryLiquid[[#Headers],[Fuel combusted]],0)</f>
        <v>37.299999999999997</v>
      </c>
      <c r="F62" s="220" t="str" cm="1">
        <f t="array" ref="F62">Common_InputFunctions.Utility_DisplayArrayInTable(Fuel_SourceData.Fuel_Scope1Scope3EmissionFactorsStationaryLiquid_Data(), Table_Fuel_EFs_StationaryLiquid[[#Headers],[Fuel combusted]],0)</f>
        <v>kL</v>
      </c>
      <c r="G62" s="220" cm="1">
        <f t="array" ref="G62">Common_InputFunctions.Utility_DisplayArrayInTable(Fuel_SourceData.Fuel_Scope1Scope3EmissionFactorsStationaryLiquid_Data(), Table_Fuel_EFs_StationaryLiquid[[#Headers],[Fuel combusted]],0)</f>
        <v>69.5</v>
      </c>
      <c r="H62" s="220" cm="1">
        <f t="array" ref="H62">Common_InputFunctions.Utility_DisplayArrayInTable(Fuel_SourceData.Fuel_Scope1Scope3EmissionFactorsStationaryLiquid_Data(), Table_Fuel_EFs_StationaryLiquid[[#Headers],[Fuel combusted]],0)</f>
        <v>0.03</v>
      </c>
      <c r="I62" s="220" cm="1">
        <f t="array" ref="I62">Common_InputFunctions.Utility_DisplayArrayInTable(Fuel_SourceData.Fuel_Scope1Scope3EmissionFactorsStationaryLiquid_Data(), Table_Fuel_EFs_StationaryLiquid[[#Headers],[Fuel combusted]],0)</f>
        <v>0.2</v>
      </c>
      <c r="J62" s="220" cm="1">
        <f t="array" ref="J62">Common_InputFunctions.Utility_DisplayArrayInTable(Fuel_SourceData.Fuel_Scope1Scope3EmissionFactorsStationaryLiquid_Data(), Table_Fuel_EFs_StationaryLiquid[[#Headers],[Fuel combusted]],0)</f>
        <v>69.73</v>
      </c>
      <c r="K62" s="220" cm="1">
        <f t="array" ref="K62">Common_InputFunctions.Utility_DisplayArrayInTable(Fuel_SourceData.Fuel_Scope1Scope3EmissionFactorsStationaryLiquid_Data(), Table_Fuel_EFs_StationaryLiquid[[#Headers],[Fuel combusted]],0)</f>
        <v>18</v>
      </c>
      <c r="L62" s="168"/>
    </row>
    <row r="63" spans="1:12" ht="20" customHeight="1" x14ac:dyDescent="0.25">
      <c r="D63" s="220" t="str" cm="1">
        <f t="array" ref="D63">Common_InputFunctions.Utility_DisplayArrayInTable(Fuel_SourceData.Fuel_Scope1Scope3EmissionFactorsStationaryLiquid_Data(), Table_Fuel_EFs_StationaryLiquid[[#Headers],[Fuel combusted]],0)</f>
        <v>Diesel oil</v>
      </c>
      <c r="E63" s="220" cm="1">
        <f t="array" ref="E63">Common_InputFunctions.Utility_DisplayArrayInTable(Fuel_SourceData.Fuel_Scope1Scope3EmissionFactorsStationaryLiquid_Data(), Table_Fuel_EFs_StationaryLiquid[[#Headers],[Fuel combusted]],0)</f>
        <v>38.6</v>
      </c>
      <c r="F63" s="220" t="str" cm="1">
        <f t="array" ref="F63">Common_InputFunctions.Utility_DisplayArrayInTable(Fuel_SourceData.Fuel_Scope1Scope3EmissionFactorsStationaryLiquid_Data(), Table_Fuel_EFs_StationaryLiquid[[#Headers],[Fuel combusted]],0)</f>
        <v>kL</v>
      </c>
      <c r="G63" s="220" cm="1">
        <f t="array" ref="G63">Common_InputFunctions.Utility_DisplayArrayInTable(Fuel_SourceData.Fuel_Scope1Scope3EmissionFactorsStationaryLiquid_Data(), Table_Fuel_EFs_StationaryLiquid[[#Headers],[Fuel combusted]],0)</f>
        <v>69.900000000000006</v>
      </c>
      <c r="H63" s="220" cm="1">
        <f t="array" ref="H63">Common_InputFunctions.Utility_DisplayArrayInTable(Fuel_SourceData.Fuel_Scope1Scope3EmissionFactorsStationaryLiquid_Data(), Table_Fuel_EFs_StationaryLiquid[[#Headers],[Fuel combusted]],0)</f>
        <v>0.1</v>
      </c>
      <c r="I63" s="220" cm="1">
        <f t="array" ref="I63">Common_InputFunctions.Utility_DisplayArrayInTable(Fuel_SourceData.Fuel_Scope1Scope3EmissionFactorsStationaryLiquid_Data(), Table_Fuel_EFs_StationaryLiquid[[#Headers],[Fuel combusted]],0)</f>
        <v>0.2</v>
      </c>
      <c r="J63" s="220" cm="1">
        <f t="array" ref="J63">Common_InputFunctions.Utility_DisplayArrayInTable(Fuel_SourceData.Fuel_Scope1Scope3EmissionFactorsStationaryLiquid_Data(), Table_Fuel_EFs_StationaryLiquid[[#Headers],[Fuel combusted]],0)</f>
        <v>70.2</v>
      </c>
      <c r="K63" s="220" cm="1">
        <f t="array" ref="K63">Common_InputFunctions.Utility_DisplayArrayInTable(Fuel_SourceData.Fuel_Scope1Scope3EmissionFactorsStationaryLiquid_Data(), Table_Fuel_EFs_StationaryLiquid[[#Headers],[Fuel combusted]],0)</f>
        <v>17.3</v>
      </c>
      <c r="L63" s="168"/>
    </row>
    <row r="64" spans="1:12" ht="20" customHeight="1" x14ac:dyDescent="0.25">
      <c r="D64" s="220" t="str" cm="1">
        <f t="array" ref="D64">Common_InputFunctions.Utility_DisplayArrayInTable(Fuel_SourceData.Fuel_Scope1Scope3EmissionFactorsStationaryLiquid_Data(), Table_Fuel_EFs_StationaryLiquid[[#Headers],[Fuel combusted]],0)</f>
        <v>Fuel oil</v>
      </c>
      <c r="E64" s="220" cm="1">
        <f t="array" ref="E64">Common_InputFunctions.Utility_DisplayArrayInTable(Fuel_SourceData.Fuel_Scope1Scope3EmissionFactorsStationaryLiquid_Data(), Table_Fuel_EFs_StationaryLiquid[[#Headers],[Fuel combusted]],0)</f>
        <v>39.700000000000003</v>
      </c>
      <c r="F64" s="220" t="str" cm="1">
        <f t="array" ref="F64">Common_InputFunctions.Utility_DisplayArrayInTable(Fuel_SourceData.Fuel_Scope1Scope3EmissionFactorsStationaryLiquid_Data(), Table_Fuel_EFs_StationaryLiquid[[#Headers],[Fuel combusted]],0)</f>
        <v>kL</v>
      </c>
      <c r="G64" s="220" cm="1">
        <f t="array" ref="G64">Common_InputFunctions.Utility_DisplayArrayInTable(Fuel_SourceData.Fuel_Scope1Scope3EmissionFactorsStationaryLiquid_Data(), Table_Fuel_EFs_StationaryLiquid[[#Headers],[Fuel combusted]],0)</f>
        <v>73.599999999999994</v>
      </c>
      <c r="H64" s="220" cm="1">
        <f t="array" ref="H64">Common_InputFunctions.Utility_DisplayArrayInTable(Fuel_SourceData.Fuel_Scope1Scope3EmissionFactorsStationaryLiquid_Data(), Table_Fuel_EFs_StationaryLiquid[[#Headers],[Fuel combusted]],0)</f>
        <v>0.04</v>
      </c>
      <c r="I64" s="220" cm="1">
        <f t="array" ref="I64">Common_InputFunctions.Utility_DisplayArrayInTable(Fuel_SourceData.Fuel_Scope1Scope3EmissionFactorsStationaryLiquid_Data(), Table_Fuel_EFs_StationaryLiquid[[#Headers],[Fuel combusted]],0)</f>
        <v>0.2</v>
      </c>
      <c r="J64" s="220" cm="1">
        <f t="array" ref="J64">Common_InputFunctions.Utility_DisplayArrayInTable(Fuel_SourceData.Fuel_Scope1Scope3EmissionFactorsStationaryLiquid_Data(), Table_Fuel_EFs_StationaryLiquid[[#Headers],[Fuel combusted]],0)</f>
        <v>73.84</v>
      </c>
      <c r="K64" s="220" cm="1">
        <f t="array" ref="K64">Common_InputFunctions.Utility_DisplayArrayInTable(Fuel_SourceData.Fuel_Scope1Scope3EmissionFactorsStationaryLiquid_Data(), Table_Fuel_EFs_StationaryLiquid[[#Headers],[Fuel combusted]],0)</f>
        <v>18</v>
      </c>
      <c r="L64" s="168"/>
    </row>
    <row r="65" spans="4:13" ht="20" customHeight="1" x14ac:dyDescent="0.25">
      <c r="D65" s="220" t="str" cm="1">
        <f t="array" ref="D65">Common_InputFunctions.Utility_DisplayArrayInTable(Fuel_SourceData.Fuel_Scope1Scope3EmissionFactorsStationaryLiquid_Data(), Table_Fuel_EFs_StationaryLiquid[[#Headers],[Fuel combusted]],0)</f>
        <v>Liquefied aromatic hydrocarbons</v>
      </c>
      <c r="E65" s="220" cm="1">
        <f t="array" ref="E65">Common_InputFunctions.Utility_DisplayArrayInTable(Fuel_SourceData.Fuel_Scope1Scope3EmissionFactorsStationaryLiquid_Data(), Table_Fuel_EFs_StationaryLiquid[[#Headers],[Fuel combusted]],0)</f>
        <v>34.4</v>
      </c>
      <c r="F65" s="220" t="str" cm="1">
        <f t="array" ref="F65">Common_InputFunctions.Utility_DisplayArrayInTable(Fuel_SourceData.Fuel_Scope1Scope3EmissionFactorsStationaryLiquid_Data(), Table_Fuel_EFs_StationaryLiquid[[#Headers],[Fuel combusted]],0)</f>
        <v>kL</v>
      </c>
      <c r="G65" s="220" cm="1">
        <f t="array" ref="G65">Common_InputFunctions.Utility_DisplayArrayInTable(Fuel_SourceData.Fuel_Scope1Scope3EmissionFactorsStationaryLiquid_Data(), Table_Fuel_EFs_StationaryLiquid[[#Headers],[Fuel combusted]],0)</f>
        <v>69.7</v>
      </c>
      <c r="H65" s="220" cm="1">
        <f t="array" ref="H65">Common_InputFunctions.Utility_DisplayArrayInTable(Fuel_SourceData.Fuel_Scope1Scope3EmissionFactorsStationaryLiquid_Data(), Table_Fuel_EFs_StationaryLiquid[[#Headers],[Fuel combusted]],0)</f>
        <v>0.03</v>
      </c>
      <c r="I65" s="220" cm="1">
        <f t="array" ref="I65">Common_InputFunctions.Utility_DisplayArrayInTable(Fuel_SourceData.Fuel_Scope1Scope3EmissionFactorsStationaryLiquid_Data(), Table_Fuel_EFs_StationaryLiquid[[#Headers],[Fuel combusted]],0)</f>
        <v>0.2</v>
      </c>
      <c r="J65" s="220" cm="1">
        <f t="array" ref="J65">Common_InputFunctions.Utility_DisplayArrayInTable(Fuel_SourceData.Fuel_Scope1Scope3EmissionFactorsStationaryLiquid_Data(), Table_Fuel_EFs_StationaryLiquid[[#Headers],[Fuel combusted]],0)</f>
        <v>69.930000000000007</v>
      </c>
      <c r="K65" s="220" cm="1">
        <f t="array" ref="K65">Common_InputFunctions.Utility_DisplayArrayInTable(Fuel_SourceData.Fuel_Scope1Scope3EmissionFactorsStationaryLiquid_Data(), Table_Fuel_EFs_StationaryLiquid[[#Headers],[Fuel combusted]],0)</f>
        <v>18</v>
      </c>
      <c r="L65" s="168"/>
    </row>
    <row r="66" spans="4:13" ht="20" customHeight="1" x14ac:dyDescent="0.25">
      <c r="D66" s="220" t="str" cm="1">
        <f t="array" ref="D66">Common_InputFunctions.Utility_DisplayArrayInTable(Fuel_SourceData.Fuel_Scope1Scope3EmissionFactorsStationaryLiquid_Data(), Table_Fuel_EFs_StationaryLiquid[[#Headers],[Fuel combusted]],0)</f>
        <v>Solvents: mineral turpentine or white spirits</v>
      </c>
      <c r="E66" s="220" cm="1">
        <f t="array" ref="E66">Common_InputFunctions.Utility_DisplayArrayInTable(Fuel_SourceData.Fuel_Scope1Scope3EmissionFactorsStationaryLiquid_Data(), Table_Fuel_EFs_StationaryLiquid[[#Headers],[Fuel combusted]],0)</f>
        <v>34.4</v>
      </c>
      <c r="F66" s="220" t="str" cm="1">
        <f t="array" ref="F66">Common_InputFunctions.Utility_DisplayArrayInTable(Fuel_SourceData.Fuel_Scope1Scope3EmissionFactorsStationaryLiquid_Data(), Table_Fuel_EFs_StationaryLiquid[[#Headers],[Fuel combusted]],0)</f>
        <v>kL</v>
      </c>
      <c r="G66" s="220" cm="1">
        <f t="array" ref="G66">Common_InputFunctions.Utility_DisplayArrayInTable(Fuel_SourceData.Fuel_Scope1Scope3EmissionFactorsStationaryLiquid_Data(), Table_Fuel_EFs_StationaryLiquid[[#Headers],[Fuel combusted]],0)</f>
        <v>69.7</v>
      </c>
      <c r="H66" s="220" cm="1">
        <f t="array" ref="H66">Common_InputFunctions.Utility_DisplayArrayInTable(Fuel_SourceData.Fuel_Scope1Scope3EmissionFactorsStationaryLiquid_Data(), Table_Fuel_EFs_StationaryLiquid[[#Headers],[Fuel combusted]],0)</f>
        <v>0.03</v>
      </c>
      <c r="I66" s="220" cm="1">
        <f t="array" ref="I66">Common_InputFunctions.Utility_DisplayArrayInTable(Fuel_SourceData.Fuel_Scope1Scope3EmissionFactorsStationaryLiquid_Data(), Table_Fuel_EFs_StationaryLiquid[[#Headers],[Fuel combusted]],0)</f>
        <v>0.2</v>
      </c>
      <c r="J66" s="220" cm="1">
        <f t="array" ref="J66">Common_InputFunctions.Utility_DisplayArrayInTable(Fuel_SourceData.Fuel_Scope1Scope3EmissionFactorsStationaryLiquid_Data(), Table_Fuel_EFs_StationaryLiquid[[#Headers],[Fuel combusted]],0)</f>
        <v>69.930000000000007</v>
      </c>
      <c r="K66" s="220" cm="1">
        <f t="array" ref="K66">Common_InputFunctions.Utility_DisplayArrayInTable(Fuel_SourceData.Fuel_Scope1Scope3EmissionFactorsStationaryLiquid_Data(), Table_Fuel_EFs_StationaryLiquid[[#Headers],[Fuel combusted]],0)</f>
        <v>18</v>
      </c>
      <c r="L66" s="168"/>
    </row>
    <row r="67" spans="4:13" ht="20" customHeight="1" x14ac:dyDescent="0.25">
      <c r="D67" s="220" t="str" cm="1">
        <f t="array" ref="D67">Common_InputFunctions.Utility_DisplayArrayInTable(Fuel_SourceData.Fuel_Scope1Scope3EmissionFactorsStationaryLiquid_Data(), Table_Fuel_EFs_StationaryLiquid[[#Headers],[Fuel combusted]],0)</f>
        <v>Liquefied petroleum gas (LPG)</v>
      </c>
      <c r="E67" s="220" cm="1">
        <f t="array" ref="E67">Common_InputFunctions.Utility_DisplayArrayInTable(Fuel_SourceData.Fuel_Scope1Scope3EmissionFactorsStationaryLiquid_Data(), Table_Fuel_EFs_StationaryLiquid[[#Headers],[Fuel combusted]],0)</f>
        <v>25.7</v>
      </c>
      <c r="F67" s="220" t="str" cm="1">
        <f t="array" ref="F67">Common_InputFunctions.Utility_DisplayArrayInTable(Fuel_SourceData.Fuel_Scope1Scope3EmissionFactorsStationaryLiquid_Data(), Table_Fuel_EFs_StationaryLiquid[[#Headers],[Fuel combusted]],0)</f>
        <v>kL</v>
      </c>
      <c r="G67" s="220" cm="1">
        <f t="array" ref="G67">Common_InputFunctions.Utility_DisplayArrayInTable(Fuel_SourceData.Fuel_Scope1Scope3EmissionFactorsStationaryLiquid_Data(), Table_Fuel_EFs_StationaryLiquid[[#Headers],[Fuel combusted]],0)</f>
        <v>60.2</v>
      </c>
      <c r="H67" s="220" cm="1">
        <f t="array" ref="H67">Common_InputFunctions.Utility_DisplayArrayInTable(Fuel_SourceData.Fuel_Scope1Scope3EmissionFactorsStationaryLiquid_Data(), Table_Fuel_EFs_StationaryLiquid[[#Headers],[Fuel combusted]],0)</f>
        <v>0.2</v>
      </c>
      <c r="I67" s="220" cm="1">
        <f t="array" ref="I67">Common_InputFunctions.Utility_DisplayArrayInTable(Fuel_SourceData.Fuel_Scope1Scope3EmissionFactorsStationaryLiquid_Data(), Table_Fuel_EFs_StationaryLiquid[[#Headers],[Fuel combusted]],0)</f>
        <v>0.2</v>
      </c>
      <c r="J67" s="220" cm="1">
        <f t="array" ref="J67">Common_InputFunctions.Utility_DisplayArrayInTable(Fuel_SourceData.Fuel_Scope1Scope3EmissionFactorsStationaryLiquid_Data(), Table_Fuel_EFs_StationaryLiquid[[#Headers],[Fuel combusted]],0)</f>
        <v>60.6</v>
      </c>
      <c r="K67" s="220" cm="1">
        <f t="array" ref="K67">Common_InputFunctions.Utility_DisplayArrayInTable(Fuel_SourceData.Fuel_Scope1Scope3EmissionFactorsStationaryLiquid_Data(), Table_Fuel_EFs_StationaryLiquid[[#Headers],[Fuel combusted]],0)</f>
        <v>20.2</v>
      </c>
      <c r="L67" s="168"/>
    </row>
    <row r="68" spans="4:13" ht="20" customHeight="1" x14ac:dyDescent="0.25">
      <c r="D68" s="220" t="str" cm="1">
        <f t="array" ref="D68">Common_InputFunctions.Utility_DisplayArrayInTable(Fuel_SourceData.Fuel_Scope1Scope3EmissionFactorsStationaryLiquid_Data(), Table_Fuel_EFs_StationaryLiquid[[#Headers],[Fuel combusted]],0)</f>
        <v>Naphtha</v>
      </c>
      <c r="E68" s="220" cm="1">
        <f t="array" ref="E68">Common_InputFunctions.Utility_DisplayArrayInTable(Fuel_SourceData.Fuel_Scope1Scope3EmissionFactorsStationaryLiquid_Data(), Table_Fuel_EFs_StationaryLiquid[[#Headers],[Fuel combusted]],0)</f>
        <v>31.4</v>
      </c>
      <c r="F68" s="220" t="str" cm="1">
        <f t="array" ref="F68">Common_InputFunctions.Utility_DisplayArrayInTable(Fuel_SourceData.Fuel_Scope1Scope3EmissionFactorsStationaryLiquid_Data(), Table_Fuel_EFs_StationaryLiquid[[#Headers],[Fuel combusted]],0)</f>
        <v>kL</v>
      </c>
      <c r="G68" s="220" cm="1">
        <f t="array" ref="G68">Common_InputFunctions.Utility_DisplayArrayInTable(Fuel_SourceData.Fuel_Scope1Scope3EmissionFactorsStationaryLiquid_Data(), Table_Fuel_EFs_StationaryLiquid[[#Headers],[Fuel combusted]],0)</f>
        <v>69.8</v>
      </c>
      <c r="H68" s="220" cm="1">
        <f t="array" ref="H68">Common_InputFunctions.Utility_DisplayArrayInTable(Fuel_SourceData.Fuel_Scope1Scope3EmissionFactorsStationaryLiquid_Data(), Table_Fuel_EFs_StationaryLiquid[[#Headers],[Fuel combusted]],0)</f>
        <v>0.01</v>
      </c>
      <c r="I68" s="220" cm="1">
        <f t="array" ref="I68">Common_InputFunctions.Utility_DisplayArrayInTable(Fuel_SourceData.Fuel_Scope1Scope3EmissionFactorsStationaryLiquid_Data(), Table_Fuel_EFs_StationaryLiquid[[#Headers],[Fuel combusted]],0)</f>
        <v>0.01</v>
      </c>
      <c r="J68" s="220" cm="1">
        <f t="array" ref="J68">Common_InputFunctions.Utility_DisplayArrayInTable(Fuel_SourceData.Fuel_Scope1Scope3EmissionFactorsStationaryLiquid_Data(), Table_Fuel_EFs_StationaryLiquid[[#Headers],[Fuel combusted]],0)</f>
        <v>69.819999999999993</v>
      </c>
      <c r="K68" s="220" cm="1">
        <f t="array" ref="K68">Common_InputFunctions.Utility_DisplayArrayInTable(Fuel_SourceData.Fuel_Scope1Scope3EmissionFactorsStationaryLiquid_Data(), Table_Fuel_EFs_StationaryLiquid[[#Headers],[Fuel combusted]],0)</f>
        <v>18</v>
      </c>
      <c r="L68" s="168"/>
    </row>
    <row r="69" spans="4:13" ht="20" customHeight="1" x14ac:dyDescent="0.25">
      <c r="D69" s="220" t="str" cm="1">
        <f t="array" ref="D69">Common_InputFunctions.Utility_DisplayArrayInTable(Fuel_SourceData.Fuel_Scope1Scope3EmissionFactorsStationaryLiquid_Data(), Table_Fuel_EFs_StationaryLiquid[[#Headers],[Fuel combusted]],0)</f>
        <v>Petroleum coke</v>
      </c>
      <c r="E69" s="220" cm="1">
        <f t="array" ref="E69">Common_InputFunctions.Utility_DisplayArrayInTable(Fuel_SourceData.Fuel_Scope1Scope3EmissionFactorsStationaryLiquid_Data(), Table_Fuel_EFs_StationaryLiquid[[#Headers],[Fuel combusted]],0)</f>
        <v>34.200000000000003</v>
      </c>
      <c r="F69" s="220" t="str" cm="1">
        <f t="array" ref="F69">Common_InputFunctions.Utility_DisplayArrayInTable(Fuel_SourceData.Fuel_Scope1Scope3EmissionFactorsStationaryLiquid_Data(), Table_Fuel_EFs_StationaryLiquid[[#Headers],[Fuel combusted]],0)</f>
        <v>t</v>
      </c>
      <c r="G69" s="220" cm="1">
        <f t="array" ref="G69">Common_InputFunctions.Utility_DisplayArrayInTable(Fuel_SourceData.Fuel_Scope1Scope3EmissionFactorsStationaryLiquid_Data(), Table_Fuel_EFs_StationaryLiquid[[#Headers],[Fuel combusted]],0)</f>
        <v>92.6</v>
      </c>
      <c r="H69" s="220" cm="1">
        <f t="array" ref="H69">Common_InputFunctions.Utility_DisplayArrayInTable(Fuel_SourceData.Fuel_Scope1Scope3EmissionFactorsStationaryLiquid_Data(), Table_Fuel_EFs_StationaryLiquid[[#Headers],[Fuel combusted]],0)</f>
        <v>0.08</v>
      </c>
      <c r="I69" s="220" cm="1">
        <f t="array" ref="I69">Common_InputFunctions.Utility_DisplayArrayInTable(Fuel_SourceData.Fuel_Scope1Scope3EmissionFactorsStationaryLiquid_Data(), Table_Fuel_EFs_StationaryLiquid[[#Headers],[Fuel combusted]],0)</f>
        <v>0.2</v>
      </c>
      <c r="J69" s="220" cm="1">
        <f t="array" ref="J69">Common_InputFunctions.Utility_DisplayArrayInTable(Fuel_SourceData.Fuel_Scope1Scope3EmissionFactorsStationaryLiquid_Data(), Table_Fuel_EFs_StationaryLiquid[[#Headers],[Fuel combusted]],0)</f>
        <v>92.88</v>
      </c>
      <c r="K69" s="220" cm="1">
        <f t="array" ref="K69">Common_InputFunctions.Utility_DisplayArrayInTable(Fuel_SourceData.Fuel_Scope1Scope3EmissionFactorsStationaryLiquid_Data(), Table_Fuel_EFs_StationaryLiquid[[#Headers],[Fuel combusted]],0)</f>
        <v>18</v>
      </c>
      <c r="L69" s="168"/>
    </row>
    <row r="70" spans="4:13" ht="20" customHeight="1" x14ac:dyDescent="0.25">
      <c r="D70" s="220" t="str" cm="1">
        <f t="array" ref="D70">Common_InputFunctions.Utility_DisplayArrayInTable(Fuel_SourceData.Fuel_Scope1Scope3EmissionFactorsStationaryLiquid_Data(), Table_Fuel_EFs_StationaryLiquid[[#Headers],[Fuel combusted]],0)</f>
        <v>Refinery gas and liquids</v>
      </c>
      <c r="E70" s="220" cm="1">
        <f t="array" ref="E70">Common_InputFunctions.Utility_DisplayArrayInTable(Fuel_SourceData.Fuel_Scope1Scope3EmissionFactorsStationaryLiquid_Data(), Table_Fuel_EFs_StationaryLiquid[[#Headers],[Fuel combusted]],0)</f>
        <v>42.9</v>
      </c>
      <c r="F70" s="220" t="str" cm="1">
        <f t="array" ref="F70">Common_InputFunctions.Utility_DisplayArrayInTable(Fuel_SourceData.Fuel_Scope1Scope3EmissionFactorsStationaryLiquid_Data(), Table_Fuel_EFs_StationaryLiquid[[#Headers],[Fuel combusted]],0)</f>
        <v>t</v>
      </c>
      <c r="G70" s="220" cm="1">
        <f t="array" ref="G70">Common_InputFunctions.Utility_DisplayArrayInTable(Fuel_SourceData.Fuel_Scope1Scope3EmissionFactorsStationaryLiquid_Data(), Table_Fuel_EFs_StationaryLiquid[[#Headers],[Fuel combusted]],0)</f>
        <v>54.7</v>
      </c>
      <c r="H70" s="220" cm="1">
        <f t="array" ref="H70">Common_InputFunctions.Utility_DisplayArrayInTable(Fuel_SourceData.Fuel_Scope1Scope3EmissionFactorsStationaryLiquid_Data(), Table_Fuel_EFs_StationaryLiquid[[#Headers],[Fuel combusted]],0)</f>
        <v>0.03</v>
      </c>
      <c r="I70" s="220" cm="1">
        <f t="array" ref="I70">Common_InputFunctions.Utility_DisplayArrayInTable(Fuel_SourceData.Fuel_Scope1Scope3EmissionFactorsStationaryLiquid_Data(), Table_Fuel_EFs_StationaryLiquid[[#Headers],[Fuel combusted]],0)</f>
        <v>0.03</v>
      </c>
      <c r="J70" s="220" cm="1">
        <f t="array" ref="J70">Common_InputFunctions.Utility_DisplayArrayInTable(Fuel_SourceData.Fuel_Scope1Scope3EmissionFactorsStationaryLiquid_Data(), Table_Fuel_EFs_StationaryLiquid[[#Headers],[Fuel combusted]],0)</f>
        <v>54.76</v>
      </c>
      <c r="K70" s="220" cm="1">
        <f t="array" ref="K70">Common_InputFunctions.Utility_DisplayArrayInTable(Fuel_SourceData.Fuel_Scope1Scope3EmissionFactorsStationaryLiquid_Data(), Table_Fuel_EFs_StationaryLiquid[[#Headers],[Fuel combusted]],0)</f>
        <v>18</v>
      </c>
      <c r="L70" s="168"/>
    </row>
    <row r="71" spans="4:13" ht="20" customHeight="1" x14ac:dyDescent="0.25">
      <c r="D71" s="220" t="str" cm="1">
        <f t="array" ref="D71">Common_InputFunctions.Utility_DisplayArrayInTable(Fuel_SourceData.Fuel_Scope1Scope3EmissionFactorsStationaryLiquid_Data(), Table_Fuel_EFs_StationaryLiquid[[#Headers],[Fuel combusted]],0)</f>
        <v>Refinery coke</v>
      </c>
      <c r="E71" s="220" cm="1">
        <f t="array" ref="E71">Common_InputFunctions.Utility_DisplayArrayInTable(Fuel_SourceData.Fuel_Scope1Scope3EmissionFactorsStationaryLiquid_Data(), Table_Fuel_EFs_StationaryLiquid[[#Headers],[Fuel combusted]],0)</f>
        <v>34.200000000000003</v>
      </c>
      <c r="F71" s="220" t="str" cm="1">
        <f t="array" ref="F71">Common_InputFunctions.Utility_DisplayArrayInTable(Fuel_SourceData.Fuel_Scope1Scope3EmissionFactorsStationaryLiquid_Data(), Table_Fuel_EFs_StationaryLiquid[[#Headers],[Fuel combusted]],0)</f>
        <v>t</v>
      </c>
      <c r="G71" s="220" cm="1">
        <f t="array" ref="G71">Common_InputFunctions.Utility_DisplayArrayInTable(Fuel_SourceData.Fuel_Scope1Scope3EmissionFactorsStationaryLiquid_Data(), Table_Fuel_EFs_StationaryLiquid[[#Headers],[Fuel combusted]],0)</f>
        <v>92.6</v>
      </c>
      <c r="H71" s="220" cm="1">
        <f t="array" ref="H71">Common_InputFunctions.Utility_DisplayArrayInTable(Fuel_SourceData.Fuel_Scope1Scope3EmissionFactorsStationaryLiquid_Data(), Table_Fuel_EFs_StationaryLiquid[[#Headers],[Fuel combusted]],0)</f>
        <v>0.08</v>
      </c>
      <c r="I71" s="220" cm="1">
        <f t="array" ref="I71">Common_InputFunctions.Utility_DisplayArrayInTable(Fuel_SourceData.Fuel_Scope1Scope3EmissionFactorsStationaryLiquid_Data(), Table_Fuel_EFs_StationaryLiquid[[#Headers],[Fuel combusted]],0)</f>
        <v>0.2</v>
      </c>
      <c r="J71" s="220" cm="1">
        <f t="array" ref="J71">Common_InputFunctions.Utility_DisplayArrayInTable(Fuel_SourceData.Fuel_Scope1Scope3EmissionFactorsStationaryLiquid_Data(), Table_Fuel_EFs_StationaryLiquid[[#Headers],[Fuel combusted]],0)</f>
        <v>92.88</v>
      </c>
      <c r="K71" s="220" cm="1">
        <f t="array" ref="K71">Common_InputFunctions.Utility_DisplayArrayInTable(Fuel_SourceData.Fuel_Scope1Scope3EmissionFactorsStationaryLiquid_Data(), Table_Fuel_EFs_StationaryLiquid[[#Headers],[Fuel combusted]],0)</f>
        <v>18</v>
      </c>
      <c r="L71" s="168"/>
    </row>
    <row r="72" spans="4:13" ht="20" customHeight="1" x14ac:dyDescent="0.25">
      <c r="D72" s="220" t="str" cm="1">
        <f t="array" ref="D72">Common_InputFunctions.Utility_DisplayArrayInTable(Fuel_SourceData.Fuel_Scope1Scope3EmissionFactorsStationaryLiquid_Data(), Table_Fuel_EFs_StationaryLiquid[[#Headers],[Fuel combusted]],0)</f>
        <v>Petroleum based products other than mentioned in the items above</v>
      </c>
      <c r="E72" s="220" cm="1">
        <f t="array" ref="E72">Common_InputFunctions.Utility_DisplayArrayInTable(Fuel_SourceData.Fuel_Scope1Scope3EmissionFactorsStationaryLiquid_Data(), Table_Fuel_EFs_StationaryLiquid[[#Headers],[Fuel combusted]],0)</f>
        <v>34.4</v>
      </c>
      <c r="F72" s="220" t="str" cm="1">
        <f t="array" ref="F72">Common_InputFunctions.Utility_DisplayArrayInTable(Fuel_SourceData.Fuel_Scope1Scope3EmissionFactorsStationaryLiquid_Data(), Table_Fuel_EFs_StationaryLiquid[[#Headers],[Fuel combusted]],0)</f>
        <v>kL</v>
      </c>
      <c r="G72" s="220" cm="1">
        <f t="array" ref="G72">Common_InputFunctions.Utility_DisplayArrayInTable(Fuel_SourceData.Fuel_Scope1Scope3EmissionFactorsStationaryLiquid_Data(), Table_Fuel_EFs_StationaryLiquid[[#Headers],[Fuel combusted]],0)</f>
        <v>69.8</v>
      </c>
      <c r="H72" s="220" cm="1">
        <f t="array" ref="H72">Common_InputFunctions.Utility_DisplayArrayInTable(Fuel_SourceData.Fuel_Scope1Scope3EmissionFactorsStationaryLiquid_Data(), Table_Fuel_EFs_StationaryLiquid[[#Headers],[Fuel combusted]],0)</f>
        <v>0.02</v>
      </c>
      <c r="I72" s="220" cm="1">
        <f t="array" ref="I72">Common_InputFunctions.Utility_DisplayArrayInTable(Fuel_SourceData.Fuel_Scope1Scope3EmissionFactorsStationaryLiquid_Data(), Table_Fuel_EFs_StationaryLiquid[[#Headers],[Fuel combusted]],0)</f>
        <v>0.1</v>
      </c>
      <c r="J72" s="220" cm="1">
        <f t="array" ref="J72">Common_InputFunctions.Utility_DisplayArrayInTable(Fuel_SourceData.Fuel_Scope1Scope3EmissionFactorsStationaryLiquid_Data(), Table_Fuel_EFs_StationaryLiquid[[#Headers],[Fuel combusted]],0)</f>
        <v>69.92</v>
      </c>
      <c r="K72" s="220" cm="1">
        <f t="array" ref="K72">Common_InputFunctions.Utility_DisplayArrayInTable(Fuel_SourceData.Fuel_Scope1Scope3EmissionFactorsStationaryLiquid_Data(), Table_Fuel_EFs_StationaryLiquid[[#Headers],[Fuel combusted]],0)</f>
        <v>18</v>
      </c>
      <c r="L72" s="168"/>
    </row>
    <row r="73" spans="4:13" ht="20" customHeight="1" x14ac:dyDescent="0.25">
      <c r="D73" s="220" t="str" cm="1">
        <f t="array" ref="D73">Common_InputFunctions.Utility_DisplayArrayInTable(Fuel_SourceData.Fuel_Scope1Scope3EmissionFactorsStationaryLiquid_Data(), Table_Fuel_EFs_StationaryLiquid[[#Headers],[Fuel combusted]],0)</f>
        <v>Biodiesel</v>
      </c>
      <c r="E73" s="220" cm="1">
        <f t="array" ref="E73">Common_InputFunctions.Utility_DisplayArrayInTable(Fuel_SourceData.Fuel_Scope1Scope3EmissionFactorsStationaryLiquid_Data(), Table_Fuel_EFs_StationaryLiquid[[#Headers],[Fuel combusted]],0)</f>
        <v>34.6</v>
      </c>
      <c r="F73" s="220" t="str" cm="1">
        <f t="array" ref="F73">Common_InputFunctions.Utility_DisplayArrayInTable(Fuel_SourceData.Fuel_Scope1Scope3EmissionFactorsStationaryLiquid_Data(), Table_Fuel_EFs_StationaryLiquid[[#Headers],[Fuel combusted]],0)</f>
        <v>kL</v>
      </c>
      <c r="G73" s="220" cm="1">
        <f t="array" ref="G73">Common_InputFunctions.Utility_DisplayArrayInTable(Fuel_SourceData.Fuel_Scope1Scope3EmissionFactorsStationaryLiquid_Data(), Table_Fuel_EFs_StationaryLiquid[[#Headers],[Fuel combusted]],0)</f>
        <v>0</v>
      </c>
      <c r="H73" s="220" cm="1">
        <f t="array" ref="H73">Common_InputFunctions.Utility_DisplayArrayInTable(Fuel_SourceData.Fuel_Scope1Scope3EmissionFactorsStationaryLiquid_Data(), Table_Fuel_EFs_StationaryLiquid[[#Headers],[Fuel combusted]],0)</f>
        <v>0.08</v>
      </c>
      <c r="I73" s="220" cm="1">
        <f t="array" ref="I73">Common_InputFunctions.Utility_DisplayArrayInTable(Fuel_SourceData.Fuel_Scope1Scope3EmissionFactorsStationaryLiquid_Data(), Table_Fuel_EFs_StationaryLiquid[[#Headers],[Fuel combusted]],0)</f>
        <v>0.2</v>
      </c>
      <c r="J73" s="220" cm="1">
        <f t="array" ref="J73">Common_InputFunctions.Utility_DisplayArrayInTable(Fuel_SourceData.Fuel_Scope1Scope3EmissionFactorsStationaryLiquid_Data(), Table_Fuel_EFs_StationaryLiquid[[#Headers],[Fuel combusted]],0)</f>
        <v>0.28000000000000003</v>
      </c>
      <c r="K73" s="220" t="str" cm="1">
        <f t="array" ref="K73">Common_InputFunctions.Utility_DisplayArrayInTable(Fuel_SourceData.Fuel_Scope1Scope3EmissionFactorsStationaryLiquid_Data(), Table_Fuel_EFs_StationaryLiquid[[#Headers],[Fuel combusted]],0)</f>
        <v>NE</v>
      </c>
      <c r="L73" s="168"/>
    </row>
    <row r="74" spans="4:13" ht="20" customHeight="1" x14ac:dyDescent="0.25">
      <c r="D74" s="220" t="str" cm="1">
        <f t="array" ref="D74">Common_InputFunctions.Utility_DisplayArrayInTable(Fuel_SourceData.Fuel_Scope1Scope3EmissionFactorsStationaryLiquid_Data(), Table_Fuel_EFs_StationaryLiquid[[#Headers],[Fuel combusted]],0)</f>
        <v>Ethanol for use as a fuel in an internal combustion engine</v>
      </c>
      <c r="E74" s="220" cm="1">
        <f t="array" ref="E74">Common_InputFunctions.Utility_DisplayArrayInTable(Fuel_SourceData.Fuel_Scope1Scope3EmissionFactorsStationaryLiquid_Data(), Table_Fuel_EFs_StationaryLiquid[[#Headers],[Fuel combusted]],0)</f>
        <v>23.4</v>
      </c>
      <c r="F74" s="220" t="str" cm="1">
        <f t="array" ref="F74">Common_InputFunctions.Utility_DisplayArrayInTable(Fuel_SourceData.Fuel_Scope1Scope3EmissionFactorsStationaryLiquid_Data(), Table_Fuel_EFs_StationaryLiquid[[#Headers],[Fuel combusted]],0)</f>
        <v>kL</v>
      </c>
      <c r="G74" s="220" cm="1">
        <f t="array" ref="G74">Common_InputFunctions.Utility_DisplayArrayInTable(Fuel_SourceData.Fuel_Scope1Scope3EmissionFactorsStationaryLiquid_Data(), Table_Fuel_EFs_StationaryLiquid[[#Headers],[Fuel combusted]],0)</f>
        <v>0</v>
      </c>
      <c r="H74" s="220" cm="1">
        <f t="array" ref="H74">Common_InputFunctions.Utility_DisplayArrayInTable(Fuel_SourceData.Fuel_Scope1Scope3EmissionFactorsStationaryLiquid_Data(), Table_Fuel_EFs_StationaryLiquid[[#Headers],[Fuel combusted]],0)</f>
        <v>0.08</v>
      </c>
      <c r="I74" s="220" cm="1">
        <f t="array" ref="I74">Common_InputFunctions.Utility_DisplayArrayInTable(Fuel_SourceData.Fuel_Scope1Scope3EmissionFactorsStationaryLiquid_Data(), Table_Fuel_EFs_StationaryLiquid[[#Headers],[Fuel combusted]],0)</f>
        <v>0.2</v>
      </c>
      <c r="J74" s="220" cm="1">
        <f t="array" ref="J74">Common_InputFunctions.Utility_DisplayArrayInTable(Fuel_SourceData.Fuel_Scope1Scope3EmissionFactorsStationaryLiquid_Data(), Table_Fuel_EFs_StationaryLiquid[[#Headers],[Fuel combusted]],0)</f>
        <v>0.28000000000000003</v>
      </c>
      <c r="K74" s="220" t="str" cm="1">
        <f t="array" ref="K74">Common_InputFunctions.Utility_DisplayArrayInTable(Fuel_SourceData.Fuel_Scope1Scope3EmissionFactorsStationaryLiquid_Data(), Table_Fuel_EFs_StationaryLiquid[[#Headers],[Fuel combusted]],0)</f>
        <v>NE</v>
      </c>
      <c r="L74" s="168"/>
    </row>
    <row r="75" spans="4:13" ht="20" customHeight="1" x14ac:dyDescent="0.25">
      <c r="D75" s="220" t="str" cm="1">
        <f t="array" ref="D75">Common_InputFunctions.Utility_DisplayArrayInTable(Fuel_SourceData.Fuel_Scope1Scope3EmissionFactorsStationaryLiquid_Data(), Table_Fuel_EFs_StationaryLiquid[[#Headers],[Fuel combusted]],0)</f>
        <v>Biofuels other than those mentioned in the items above and below</v>
      </c>
      <c r="E75" s="220" cm="1">
        <f t="array" ref="E75">Common_InputFunctions.Utility_DisplayArrayInTable(Fuel_SourceData.Fuel_Scope1Scope3EmissionFactorsStationaryLiquid_Data(), Table_Fuel_EFs_StationaryLiquid[[#Headers],[Fuel combusted]],0)</f>
        <v>23.4</v>
      </c>
      <c r="F75" s="220" t="str" cm="1">
        <f t="array" ref="F75">Common_InputFunctions.Utility_DisplayArrayInTable(Fuel_SourceData.Fuel_Scope1Scope3EmissionFactorsStationaryLiquid_Data(), Table_Fuel_EFs_StationaryLiquid[[#Headers],[Fuel combusted]],0)</f>
        <v>kL</v>
      </c>
      <c r="G75" s="220" cm="1">
        <f t="array" ref="G75">Common_InputFunctions.Utility_DisplayArrayInTable(Fuel_SourceData.Fuel_Scope1Scope3EmissionFactorsStationaryLiquid_Data(), Table_Fuel_EFs_StationaryLiquid[[#Headers],[Fuel combusted]],0)</f>
        <v>0</v>
      </c>
      <c r="H75" s="220" cm="1">
        <f t="array" ref="H75">Common_InputFunctions.Utility_DisplayArrayInTable(Fuel_SourceData.Fuel_Scope1Scope3EmissionFactorsStationaryLiquid_Data(), Table_Fuel_EFs_StationaryLiquid[[#Headers],[Fuel combusted]],0)</f>
        <v>0.08</v>
      </c>
      <c r="I75" s="220" cm="1">
        <f t="array" ref="I75">Common_InputFunctions.Utility_DisplayArrayInTable(Fuel_SourceData.Fuel_Scope1Scope3EmissionFactorsStationaryLiquid_Data(), Table_Fuel_EFs_StationaryLiquid[[#Headers],[Fuel combusted]],0)</f>
        <v>0.2</v>
      </c>
      <c r="J75" s="220" cm="1">
        <f t="array" ref="J75">Common_InputFunctions.Utility_DisplayArrayInTable(Fuel_SourceData.Fuel_Scope1Scope3EmissionFactorsStationaryLiquid_Data(), Table_Fuel_EFs_StationaryLiquid[[#Headers],[Fuel combusted]],0)</f>
        <v>0.28000000000000003</v>
      </c>
      <c r="K75" s="220" t="str" cm="1">
        <f t="array" ref="K75">Common_InputFunctions.Utility_DisplayArrayInTable(Fuel_SourceData.Fuel_Scope1Scope3EmissionFactorsStationaryLiquid_Data(), Table_Fuel_EFs_StationaryLiquid[[#Headers],[Fuel combusted]],0)</f>
        <v>NE</v>
      </c>
      <c r="L75" s="168"/>
    </row>
    <row r="76" spans="4:13" ht="20" customHeight="1" x14ac:dyDescent="0.25">
      <c r="D76" s="220" t="str" cm="1">
        <f t="array" ref="D76">Common_InputFunctions.Utility_DisplayArrayInTable(Fuel_SourceData.Fuel_Scope1Scope3EmissionFactorsStationaryLiquid_Data(), Table_Fuel_EFs_StationaryLiquid[[#Headers],[Fuel combusted]],0)</f>
        <v>Renewable aviation kerosene</v>
      </c>
      <c r="E76" s="220" cm="1">
        <f t="array" ref="E76">Common_InputFunctions.Utility_DisplayArrayInTable(Fuel_SourceData.Fuel_Scope1Scope3EmissionFactorsStationaryLiquid_Data(), Table_Fuel_EFs_StationaryLiquid[[#Headers],[Fuel combusted]],0)</f>
        <v>36.799999999999997</v>
      </c>
      <c r="F76" s="220" t="str" cm="1">
        <f t="array" ref="F76">Common_InputFunctions.Utility_DisplayArrayInTable(Fuel_SourceData.Fuel_Scope1Scope3EmissionFactorsStationaryLiquid_Data(), Table_Fuel_EFs_StationaryLiquid[[#Headers],[Fuel combusted]],0)</f>
        <v>kL</v>
      </c>
      <c r="G76" s="220" cm="1">
        <f t="array" ref="G76">Common_InputFunctions.Utility_DisplayArrayInTable(Fuel_SourceData.Fuel_Scope1Scope3EmissionFactorsStationaryLiquid_Data(), Table_Fuel_EFs_StationaryLiquid[[#Headers],[Fuel combusted]],0)</f>
        <v>0</v>
      </c>
      <c r="H76" s="220" cm="1">
        <f t="array" ref="H76">Common_InputFunctions.Utility_DisplayArrayInTable(Fuel_SourceData.Fuel_Scope1Scope3EmissionFactorsStationaryLiquid_Data(), Table_Fuel_EFs_StationaryLiquid[[#Headers],[Fuel combusted]],0)</f>
        <v>0.02</v>
      </c>
      <c r="I76" s="220" cm="1">
        <f t="array" ref="I76">Common_InputFunctions.Utility_DisplayArrayInTable(Fuel_SourceData.Fuel_Scope1Scope3EmissionFactorsStationaryLiquid_Data(), Table_Fuel_EFs_StationaryLiquid[[#Headers],[Fuel combusted]],0)</f>
        <v>0.2</v>
      </c>
      <c r="J76" s="220" cm="1">
        <f t="array" ref="J76">Common_InputFunctions.Utility_DisplayArrayInTable(Fuel_SourceData.Fuel_Scope1Scope3EmissionFactorsStationaryLiquid_Data(), Table_Fuel_EFs_StationaryLiquid[[#Headers],[Fuel combusted]],0)</f>
        <v>0.22</v>
      </c>
      <c r="K76" s="220" t="str" cm="1">
        <f t="array" ref="K76">Common_InputFunctions.Utility_DisplayArrayInTable(Fuel_SourceData.Fuel_Scope1Scope3EmissionFactorsStationaryLiquid_Data(), Table_Fuel_EFs_StationaryLiquid[[#Headers],[Fuel combusted]],0)</f>
        <v>NE</v>
      </c>
      <c r="L76" s="168"/>
    </row>
    <row r="77" spans="4:13" ht="20" customHeight="1" x14ac:dyDescent="0.25">
      <c r="D77" s="220" t="str" cm="1">
        <f t="array" ref="D77">Common_InputFunctions.Utility_DisplayArrayInTable(Fuel_SourceData.Fuel_Scope1Scope3EmissionFactorsStationaryLiquid_Data(), Table_Fuel_EFs_StationaryLiquid[[#Headers],[Fuel combusted]],0)</f>
        <v>Renewable diesel</v>
      </c>
      <c r="E77" s="220" cm="1">
        <f t="array" ref="E77">Common_InputFunctions.Utility_DisplayArrayInTable(Fuel_SourceData.Fuel_Scope1Scope3EmissionFactorsStationaryLiquid_Data(), Table_Fuel_EFs_StationaryLiquid[[#Headers],[Fuel combusted]],0)</f>
        <v>38.6</v>
      </c>
      <c r="F77" s="220" t="str" cm="1">
        <f t="array" ref="F77">Common_InputFunctions.Utility_DisplayArrayInTable(Fuel_SourceData.Fuel_Scope1Scope3EmissionFactorsStationaryLiquid_Data(), Table_Fuel_EFs_StationaryLiquid[[#Headers],[Fuel combusted]],0)</f>
        <v>kL</v>
      </c>
      <c r="G77" s="220" cm="1">
        <f t="array" ref="G77">Common_InputFunctions.Utility_DisplayArrayInTable(Fuel_SourceData.Fuel_Scope1Scope3EmissionFactorsStationaryLiquid_Data(), Table_Fuel_EFs_StationaryLiquid[[#Headers],[Fuel combusted]],0)</f>
        <v>0</v>
      </c>
      <c r="H77" s="220" cm="1">
        <f t="array" ref="H77">Common_InputFunctions.Utility_DisplayArrayInTable(Fuel_SourceData.Fuel_Scope1Scope3EmissionFactorsStationaryLiquid_Data(), Table_Fuel_EFs_StationaryLiquid[[#Headers],[Fuel combusted]],0)</f>
        <v>0.1</v>
      </c>
      <c r="I77" s="220" cm="1">
        <f t="array" ref="I77">Common_InputFunctions.Utility_DisplayArrayInTable(Fuel_SourceData.Fuel_Scope1Scope3EmissionFactorsStationaryLiquid_Data(), Table_Fuel_EFs_StationaryLiquid[[#Headers],[Fuel combusted]],0)</f>
        <v>0.2</v>
      </c>
      <c r="J77" s="220" cm="1">
        <f t="array" ref="J77">Common_InputFunctions.Utility_DisplayArrayInTable(Fuel_SourceData.Fuel_Scope1Scope3EmissionFactorsStationaryLiquid_Data(), Table_Fuel_EFs_StationaryLiquid[[#Headers],[Fuel combusted]],0)</f>
        <v>0.3</v>
      </c>
      <c r="K77" s="220" t="str" cm="1">
        <f t="array" ref="K77">Common_InputFunctions.Utility_DisplayArrayInTable(Fuel_SourceData.Fuel_Scope1Scope3EmissionFactorsStationaryLiquid_Data(), Table_Fuel_EFs_StationaryLiquid[[#Headers],[Fuel combusted]],0)</f>
        <v>NE</v>
      </c>
      <c r="L77" s="168"/>
    </row>
    <row r="78" spans="4:13" ht="20" customHeight="1" x14ac:dyDescent="0.25">
      <c r="D78" s="168"/>
      <c r="E78" s="168"/>
      <c r="F78" s="168"/>
      <c r="G78" s="168"/>
      <c r="H78" s="168"/>
      <c r="I78" s="168"/>
      <c r="J78" s="168"/>
      <c r="K78" s="168"/>
      <c r="L78" s="168"/>
    </row>
    <row r="79" spans="4:13" ht="20" customHeight="1" x14ac:dyDescent="0.25">
      <c r="D79" s="168"/>
      <c r="E79" s="168"/>
      <c r="F79" s="168"/>
      <c r="G79" s="168"/>
      <c r="H79" s="168"/>
      <c r="I79" s="168"/>
      <c r="J79" s="168"/>
      <c r="K79" s="168"/>
      <c r="L79" s="168"/>
      <c r="M79" s="168"/>
    </row>
    <row r="80" spans="4:13" ht="20" customHeight="1" x14ac:dyDescent="0.25">
      <c r="D80" s="168"/>
      <c r="E80" s="168"/>
      <c r="F80" s="168"/>
      <c r="G80" s="168"/>
      <c r="H80" s="168"/>
      <c r="I80" s="168"/>
      <c r="J80" s="168"/>
      <c r="K80" s="168"/>
      <c r="L80" s="168"/>
      <c r="M80" s="168"/>
    </row>
    <row r="81" spans="4:12" ht="20" customHeight="1" x14ac:dyDescent="0.25">
      <c r="D81" s="2" t="str" cm="1">
        <f t="array" ref="D81">Fuel_SourceData.Fuel_Scope1EmissionFactorsStationaryGaseous_Title()</f>
        <v>Fuel scope 1 emission factors - Stationary gaseous fuels</v>
      </c>
      <c r="E81" s="168"/>
      <c r="F81" s="168"/>
      <c r="G81" s="168"/>
      <c r="H81" s="168"/>
      <c r="I81" s="168"/>
      <c r="J81" s="168"/>
      <c r="K81" s="168"/>
      <c r="L81" s="168"/>
    </row>
    <row r="82" spans="4:12" ht="20" customHeight="1" x14ac:dyDescent="0.25">
      <c r="D82" s="1" t="str" cm="1">
        <f t="array" ref="D82">Fuel_SourceData.Fuel_Scope1EmissionFactorsStationaryGaseous_Description()</f>
        <v xml:space="preserve">Direct (Scope 1) emission factors for the consumption of gaseous fuels including liquefied natural gas  </v>
      </c>
      <c r="E82" s="168"/>
      <c r="F82" s="168"/>
      <c r="G82" s="168"/>
      <c r="H82" s="168"/>
      <c r="I82" s="168"/>
      <c r="J82" s="168"/>
      <c r="K82" s="168"/>
      <c r="L82" s="168"/>
    </row>
    <row r="83" spans="4:12" ht="20" customHeight="1" x14ac:dyDescent="0.25">
      <c r="D83" s="17" t="str" cm="1">
        <f t="array" ref="D83">Fuel_SourceData.Fuel_Scope1EmissionFactorsStationaryGaseous_Source()</f>
        <v>Australian National Greenhouse Accounts Factors 2025 - Table 5</v>
      </c>
      <c r="E83" s="168"/>
      <c r="F83" s="168"/>
      <c r="G83" s="168"/>
      <c r="H83" s="168"/>
      <c r="I83" s="168"/>
      <c r="J83" s="168"/>
      <c r="K83" s="168"/>
      <c r="L83" s="168"/>
    </row>
    <row r="84" spans="4:12" ht="20" customHeight="1" x14ac:dyDescent="0.25">
      <c r="D84" s="2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68"/>
      <c r="F84" s="168"/>
      <c r="G84" s="168"/>
      <c r="H84" s="168"/>
      <c r="I84" s="168"/>
      <c r="J84" s="168"/>
      <c r="K84" s="168"/>
      <c r="L84" s="168"/>
    </row>
    <row r="85" spans="4:12" ht="20" customHeight="1" x14ac:dyDescent="0.25">
      <c r="D85" s="168"/>
      <c r="E85" s="168"/>
      <c r="F85" s="168"/>
      <c r="G85" s="168"/>
      <c r="H85" s="168"/>
      <c r="I85" s="168"/>
      <c r="J85" s="168"/>
      <c r="K85" s="168"/>
      <c r="L85" s="168"/>
    </row>
    <row r="86" spans="4:12" ht="20" customHeight="1" x14ac:dyDescent="0.25">
      <c r="D86" s="186" t="s">
        <v>853</v>
      </c>
      <c r="E86" s="217" t="s">
        <v>854</v>
      </c>
      <c r="F86" s="186" t="s">
        <v>855</v>
      </c>
      <c r="G86" s="217" t="s">
        <v>856</v>
      </c>
      <c r="H86" s="217" t="s">
        <v>857</v>
      </c>
      <c r="I86" s="217" t="s">
        <v>858</v>
      </c>
      <c r="J86" s="217" t="s">
        <v>859</v>
      </c>
      <c r="K86" s="168"/>
      <c r="L86" s="168"/>
    </row>
    <row r="87" spans="4:12" ht="20" customHeight="1" x14ac:dyDescent="0.25">
      <c r="D87" s="220" t="str" cm="1">
        <f t="array" ref="D87">Common_InputFunctions.Utility_DisplayArrayInTable(Fuel_SourceData.Fuel_Scope1EmissionFactorsStationaryGaseous_Data(), Table_Fuel_EFs_StationaryGaseous[[#Headers],[Fuel combusted]],0)</f>
        <v>Natural gas distributed in a pipeline</v>
      </c>
      <c r="E87" s="220" cm="1">
        <f t="array" ref="E87">Common_InputFunctions.Utility_DisplayArrayInTable(Fuel_SourceData.Fuel_Scope1EmissionFactorsStationaryGaseous_Data(), Table_Fuel_EFs_StationaryGaseous[[#Headers],[Fuel combusted]],0)</f>
        <v>3.9300000000000002E-2</v>
      </c>
      <c r="F87" s="220" t="str" cm="1">
        <f t="array" ref="F87">Common_InputFunctions.Utility_DisplayArrayInTable(Fuel_SourceData.Fuel_Scope1EmissionFactorsStationaryGaseous_Data(), Table_Fuel_EFs_StationaryGaseous[[#Headers],[Fuel combusted]],0)</f>
        <v>m3</v>
      </c>
      <c r="G87" s="220" cm="1">
        <f t="array" ref="G87">Common_InputFunctions.Utility_DisplayArrayInTable(Fuel_SourceData.Fuel_Scope1EmissionFactorsStationaryGaseous_Data(), Table_Fuel_EFs_StationaryGaseous[[#Headers],[Fuel combusted]],0)</f>
        <v>51.4</v>
      </c>
      <c r="H87" s="220" cm="1">
        <f t="array" ref="H87">Common_InputFunctions.Utility_DisplayArrayInTable(Fuel_SourceData.Fuel_Scope1EmissionFactorsStationaryGaseous_Data(), Table_Fuel_EFs_StationaryGaseous[[#Headers],[Fuel combusted]],0)</f>
        <v>0.1</v>
      </c>
      <c r="I87" s="220" cm="1">
        <f t="array" ref="I87">Common_InputFunctions.Utility_DisplayArrayInTable(Fuel_SourceData.Fuel_Scope1EmissionFactorsStationaryGaseous_Data(), Table_Fuel_EFs_StationaryGaseous[[#Headers],[Fuel combusted]],0)</f>
        <v>0.03</v>
      </c>
      <c r="J87" s="220" cm="1">
        <f t="array" ref="J87">Common_InputFunctions.Utility_DisplayArrayInTable(Fuel_SourceData.Fuel_Scope1EmissionFactorsStationaryGaseous_Data(), Table_Fuel_EFs_StationaryGaseous[[#Headers],[Fuel combusted]],0)</f>
        <v>51.53</v>
      </c>
      <c r="K87" s="168"/>
      <c r="L87" s="168"/>
    </row>
    <row r="88" spans="4:12" ht="20" customHeight="1" x14ac:dyDescent="0.25">
      <c r="D88" s="220" t="str" cm="1">
        <f t="array" ref="D88">Common_InputFunctions.Utility_DisplayArrayInTable(Fuel_SourceData.Fuel_Scope1EmissionFactorsStationaryGaseous_Data(), Table_Fuel_EFs_StationaryGaseous[[#Headers],[Fuel combusted]],0)</f>
        <v>Coal seam methane that is captured for combustion</v>
      </c>
      <c r="E88" s="220" cm="1">
        <f t="array" ref="E88">Common_InputFunctions.Utility_DisplayArrayInTable(Fuel_SourceData.Fuel_Scope1EmissionFactorsStationaryGaseous_Data(), Table_Fuel_EFs_StationaryGaseous[[#Headers],[Fuel combusted]],0)</f>
        <v>3.7699999999999997E-2</v>
      </c>
      <c r="F88" s="220" t="str" cm="1">
        <f t="array" ref="F88">Common_InputFunctions.Utility_DisplayArrayInTable(Fuel_SourceData.Fuel_Scope1EmissionFactorsStationaryGaseous_Data(), Table_Fuel_EFs_StationaryGaseous[[#Headers],[Fuel combusted]],0)</f>
        <v>m3</v>
      </c>
      <c r="G88" s="220" cm="1">
        <f t="array" ref="G88">Common_InputFunctions.Utility_DisplayArrayInTable(Fuel_SourceData.Fuel_Scope1EmissionFactorsStationaryGaseous_Data(), Table_Fuel_EFs_StationaryGaseous[[#Headers],[Fuel combusted]],0)</f>
        <v>51.4</v>
      </c>
      <c r="H88" s="220" cm="1">
        <f t="array" ref="H88">Common_InputFunctions.Utility_DisplayArrayInTable(Fuel_SourceData.Fuel_Scope1EmissionFactorsStationaryGaseous_Data(), Table_Fuel_EFs_StationaryGaseous[[#Headers],[Fuel combusted]],0)</f>
        <v>0.2</v>
      </c>
      <c r="I88" s="220" cm="1">
        <f t="array" ref="I88">Common_InputFunctions.Utility_DisplayArrayInTable(Fuel_SourceData.Fuel_Scope1EmissionFactorsStationaryGaseous_Data(), Table_Fuel_EFs_StationaryGaseous[[#Headers],[Fuel combusted]],0)</f>
        <v>0.03</v>
      </c>
      <c r="J88" s="220" cm="1">
        <f t="array" ref="J88">Common_InputFunctions.Utility_DisplayArrayInTable(Fuel_SourceData.Fuel_Scope1EmissionFactorsStationaryGaseous_Data(), Table_Fuel_EFs_StationaryGaseous[[#Headers],[Fuel combusted]],0)</f>
        <v>51.63</v>
      </c>
      <c r="K88" s="168"/>
      <c r="L88" s="168"/>
    </row>
    <row r="89" spans="4:12" ht="20" customHeight="1" x14ac:dyDescent="0.25">
      <c r="D89" s="220" t="str" cm="1">
        <f t="array" ref="D89">Common_InputFunctions.Utility_DisplayArrayInTable(Fuel_SourceData.Fuel_Scope1EmissionFactorsStationaryGaseous_Data(), Table_Fuel_EFs_StationaryGaseous[[#Headers],[Fuel combusted]],0)</f>
        <v>Coal mine waste gas that is captured for combustion</v>
      </c>
      <c r="E89" s="220" cm="1">
        <f t="array" ref="E89">Common_InputFunctions.Utility_DisplayArrayInTable(Fuel_SourceData.Fuel_Scope1EmissionFactorsStationaryGaseous_Data(), Table_Fuel_EFs_StationaryGaseous[[#Headers],[Fuel combusted]],0)</f>
        <v>3.7699999999999997E-2</v>
      </c>
      <c r="F89" s="220" t="str" cm="1">
        <f t="array" ref="F89">Common_InputFunctions.Utility_DisplayArrayInTable(Fuel_SourceData.Fuel_Scope1EmissionFactorsStationaryGaseous_Data(), Table_Fuel_EFs_StationaryGaseous[[#Headers],[Fuel combusted]],0)</f>
        <v>m3</v>
      </c>
      <c r="G89" s="220" cm="1">
        <f t="array" ref="G89">Common_InputFunctions.Utility_DisplayArrayInTable(Fuel_SourceData.Fuel_Scope1EmissionFactorsStationaryGaseous_Data(), Table_Fuel_EFs_StationaryGaseous[[#Headers],[Fuel combusted]],0)</f>
        <v>51.9</v>
      </c>
      <c r="H89" s="220" cm="1">
        <f t="array" ref="H89">Common_InputFunctions.Utility_DisplayArrayInTable(Fuel_SourceData.Fuel_Scope1EmissionFactorsStationaryGaseous_Data(), Table_Fuel_EFs_StationaryGaseous[[#Headers],[Fuel combusted]],0)</f>
        <v>4.5999999999999996</v>
      </c>
      <c r="I89" s="220" cm="1">
        <f t="array" ref="I89">Common_InputFunctions.Utility_DisplayArrayInTable(Fuel_SourceData.Fuel_Scope1EmissionFactorsStationaryGaseous_Data(), Table_Fuel_EFs_StationaryGaseous[[#Headers],[Fuel combusted]],0)</f>
        <v>0.3</v>
      </c>
      <c r="J89" s="220" cm="1">
        <f t="array" ref="J89">Common_InputFunctions.Utility_DisplayArrayInTable(Fuel_SourceData.Fuel_Scope1EmissionFactorsStationaryGaseous_Data(), Table_Fuel_EFs_StationaryGaseous[[#Headers],[Fuel combusted]],0)</f>
        <v>56.8</v>
      </c>
      <c r="K89" s="168"/>
      <c r="L89" s="168"/>
    </row>
    <row r="90" spans="4:12" ht="20" customHeight="1" x14ac:dyDescent="0.25">
      <c r="D90" s="220" t="str" cm="1">
        <f t="array" ref="D90">Common_InputFunctions.Utility_DisplayArrayInTable(Fuel_SourceData.Fuel_Scope1EmissionFactorsStationaryGaseous_Data(), Table_Fuel_EFs_StationaryGaseous[[#Headers],[Fuel combusted]],0)</f>
        <v>Compressed natural gas(reverting to standard conditions)</v>
      </c>
      <c r="E90" s="220" cm="1">
        <f t="array" ref="E90">Common_InputFunctions.Utility_DisplayArrayInTable(Fuel_SourceData.Fuel_Scope1EmissionFactorsStationaryGaseous_Data(), Table_Fuel_EFs_StationaryGaseous[[#Headers],[Fuel combusted]],0)</f>
        <v>3.9300000000000002E-2</v>
      </c>
      <c r="F90" s="220" t="str" cm="1">
        <f t="array" ref="F90">Common_InputFunctions.Utility_DisplayArrayInTable(Fuel_SourceData.Fuel_Scope1EmissionFactorsStationaryGaseous_Data(), Table_Fuel_EFs_StationaryGaseous[[#Headers],[Fuel combusted]],0)</f>
        <v>m3</v>
      </c>
      <c r="G90" s="220" cm="1">
        <f t="array" ref="G90">Common_InputFunctions.Utility_DisplayArrayInTable(Fuel_SourceData.Fuel_Scope1EmissionFactorsStationaryGaseous_Data(), Table_Fuel_EFs_StationaryGaseous[[#Headers],[Fuel combusted]],0)</f>
        <v>51.4</v>
      </c>
      <c r="H90" s="220" cm="1">
        <f t="array" ref="H90">Common_InputFunctions.Utility_DisplayArrayInTable(Fuel_SourceData.Fuel_Scope1EmissionFactorsStationaryGaseous_Data(), Table_Fuel_EFs_StationaryGaseous[[#Headers],[Fuel combusted]],0)</f>
        <v>0.1</v>
      </c>
      <c r="I90" s="220" cm="1">
        <f t="array" ref="I90">Common_InputFunctions.Utility_DisplayArrayInTable(Fuel_SourceData.Fuel_Scope1EmissionFactorsStationaryGaseous_Data(), Table_Fuel_EFs_StationaryGaseous[[#Headers],[Fuel combusted]],0)</f>
        <v>0.03</v>
      </c>
      <c r="J90" s="220" cm="1">
        <f t="array" ref="J90">Common_InputFunctions.Utility_DisplayArrayInTable(Fuel_SourceData.Fuel_Scope1EmissionFactorsStationaryGaseous_Data(), Table_Fuel_EFs_StationaryGaseous[[#Headers],[Fuel combusted]],0)</f>
        <v>51.53</v>
      </c>
      <c r="K90" s="168"/>
      <c r="L90" s="168"/>
    </row>
    <row r="91" spans="4:12" ht="20" customHeight="1" x14ac:dyDescent="0.25">
      <c r="D91" s="220" t="str" cm="1">
        <f t="array" ref="D91">Common_InputFunctions.Utility_DisplayArrayInTable(Fuel_SourceData.Fuel_Scope1EmissionFactorsStationaryGaseous_Data(), Table_Fuel_EFs_StationaryGaseous[[#Headers],[Fuel combusted]],0)</f>
        <v>Unprocessed natural gas</v>
      </c>
      <c r="E91" s="220" cm="1">
        <f t="array" ref="E91">Common_InputFunctions.Utility_DisplayArrayInTable(Fuel_SourceData.Fuel_Scope1EmissionFactorsStationaryGaseous_Data(), Table_Fuel_EFs_StationaryGaseous[[#Headers],[Fuel combusted]],0)</f>
        <v>3.9300000000000002E-2</v>
      </c>
      <c r="F91" s="220" t="str" cm="1">
        <f t="array" ref="F91">Common_InputFunctions.Utility_DisplayArrayInTable(Fuel_SourceData.Fuel_Scope1EmissionFactorsStationaryGaseous_Data(), Table_Fuel_EFs_StationaryGaseous[[#Headers],[Fuel combusted]],0)</f>
        <v>m3</v>
      </c>
      <c r="G91" s="220" cm="1">
        <f t="array" ref="G91">Common_InputFunctions.Utility_DisplayArrayInTable(Fuel_SourceData.Fuel_Scope1EmissionFactorsStationaryGaseous_Data(), Table_Fuel_EFs_StationaryGaseous[[#Headers],[Fuel combusted]],0)</f>
        <v>51.4</v>
      </c>
      <c r="H91" s="220" cm="1">
        <f t="array" ref="H91">Common_InputFunctions.Utility_DisplayArrayInTable(Fuel_SourceData.Fuel_Scope1EmissionFactorsStationaryGaseous_Data(), Table_Fuel_EFs_StationaryGaseous[[#Headers],[Fuel combusted]],0)</f>
        <v>0.1</v>
      </c>
      <c r="I91" s="220" cm="1">
        <f t="array" ref="I91">Common_InputFunctions.Utility_DisplayArrayInTable(Fuel_SourceData.Fuel_Scope1EmissionFactorsStationaryGaseous_Data(), Table_Fuel_EFs_StationaryGaseous[[#Headers],[Fuel combusted]],0)</f>
        <v>0.03</v>
      </c>
      <c r="J91" s="220" cm="1">
        <f t="array" ref="J91">Common_InputFunctions.Utility_DisplayArrayInTable(Fuel_SourceData.Fuel_Scope1EmissionFactorsStationaryGaseous_Data(), Table_Fuel_EFs_StationaryGaseous[[#Headers],[Fuel combusted]],0)</f>
        <v>51.53</v>
      </c>
      <c r="K91" s="168"/>
      <c r="L91" s="168"/>
    </row>
    <row r="92" spans="4:12" ht="20" customHeight="1" x14ac:dyDescent="0.25">
      <c r="D92" s="220" t="str" cm="1">
        <f t="array" ref="D92">Common_InputFunctions.Utility_DisplayArrayInTable(Fuel_SourceData.Fuel_Scope1EmissionFactorsStationaryGaseous_Data(), Table_Fuel_EFs_StationaryGaseous[[#Headers],[Fuel combusted]],0)</f>
        <v>Ethane</v>
      </c>
      <c r="E92" s="220" cm="1">
        <f t="array" ref="E92">Common_InputFunctions.Utility_DisplayArrayInTable(Fuel_SourceData.Fuel_Scope1EmissionFactorsStationaryGaseous_Data(), Table_Fuel_EFs_StationaryGaseous[[#Headers],[Fuel combusted]],0)</f>
        <v>6.2899999999999998E-2</v>
      </c>
      <c r="F92" s="220" t="str" cm="1">
        <f t="array" ref="F92">Common_InputFunctions.Utility_DisplayArrayInTable(Fuel_SourceData.Fuel_Scope1EmissionFactorsStationaryGaseous_Data(), Table_Fuel_EFs_StationaryGaseous[[#Headers],[Fuel combusted]],0)</f>
        <v>m3</v>
      </c>
      <c r="G92" s="220" cm="1">
        <f t="array" ref="G92">Common_InputFunctions.Utility_DisplayArrayInTable(Fuel_SourceData.Fuel_Scope1EmissionFactorsStationaryGaseous_Data(), Table_Fuel_EFs_StationaryGaseous[[#Headers],[Fuel combusted]],0)</f>
        <v>56.5</v>
      </c>
      <c r="H92" s="220" cm="1">
        <f t="array" ref="H92">Common_InputFunctions.Utility_DisplayArrayInTable(Fuel_SourceData.Fuel_Scope1EmissionFactorsStationaryGaseous_Data(), Table_Fuel_EFs_StationaryGaseous[[#Headers],[Fuel combusted]],0)</f>
        <v>0.03</v>
      </c>
      <c r="I92" s="220" cm="1">
        <f t="array" ref="I92">Common_InputFunctions.Utility_DisplayArrayInTable(Fuel_SourceData.Fuel_Scope1EmissionFactorsStationaryGaseous_Data(), Table_Fuel_EFs_StationaryGaseous[[#Headers],[Fuel combusted]],0)</f>
        <v>0.03</v>
      </c>
      <c r="J92" s="220" cm="1">
        <f t="array" ref="J92">Common_InputFunctions.Utility_DisplayArrayInTable(Fuel_SourceData.Fuel_Scope1EmissionFactorsStationaryGaseous_Data(), Table_Fuel_EFs_StationaryGaseous[[#Headers],[Fuel combusted]],0)</f>
        <v>56.56</v>
      </c>
      <c r="K92" s="168"/>
      <c r="L92" s="168"/>
    </row>
    <row r="93" spans="4:12" ht="20" customHeight="1" x14ac:dyDescent="0.25">
      <c r="D93" s="220" t="str" cm="1">
        <f t="array" ref="D93">Common_InputFunctions.Utility_DisplayArrayInTable(Fuel_SourceData.Fuel_Scope1EmissionFactorsStationaryGaseous_Data(), Table_Fuel_EFs_StationaryGaseous[[#Headers],[Fuel combusted]],0)</f>
        <v>Coke oven gas</v>
      </c>
      <c r="E93" s="220" cm="1">
        <f t="array" ref="E93">Common_InputFunctions.Utility_DisplayArrayInTable(Fuel_SourceData.Fuel_Scope1EmissionFactorsStationaryGaseous_Data(), Table_Fuel_EFs_StationaryGaseous[[#Headers],[Fuel combusted]],0)</f>
        <v>1.8100000000000002E-2</v>
      </c>
      <c r="F93" s="220" t="str" cm="1">
        <f t="array" ref="F93">Common_InputFunctions.Utility_DisplayArrayInTable(Fuel_SourceData.Fuel_Scope1EmissionFactorsStationaryGaseous_Data(), Table_Fuel_EFs_StationaryGaseous[[#Headers],[Fuel combusted]],0)</f>
        <v>m3</v>
      </c>
      <c r="G93" s="220" cm="1">
        <f t="array" ref="G93">Common_InputFunctions.Utility_DisplayArrayInTable(Fuel_SourceData.Fuel_Scope1EmissionFactorsStationaryGaseous_Data(), Table_Fuel_EFs_StationaryGaseous[[#Headers],[Fuel combusted]],0)</f>
        <v>37</v>
      </c>
      <c r="H93" s="220" cm="1">
        <f t="array" ref="H93">Common_InputFunctions.Utility_DisplayArrayInTable(Fuel_SourceData.Fuel_Scope1EmissionFactorsStationaryGaseous_Data(), Table_Fuel_EFs_StationaryGaseous[[#Headers],[Fuel combusted]],0)</f>
        <v>0.03</v>
      </c>
      <c r="I93" s="220" cm="1">
        <f t="array" ref="I93">Common_InputFunctions.Utility_DisplayArrayInTable(Fuel_SourceData.Fuel_Scope1EmissionFactorsStationaryGaseous_Data(), Table_Fuel_EFs_StationaryGaseous[[#Headers],[Fuel combusted]],0)</f>
        <v>0.05</v>
      </c>
      <c r="J93" s="220" cm="1">
        <f t="array" ref="J93">Common_InputFunctions.Utility_DisplayArrayInTable(Fuel_SourceData.Fuel_Scope1EmissionFactorsStationaryGaseous_Data(), Table_Fuel_EFs_StationaryGaseous[[#Headers],[Fuel combusted]],0)</f>
        <v>37.08</v>
      </c>
      <c r="K93" s="168"/>
      <c r="L93" s="168"/>
    </row>
    <row r="94" spans="4:12" ht="20" customHeight="1" x14ac:dyDescent="0.25">
      <c r="D94" s="220" t="str" cm="1">
        <f t="array" ref="D94">Common_InputFunctions.Utility_DisplayArrayInTable(Fuel_SourceData.Fuel_Scope1EmissionFactorsStationaryGaseous_Data(), Table_Fuel_EFs_StationaryGaseous[[#Headers],[Fuel combusted]],0)</f>
        <v>Blast furnace gas</v>
      </c>
      <c r="E94" s="220" cm="1">
        <f t="array" ref="E94">Common_InputFunctions.Utility_DisplayArrayInTable(Fuel_SourceData.Fuel_Scope1EmissionFactorsStationaryGaseous_Data(), Table_Fuel_EFs_StationaryGaseous[[#Headers],[Fuel combusted]],0)</f>
        <v>4.0000000000000001E-3</v>
      </c>
      <c r="F94" s="220" t="str" cm="1">
        <f t="array" ref="F94">Common_InputFunctions.Utility_DisplayArrayInTable(Fuel_SourceData.Fuel_Scope1EmissionFactorsStationaryGaseous_Data(), Table_Fuel_EFs_StationaryGaseous[[#Headers],[Fuel combusted]],0)</f>
        <v>m3</v>
      </c>
      <c r="G94" s="220" cm="1">
        <f t="array" ref="G94">Common_InputFunctions.Utility_DisplayArrayInTable(Fuel_SourceData.Fuel_Scope1EmissionFactorsStationaryGaseous_Data(), Table_Fuel_EFs_StationaryGaseous[[#Headers],[Fuel combusted]],0)</f>
        <v>234</v>
      </c>
      <c r="H94" s="220" cm="1">
        <f t="array" ref="H94">Common_InputFunctions.Utility_DisplayArrayInTable(Fuel_SourceData.Fuel_Scope1EmissionFactorsStationaryGaseous_Data(), Table_Fuel_EFs_StationaryGaseous[[#Headers],[Fuel combusted]],0)</f>
        <v>0.03</v>
      </c>
      <c r="I94" s="220" cm="1">
        <f t="array" ref="I94">Common_InputFunctions.Utility_DisplayArrayInTable(Fuel_SourceData.Fuel_Scope1EmissionFactorsStationaryGaseous_Data(), Table_Fuel_EFs_StationaryGaseous[[#Headers],[Fuel combusted]],0)</f>
        <v>0.02</v>
      </c>
      <c r="J94" s="220" cm="1">
        <f t="array" ref="J94">Common_InputFunctions.Utility_DisplayArrayInTable(Fuel_SourceData.Fuel_Scope1EmissionFactorsStationaryGaseous_Data(), Table_Fuel_EFs_StationaryGaseous[[#Headers],[Fuel combusted]],0)</f>
        <v>234.05</v>
      </c>
      <c r="K94" s="168"/>
      <c r="L94" s="168"/>
    </row>
    <row r="95" spans="4:12" ht="20" customHeight="1" x14ac:dyDescent="0.25">
      <c r="D95" s="220" t="str" cm="1">
        <f t="array" ref="D95">Common_InputFunctions.Utility_DisplayArrayInTable(Fuel_SourceData.Fuel_Scope1EmissionFactorsStationaryGaseous_Data(), Table_Fuel_EFs_StationaryGaseous[[#Headers],[Fuel combusted]],0)</f>
        <v>Town gas</v>
      </c>
      <c r="E95" s="220" cm="1">
        <f t="array" ref="E95">Common_InputFunctions.Utility_DisplayArrayInTable(Fuel_SourceData.Fuel_Scope1EmissionFactorsStationaryGaseous_Data(), Table_Fuel_EFs_StationaryGaseous[[#Headers],[Fuel combusted]],0)</f>
        <v>3.9E-2</v>
      </c>
      <c r="F95" s="220" t="str" cm="1">
        <f t="array" ref="F95">Common_InputFunctions.Utility_DisplayArrayInTable(Fuel_SourceData.Fuel_Scope1EmissionFactorsStationaryGaseous_Data(), Table_Fuel_EFs_StationaryGaseous[[#Headers],[Fuel combusted]],0)</f>
        <v>m3</v>
      </c>
      <c r="G95" s="220" cm="1">
        <f t="array" ref="G95">Common_InputFunctions.Utility_DisplayArrayInTable(Fuel_SourceData.Fuel_Scope1EmissionFactorsStationaryGaseous_Data(), Table_Fuel_EFs_StationaryGaseous[[#Headers],[Fuel combusted]],0)</f>
        <v>60.2</v>
      </c>
      <c r="H95" s="220" cm="1">
        <f t="array" ref="H95">Common_InputFunctions.Utility_DisplayArrayInTable(Fuel_SourceData.Fuel_Scope1EmissionFactorsStationaryGaseous_Data(), Table_Fuel_EFs_StationaryGaseous[[#Headers],[Fuel combusted]],0)</f>
        <v>0.04</v>
      </c>
      <c r="I95" s="220" cm="1">
        <f t="array" ref="I95">Common_InputFunctions.Utility_DisplayArrayInTable(Fuel_SourceData.Fuel_Scope1EmissionFactorsStationaryGaseous_Data(), Table_Fuel_EFs_StationaryGaseous[[#Headers],[Fuel combusted]],0)</f>
        <v>0.03</v>
      </c>
      <c r="J95" s="220" cm="1">
        <f t="array" ref="J95">Common_InputFunctions.Utility_DisplayArrayInTable(Fuel_SourceData.Fuel_Scope1EmissionFactorsStationaryGaseous_Data(), Table_Fuel_EFs_StationaryGaseous[[#Headers],[Fuel combusted]],0)</f>
        <v>60.27</v>
      </c>
      <c r="K95" s="168"/>
      <c r="L95" s="168"/>
    </row>
    <row r="96" spans="4:12" ht="20" customHeight="1" x14ac:dyDescent="0.25">
      <c r="D96" s="220" t="str" cm="1">
        <f t="array" ref="D96">Common_InputFunctions.Utility_DisplayArrayInTable(Fuel_SourceData.Fuel_Scope1EmissionFactorsStationaryGaseous_Data(), Table_Fuel_EFs_StationaryGaseous[[#Headers],[Fuel combusted]],0)</f>
        <v>Liquefied natural gas</v>
      </c>
      <c r="E96" s="220" cm="1">
        <f t="array" ref="E96">Common_InputFunctions.Utility_DisplayArrayInTable(Fuel_SourceData.Fuel_Scope1EmissionFactorsStationaryGaseous_Data(), Table_Fuel_EFs_StationaryGaseous[[#Headers],[Fuel combusted]],0)</f>
        <v>25.3</v>
      </c>
      <c r="F96" s="220" t="str" cm="1">
        <f t="array" ref="F96">Common_InputFunctions.Utility_DisplayArrayInTable(Fuel_SourceData.Fuel_Scope1EmissionFactorsStationaryGaseous_Data(), Table_Fuel_EFs_StationaryGaseous[[#Headers],[Fuel combusted]],0)</f>
        <v>kL</v>
      </c>
      <c r="G96" s="220" cm="1">
        <f t="array" ref="G96">Common_InputFunctions.Utility_DisplayArrayInTable(Fuel_SourceData.Fuel_Scope1EmissionFactorsStationaryGaseous_Data(), Table_Fuel_EFs_StationaryGaseous[[#Headers],[Fuel combusted]],0)</f>
        <v>51.4</v>
      </c>
      <c r="H96" s="220" cm="1">
        <f t="array" ref="H96">Common_InputFunctions.Utility_DisplayArrayInTable(Fuel_SourceData.Fuel_Scope1EmissionFactorsStationaryGaseous_Data(), Table_Fuel_EFs_StationaryGaseous[[#Headers],[Fuel combusted]],0)</f>
        <v>0.1</v>
      </c>
      <c r="I96" s="220" cm="1">
        <f t="array" ref="I96">Common_InputFunctions.Utility_DisplayArrayInTable(Fuel_SourceData.Fuel_Scope1EmissionFactorsStationaryGaseous_Data(), Table_Fuel_EFs_StationaryGaseous[[#Headers],[Fuel combusted]],0)</f>
        <v>0.03</v>
      </c>
      <c r="J96" s="220" cm="1">
        <f t="array" ref="J96">Common_InputFunctions.Utility_DisplayArrayInTable(Fuel_SourceData.Fuel_Scope1EmissionFactorsStationaryGaseous_Data(), Table_Fuel_EFs_StationaryGaseous[[#Headers],[Fuel combusted]],0)</f>
        <v>51.53</v>
      </c>
      <c r="K96" s="168"/>
      <c r="L96" s="168"/>
    </row>
    <row r="97" spans="4:13" ht="20" customHeight="1" x14ac:dyDescent="0.25">
      <c r="D97" s="220" t="str" cm="1">
        <f t="array" ref="D97">Common_InputFunctions.Utility_DisplayArrayInTable(Fuel_SourceData.Fuel_Scope1EmissionFactorsStationaryGaseous_Data(), Table_Fuel_EFs_StationaryGaseous[[#Headers],[Fuel combusted]],0)</f>
        <v>Gaseous fossil fuels other than those mentioned in the items above</v>
      </c>
      <c r="E97" s="220" cm="1">
        <f t="array" ref="E97">Common_InputFunctions.Utility_DisplayArrayInTable(Fuel_SourceData.Fuel_Scope1EmissionFactorsStationaryGaseous_Data(), Table_Fuel_EFs_StationaryGaseous[[#Headers],[Fuel combusted]],0)</f>
        <v>3.9E-2</v>
      </c>
      <c r="F97" s="220" t="str" cm="1">
        <f t="array" ref="F97">Common_InputFunctions.Utility_DisplayArrayInTable(Fuel_SourceData.Fuel_Scope1EmissionFactorsStationaryGaseous_Data(), Table_Fuel_EFs_StationaryGaseous[[#Headers],[Fuel combusted]],0)</f>
        <v>m3</v>
      </c>
      <c r="G97" s="220" cm="1">
        <f t="array" ref="G97">Common_InputFunctions.Utility_DisplayArrayInTable(Fuel_SourceData.Fuel_Scope1EmissionFactorsStationaryGaseous_Data(), Table_Fuel_EFs_StationaryGaseous[[#Headers],[Fuel combusted]],0)</f>
        <v>51.4</v>
      </c>
      <c r="H97" s="220" cm="1">
        <f t="array" ref="H97">Common_InputFunctions.Utility_DisplayArrayInTable(Fuel_SourceData.Fuel_Scope1EmissionFactorsStationaryGaseous_Data(), Table_Fuel_EFs_StationaryGaseous[[#Headers],[Fuel combusted]],0)</f>
        <v>0.1</v>
      </c>
      <c r="I97" s="220" cm="1">
        <f t="array" ref="I97">Common_InputFunctions.Utility_DisplayArrayInTable(Fuel_SourceData.Fuel_Scope1EmissionFactorsStationaryGaseous_Data(), Table_Fuel_EFs_StationaryGaseous[[#Headers],[Fuel combusted]],0)</f>
        <v>0.03</v>
      </c>
      <c r="J97" s="220" cm="1">
        <f t="array" ref="J97">Common_InputFunctions.Utility_DisplayArrayInTable(Fuel_SourceData.Fuel_Scope1EmissionFactorsStationaryGaseous_Data(), Table_Fuel_EFs_StationaryGaseous[[#Headers],[Fuel combusted]],0)</f>
        <v>51.53</v>
      </c>
      <c r="K97" s="168"/>
      <c r="L97" s="168"/>
    </row>
    <row r="98" spans="4:13" ht="20" customHeight="1" x14ac:dyDescent="0.25">
      <c r="D98" s="220" t="str" cm="1">
        <f t="array" ref="D98">Common_InputFunctions.Utility_DisplayArrayInTable(Fuel_SourceData.Fuel_Scope1EmissionFactorsStationaryGaseous_Data(), Table_Fuel_EFs_StationaryGaseous[[#Headers],[Fuel combusted]],0)</f>
        <v>Landfill biogas that is captured for combustion (methane only)</v>
      </c>
      <c r="E98" s="220" cm="1">
        <f t="array" ref="E98">Common_InputFunctions.Utility_DisplayArrayInTable(Fuel_SourceData.Fuel_Scope1EmissionFactorsStationaryGaseous_Data(), Table_Fuel_EFs_StationaryGaseous[[#Headers],[Fuel combusted]],0)</f>
        <v>3.7699999999999997E-2</v>
      </c>
      <c r="F98" s="220" t="str" cm="1">
        <f t="array" ref="F98">Common_InputFunctions.Utility_DisplayArrayInTable(Fuel_SourceData.Fuel_Scope1EmissionFactorsStationaryGaseous_Data(), Table_Fuel_EFs_StationaryGaseous[[#Headers],[Fuel combusted]],0)</f>
        <v>m3</v>
      </c>
      <c r="G98" s="220" cm="1">
        <f t="array" ref="G98">Common_InputFunctions.Utility_DisplayArrayInTable(Fuel_SourceData.Fuel_Scope1EmissionFactorsStationaryGaseous_Data(), Table_Fuel_EFs_StationaryGaseous[[#Headers],[Fuel combusted]],0)</f>
        <v>0</v>
      </c>
      <c r="H98" s="220" cm="1">
        <f t="array" ref="H98">Common_InputFunctions.Utility_DisplayArrayInTable(Fuel_SourceData.Fuel_Scope1EmissionFactorsStationaryGaseous_Data(), Table_Fuel_EFs_StationaryGaseous[[#Headers],[Fuel combusted]],0)</f>
        <v>6.4</v>
      </c>
      <c r="I98" s="220" cm="1">
        <f t="array" ref="I98">Common_InputFunctions.Utility_DisplayArrayInTable(Fuel_SourceData.Fuel_Scope1EmissionFactorsStationaryGaseous_Data(), Table_Fuel_EFs_StationaryGaseous[[#Headers],[Fuel combusted]],0)</f>
        <v>0.03</v>
      </c>
      <c r="J98" s="220" cm="1">
        <f t="array" ref="J98">Common_InputFunctions.Utility_DisplayArrayInTable(Fuel_SourceData.Fuel_Scope1EmissionFactorsStationaryGaseous_Data(), Table_Fuel_EFs_StationaryGaseous[[#Headers],[Fuel combusted]],0)</f>
        <v>6.43</v>
      </c>
      <c r="K98" s="168"/>
      <c r="L98" s="168"/>
    </row>
    <row r="99" spans="4:13" ht="20" customHeight="1" x14ac:dyDescent="0.25">
      <c r="D99" s="220" t="str" cm="1">
        <f t="array" ref="D99">Common_InputFunctions.Utility_DisplayArrayInTable(Fuel_SourceData.Fuel_Scope1EmissionFactorsStationaryGaseous_Data(), Table_Fuel_EFs_StationaryGaseous[[#Headers],[Fuel combusted]],0)</f>
        <v>Sludge biogas that is captured for combustion (methane only)</v>
      </c>
      <c r="E99" s="220" cm="1">
        <f t="array" ref="E99">Common_InputFunctions.Utility_DisplayArrayInTable(Fuel_SourceData.Fuel_Scope1EmissionFactorsStationaryGaseous_Data(), Table_Fuel_EFs_StationaryGaseous[[#Headers],[Fuel combusted]],0)</f>
        <v>3.7699999999999997E-2</v>
      </c>
      <c r="F99" s="220" t="str" cm="1">
        <f t="array" ref="F99">Common_InputFunctions.Utility_DisplayArrayInTable(Fuel_SourceData.Fuel_Scope1EmissionFactorsStationaryGaseous_Data(), Table_Fuel_EFs_StationaryGaseous[[#Headers],[Fuel combusted]],0)</f>
        <v>m3</v>
      </c>
      <c r="G99" s="220" cm="1">
        <f t="array" ref="G99">Common_InputFunctions.Utility_DisplayArrayInTable(Fuel_SourceData.Fuel_Scope1EmissionFactorsStationaryGaseous_Data(), Table_Fuel_EFs_StationaryGaseous[[#Headers],[Fuel combusted]],0)</f>
        <v>0</v>
      </c>
      <c r="H99" s="220" cm="1">
        <f t="array" ref="H99">Common_InputFunctions.Utility_DisplayArrayInTable(Fuel_SourceData.Fuel_Scope1EmissionFactorsStationaryGaseous_Data(), Table_Fuel_EFs_StationaryGaseous[[#Headers],[Fuel combusted]],0)</f>
        <v>6.4</v>
      </c>
      <c r="I99" s="220" cm="1">
        <f t="array" ref="I99">Common_InputFunctions.Utility_DisplayArrayInTable(Fuel_SourceData.Fuel_Scope1EmissionFactorsStationaryGaseous_Data(), Table_Fuel_EFs_StationaryGaseous[[#Headers],[Fuel combusted]],0)</f>
        <v>0.03</v>
      </c>
      <c r="J99" s="220" cm="1">
        <f t="array" ref="J99">Common_InputFunctions.Utility_DisplayArrayInTable(Fuel_SourceData.Fuel_Scope1EmissionFactorsStationaryGaseous_Data(), Table_Fuel_EFs_StationaryGaseous[[#Headers],[Fuel combusted]],0)</f>
        <v>6.43</v>
      </c>
      <c r="K99" s="168"/>
      <c r="L99" s="168"/>
    </row>
    <row r="100" spans="4:13" ht="20" customHeight="1" x14ac:dyDescent="0.25">
      <c r="D100" s="220"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20" cm="1">
        <f t="array" ref="E100">Common_InputFunctions.Utility_DisplayArrayInTable(Fuel_SourceData.Fuel_Scope1EmissionFactorsStationaryGaseous_Data(), Table_Fuel_EFs_StationaryGaseous[[#Headers],[Fuel combusted]],0)</f>
        <v>3.6999999999999998E-2</v>
      </c>
      <c r="F100" s="220" t="str" cm="1">
        <f t="array" ref="F100">Common_InputFunctions.Utility_DisplayArrayInTable(Fuel_SourceData.Fuel_Scope1EmissionFactorsStationaryGaseous_Data(), Table_Fuel_EFs_StationaryGaseous[[#Headers],[Fuel combusted]],0)</f>
        <v>m3</v>
      </c>
      <c r="G100" s="220" cm="1">
        <f t="array" ref="G100">Common_InputFunctions.Utility_DisplayArrayInTable(Fuel_SourceData.Fuel_Scope1EmissionFactorsStationaryGaseous_Data(), Table_Fuel_EFs_StationaryGaseous[[#Headers],[Fuel combusted]],0)</f>
        <v>0</v>
      </c>
      <c r="H100" s="220" cm="1">
        <f t="array" ref="H100">Common_InputFunctions.Utility_DisplayArrayInTable(Fuel_SourceData.Fuel_Scope1EmissionFactorsStationaryGaseous_Data(), Table_Fuel_EFs_StationaryGaseous[[#Headers],[Fuel combusted]],0)</f>
        <v>6.4</v>
      </c>
      <c r="I100" s="220" cm="1">
        <f t="array" ref="I100">Common_InputFunctions.Utility_DisplayArrayInTable(Fuel_SourceData.Fuel_Scope1EmissionFactorsStationaryGaseous_Data(), Table_Fuel_EFs_StationaryGaseous[[#Headers],[Fuel combusted]],0)</f>
        <v>0.03</v>
      </c>
      <c r="J100" s="220" cm="1">
        <f t="array" ref="J100">Common_InputFunctions.Utility_DisplayArrayInTable(Fuel_SourceData.Fuel_Scope1EmissionFactorsStationaryGaseous_Data(), Table_Fuel_EFs_StationaryGaseous[[#Headers],[Fuel combusted]],0)</f>
        <v>6.43</v>
      </c>
      <c r="K100" s="168"/>
      <c r="L100" s="168"/>
    </row>
    <row r="101" spans="4:13" ht="20" customHeight="1" x14ac:dyDescent="0.25">
      <c r="D101" s="220" t="str" cm="1">
        <f t="array" ref="D101">Common_InputFunctions.Utility_DisplayArrayInTable(Fuel_SourceData.Fuel_Scope1EmissionFactorsStationaryGaseous_Data(), Table_Fuel_EFs_StationaryGaseous[[#Headers],[Fuel combusted]],0)</f>
        <v>Biomethane</v>
      </c>
      <c r="E101" s="220" cm="1">
        <f t="array" ref="E101">Common_InputFunctions.Utility_DisplayArrayInTable(Fuel_SourceData.Fuel_Scope1EmissionFactorsStationaryGaseous_Data(), Table_Fuel_EFs_StationaryGaseous[[#Headers],[Fuel combusted]],0)</f>
        <v>3.9300000000000002E-2</v>
      </c>
      <c r="F101" s="220" t="str" cm="1">
        <f t="array" ref="F101">Common_InputFunctions.Utility_DisplayArrayInTable(Fuel_SourceData.Fuel_Scope1EmissionFactorsStationaryGaseous_Data(), Table_Fuel_EFs_StationaryGaseous[[#Headers],[Fuel combusted]],0)</f>
        <v>m3</v>
      </c>
      <c r="G101" s="220" cm="1">
        <f t="array" ref="G101">Common_InputFunctions.Utility_DisplayArrayInTable(Fuel_SourceData.Fuel_Scope1EmissionFactorsStationaryGaseous_Data(), Table_Fuel_EFs_StationaryGaseous[[#Headers],[Fuel combusted]],0)</f>
        <v>0</v>
      </c>
      <c r="H101" s="220" cm="1">
        <f t="array" ref="H101">Common_InputFunctions.Utility_DisplayArrayInTable(Fuel_SourceData.Fuel_Scope1EmissionFactorsStationaryGaseous_Data(), Table_Fuel_EFs_StationaryGaseous[[#Headers],[Fuel combusted]],0)</f>
        <v>0.1</v>
      </c>
      <c r="I101" s="220" cm="1">
        <f t="array" ref="I101">Common_InputFunctions.Utility_DisplayArrayInTable(Fuel_SourceData.Fuel_Scope1EmissionFactorsStationaryGaseous_Data(), Table_Fuel_EFs_StationaryGaseous[[#Headers],[Fuel combusted]],0)</f>
        <v>0.03</v>
      </c>
      <c r="J101" s="220" cm="1">
        <f t="array" ref="J101">Common_InputFunctions.Utility_DisplayArrayInTable(Fuel_SourceData.Fuel_Scope1EmissionFactorsStationaryGaseous_Data(), Table_Fuel_EFs_StationaryGaseous[[#Headers],[Fuel combusted]],0)</f>
        <v>0.13</v>
      </c>
      <c r="K101" s="168"/>
      <c r="L101" s="168"/>
    </row>
    <row r="102" spans="4:13" ht="20" customHeight="1" x14ac:dyDescent="0.25">
      <c r="D102" s="220" t="str" cm="1">
        <f t="array" ref="D102">Common_InputFunctions.Utility_DisplayArrayInTable(Fuel_SourceData.Fuel_Scope1EmissionFactorsStationaryGaseous_Data(), Table_Fuel_EFs_StationaryGaseous[[#Headers],[Fuel combusted]],0)</f>
        <v>Hydrogen</v>
      </c>
      <c r="E102" s="220" cm="1">
        <f t="array" ref="E102">Common_InputFunctions.Utility_DisplayArrayInTable(Fuel_SourceData.Fuel_Scope1EmissionFactorsStationaryGaseous_Data(), Table_Fuel_EFs_StationaryGaseous[[#Headers],[Fuel combusted]],0)</f>
        <v>1.2200000000000001E-2</v>
      </c>
      <c r="F102" s="220" t="str" cm="1">
        <f t="array" ref="F102">Common_InputFunctions.Utility_DisplayArrayInTable(Fuel_SourceData.Fuel_Scope1EmissionFactorsStationaryGaseous_Data(), Table_Fuel_EFs_StationaryGaseous[[#Headers],[Fuel combusted]],0)</f>
        <v>m3</v>
      </c>
      <c r="G102" s="220" cm="1">
        <f t="array" ref="G102">Common_InputFunctions.Utility_DisplayArrayInTable(Fuel_SourceData.Fuel_Scope1EmissionFactorsStationaryGaseous_Data(), Table_Fuel_EFs_StationaryGaseous[[#Headers],[Fuel combusted]],0)</f>
        <v>0</v>
      </c>
      <c r="H102" s="220" cm="1">
        <f t="array" ref="H102">Common_InputFunctions.Utility_DisplayArrayInTable(Fuel_SourceData.Fuel_Scope1EmissionFactorsStationaryGaseous_Data(), Table_Fuel_EFs_StationaryGaseous[[#Headers],[Fuel combusted]],0)</f>
        <v>0</v>
      </c>
      <c r="I102" s="220" cm="1">
        <f t="array" ref="I102">Common_InputFunctions.Utility_DisplayArrayInTable(Fuel_SourceData.Fuel_Scope1EmissionFactorsStationaryGaseous_Data(), Table_Fuel_EFs_StationaryGaseous[[#Headers],[Fuel combusted]],0)</f>
        <v>0.5</v>
      </c>
      <c r="J102" s="220" cm="1">
        <f t="array" ref="J102">Common_InputFunctions.Utility_DisplayArrayInTable(Fuel_SourceData.Fuel_Scope1EmissionFactorsStationaryGaseous_Data(), Table_Fuel_EFs_StationaryGaseous[[#Headers],[Fuel combusted]],0)</f>
        <v>0.5</v>
      </c>
      <c r="K102" s="168"/>
      <c r="L102" s="168"/>
    </row>
    <row r="103" spans="4:13" ht="20" customHeight="1" x14ac:dyDescent="0.25">
      <c r="D103" s="220" t="str" cm="1">
        <f t="array" ref="D103">Common_InputFunctions.Utility_DisplayArrayInTable(Fuel_SourceData.Fuel_Scope1EmissionFactorsStationaryGaseous_Data(), Table_Fuel_EFs_StationaryGaseous[[#Headers],[Fuel combusted]],0)</f>
        <v>Natural gas distributed in a pipeline - Gigajoules</v>
      </c>
      <c r="E103" s="220" cm="1">
        <f t="array" ref="E103">Common_InputFunctions.Utility_DisplayArrayInTable(Fuel_SourceData.Fuel_Scope1EmissionFactorsStationaryGaseous_Data(), Table_Fuel_EFs_StationaryGaseous[[#Headers],[Fuel combusted]],0)</f>
        <v>1</v>
      </c>
      <c r="F103" s="220" t="str" cm="1">
        <f t="array" ref="F103">Common_InputFunctions.Utility_DisplayArrayInTable(Fuel_SourceData.Fuel_Scope1EmissionFactorsStationaryGaseous_Data(), Table_Fuel_EFs_StationaryGaseous[[#Headers],[Fuel combusted]],0)</f>
        <v>GJ</v>
      </c>
      <c r="G103" s="220" cm="1">
        <f t="array" ref="G103">Common_InputFunctions.Utility_DisplayArrayInTable(Fuel_SourceData.Fuel_Scope1EmissionFactorsStationaryGaseous_Data(), Table_Fuel_EFs_StationaryGaseous[[#Headers],[Fuel combusted]],0)</f>
        <v>51.4</v>
      </c>
      <c r="H103" s="220" cm="1">
        <f t="array" ref="H103">Common_InputFunctions.Utility_DisplayArrayInTable(Fuel_SourceData.Fuel_Scope1EmissionFactorsStationaryGaseous_Data(), Table_Fuel_EFs_StationaryGaseous[[#Headers],[Fuel combusted]],0)</f>
        <v>0.1</v>
      </c>
      <c r="I103" s="220" cm="1">
        <f t="array" ref="I103">Common_InputFunctions.Utility_DisplayArrayInTable(Fuel_SourceData.Fuel_Scope1EmissionFactorsStationaryGaseous_Data(), Table_Fuel_EFs_StationaryGaseous[[#Headers],[Fuel combusted]],0)</f>
        <v>0.03</v>
      </c>
      <c r="J103" s="220" cm="1">
        <f t="array" ref="J103">Common_InputFunctions.Utility_DisplayArrayInTable(Fuel_SourceData.Fuel_Scope1EmissionFactorsStationaryGaseous_Data(), Table_Fuel_EFs_StationaryGaseous[[#Headers],[Fuel combusted]],0)</f>
        <v>51.53</v>
      </c>
      <c r="K103" s="168"/>
      <c r="L103" s="168"/>
    </row>
    <row r="104" spans="4:13" ht="20" customHeight="1" x14ac:dyDescent="0.25">
      <c r="D104" s="220" t="str" cm="1">
        <f t="array" ref="D104">Common_InputFunctions.Utility_DisplayArrayInTable(Fuel_SourceData.Fuel_Scope1EmissionFactorsStationaryGaseous_Data(), Table_Fuel_EFs_StationaryGaseous[[#Headers],[Fuel combusted]],0)</f>
        <v>Town gas - Gigajoules</v>
      </c>
      <c r="E104" s="220" cm="1">
        <f t="array" ref="E104">Common_InputFunctions.Utility_DisplayArrayInTable(Fuel_SourceData.Fuel_Scope1EmissionFactorsStationaryGaseous_Data(), Table_Fuel_EFs_StationaryGaseous[[#Headers],[Fuel combusted]],0)</f>
        <v>1</v>
      </c>
      <c r="F104" s="220" t="str" cm="1">
        <f t="array" ref="F104">Common_InputFunctions.Utility_DisplayArrayInTable(Fuel_SourceData.Fuel_Scope1EmissionFactorsStationaryGaseous_Data(), Table_Fuel_EFs_StationaryGaseous[[#Headers],[Fuel combusted]],0)</f>
        <v>GJ</v>
      </c>
      <c r="G104" s="220" cm="1">
        <f t="array" ref="G104">Common_InputFunctions.Utility_DisplayArrayInTable(Fuel_SourceData.Fuel_Scope1EmissionFactorsStationaryGaseous_Data(), Table_Fuel_EFs_StationaryGaseous[[#Headers],[Fuel combusted]],0)</f>
        <v>60.2</v>
      </c>
      <c r="H104" s="220" cm="1">
        <f t="array" ref="H104">Common_InputFunctions.Utility_DisplayArrayInTable(Fuel_SourceData.Fuel_Scope1EmissionFactorsStationaryGaseous_Data(), Table_Fuel_EFs_StationaryGaseous[[#Headers],[Fuel combusted]],0)</f>
        <v>0.04</v>
      </c>
      <c r="I104" s="220" cm="1">
        <f t="array" ref="I104">Common_InputFunctions.Utility_DisplayArrayInTable(Fuel_SourceData.Fuel_Scope1EmissionFactorsStationaryGaseous_Data(), Table_Fuel_EFs_StationaryGaseous[[#Headers],[Fuel combusted]],0)</f>
        <v>0.03</v>
      </c>
      <c r="J104" s="220" cm="1">
        <f t="array" ref="J104">Common_InputFunctions.Utility_DisplayArrayInTable(Fuel_SourceData.Fuel_Scope1EmissionFactorsStationaryGaseous_Data(), Table_Fuel_EFs_StationaryGaseous[[#Headers],[Fuel combusted]],0)</f>
        <v>60.27</v>
      </c>
      <c r="K104" s="168"/>
      <c r="L104" s="168"/>
    </row>
    <row r="105" spans="4:13" ht="20" customHeight="1" x14ac:dyDescent="0.25">
      <c r="D105" s="168"/>
      <c r="E105" s="168"/>
      <c r="F105" s="168"/>
      <c r="G105" s="168"/>
      <c r="H105" s="168"/>
      <c r="I105" s="168"/>
      <c r="J105" s="168"/>
      <c r="K105" s="168"/>
      <c r="L105" s="168"/>
      <c r="M105" s="168"/>
    </row>
    <row r="106" spans="4:13" ht="20" customHeight="1" x14ac:dyDescent="0.25">
      <c r="D106" s="168"/>
      <c r="E106" s="168"/>
      <c r="F106" s="168"/>
      <c r="G106" s="168"/>
      <c r="H106" s="168"/>
      <c r="I106" s="168"/>
      <c r="J106" s="168"/>
      <c r="K106" s="168"/>
      <c r="L106" s="168"/>
      <c r="M106" s="168"/>
    </row>
    <row r="107" spans="4:13" ht="20" customHeight="1" x14ac:dyDescent="0.25">
      <c r="D107" s="2" t="str" cm="1">
        <f t="array" ref="D107">Fuel_SourceData.Fuel_Scope3EmissionFactorsStationaryGaseous_Title()</f>
        <v>Fuel scope 3 emission factors - Stationary gaseous fuels</v>
      </c>
      <c r="E107" s="168"/>
      <c r="F107" s="168"/>
      <c r="G107" s="168"/>
      <c r="H107" s="168"/>
      <c r="I107" s="168"/>
      <c r="J107" s="168"/>
      <c r="K107" s="168"/>
      <c r="L107" s="168"/>
    </row>
    <row r="108" spans="4:13" ht="20" customHeight="1" x14ac:dyDescent="0.25">
      <c r="D108" s="1" t="str" cm="1">
        <f t="array" ref="D108">Fuel_SourceData.Fuel_Scope3EmissionFactorsStationaryGaseous_Description()</f>
        <v>Indirect (Scope 3) emission factors for the consumption of natural gas.</v>
      </c>
      <c r="E108" s="168"/>
      <c r="F108" s="168"/>
      <c r="G108" s="168"/>
      <c r="H108" s="168"/>
      <c r="I108" s="168"/>
      <c r="J108" s="168"/>
      <c r="K108" s="168"/>
      <c r="L108" s="168"/>
    </row>
    <row r="109" spans="4:13" ht="20" customHeight="1" x14ac:dyDescent="0.25">
      <c r="D109" s="17" t="str" cm="1">
        <f t="array" ref="D109">Fuel_SourceData.Fuel_Scope3EmissionFactorsStationaryGaseous_Source()</f>
        <v>Australian National Greenhouse Accounts Factors 2025 - Table 6</v>
      </c>
      <c r="E109" s="168"/>
      <c r="F109" s="168"/>
      <c r="G109" s="168"/>
      <c r="H109" s="168"/>
      <c r="I109" s="168"/>
      <c r="J109" s="168"/>
      <c r="K109" s="168"/>
      <c r="L109" s="168"/>
    </row>
    <row r="110" spans="4:13" ht="20" customHeight="1" x14ac:dyDescent="0.25">
      <c r="D110" s="2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68"/>
      <c r="F110" s="168"/>
      <c r="G110" s="168"/>
      <c r="H110" s="168"/>
      <c r="I110" s="168"/>
      <c r="J110" s="168"/>
      <c r="K110" s="168"/>
      <c r="L110" s="168"/>
    </row>
    <row r="111" spans="4:13" ht="20" customHeight="1" x14ac:dyDescent="0.25">
      <c r="D111" s="168"/>
      <c r="E111" s="168"/>
      <c r="F111" s="168"/>
      <c r="G111" s="168"/>
      <c r="H111" s="168"/>
      <c r="I111" s="168"/>
      <c r="J111" s="168"/>
      <c r="K111" s="168"/>
      <c r="L111" s="168"/>
    </row>
    <row r="112" spans="4:13" ht="20" customHeight="1" x14ac:dyDescent="0.25">
      <c r="D112" s="186" t="s">
        <v>868</v>
      </c>
      <c r="E112" s="217" t="s">
        <v>803</v>
      </c>
      <c r="F112" s="217" t="s">
        <v>869</v>
      </c>
      <c r="G112" s="168"/>
      <c r="H112" s="77" t="s">
        <v>870</v>
      </c>
      <c r="I112" s="168"/>
      <c r="J112" s="168"/>
      <c r="K112" s="168"/>
      <c r="L112" s="168"/>
    </row>
    <row r="113" spans="4:13" ht="20" customHeight="1" x14ac:dyDescent="0.25">
      <c r="D113" s="221" t="str" cm="1">
        <f t="array" ref="D113">Common_InputFunctions.Utility_DisplayArrayInTable(Fuel_SourceData.Fuel_Scope3EmissionFactorsStationaryGaseous_Data(), Table_Fuel_EFs_StationaryGaseous34[[#Headers],[State or territory]],0)</f>
        <v>New South Wales</v>
      </c>
      <c r="E113" s="221" cm="1">
        <f t="array" ref="E113">Common_InputFunctions.Utility_DisplayArrayInTable(Fuel_SourceData.Fuel_Scope3EmissionFactorsStationaryGaseous_Data(), Table_Fuel_EFs_StationaryGaseous34[[#Headers],[State or territory]],0)</f>
        <v>13.1</v>
      </c>
      <c r="F113" s="221" cm="1">
        <f t="array" ref="F113">Common_InputFunctions.Utility_DisplayArrayInTable(Fuel_SourceData.Fuel_Scope3EmissionFactorsStationaryGaseous_Data(), Table_Fuel_EFs_StationaryGaseous34[[#Headers],[State or territory]],0)</f>
        <v>14</v>
      </c>
      <c r="G113" s="222"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68"/>
      <c r="J113" s="168"/>
      <c r="K113" s="168"/>
      <c r="L113" s="168"/>
    </row>
    <row r="114" spans="4:13" ht="20" customHeight="1" x14ac:dyDescent="0.25">
      <c r="D114" s="221" t="str" cm="1">
        <f t="array" ref="D114">Common_InputFunctions.Utility_DisplayArrayInTable(Fuel_SourceData.Fuel_Scope3EmissionFactorsStationaryGaseous_Data(), Table_Fuel_EFs_StationaryGaseous34[[#Headers],[State or territory]],0)</f>
        <v>ACT</v>
      </c>
      <c r="E114" s="221" cm="1">
        <f t="array" ref="E114">Common_InputFunctions.Utility_DisplayArrayInTable(Fuel_SourceData.Fuel_Scope3EmissionFactorsStationaryGaseous_Data(), Table_Fuel_EFs_StationaryGaseous34[[#Headers],[State or territory]],0)</f>
        <v>13.1</v>
      </c>
      <c r="F114" s="221" cm="1">
        <f t="array" ref="F114">Common_InputFunctions.Utility_DisplayArrayInTable(Fuel_SourceData.Fuel_Scope3EmissionFactorsStationaryGaseous_Data(), Table_Fuel_EFs_StationaryGaseous34[[#Headers],[State or territory]],0)</f>
        <v>14</v>
      </c>
      <c r="G114" s="222" t="str">
        <v/>
      </c>
      <c r="H114" s="1" t="str">
        <v>Gas reaches end users either from the metro distribution networks or direct from the high - pressure distribution pipelines.</v>
      </c>
      <c r="I114" s="168"/>
      <c r="J114" s="168"/>
      <c r="K114" s="168"/>
      <c r="L114" s="168"/>
    </row>
    <row r="115" spans="4:13" ht="20" customHeight="1" x14ac:dyDescent="0.25">
      <c r="D115" s="221" t="str" cm="1">
        <f t="array" ref="D115">Common_InputFunctions.Utility_DisplayArrayInTable(Fuel_SourceData.Fuel_Scope3EmissionFactorsStationaryGaseous_Data(), Table_Fuel_EFs_StationaryGaseous34[[#Headers],[State or territory]],0)</f>
        <v>Victoria</v>
      </c>
      <c r="E115" s="221" cm="1">
        <f t="array" ref="E115">Common_InputFunctions.Utility_DisplayArrayInTable(Fuel_SourceData.Fuel_Scope3EmissionFactorsStationaryGaseous_Data(), Table_Fuel_EFs_StationaryGaseous34[[#Headers],[State or territory]],0)</f>
        <v>4</v>
      </c>
      <c r="F115" s="221" cm="1">
        <f t="array" ref="F115">Common_InputFunctions.Utility_DisplayArrayInTable(Fuel_SourceData.Fuel_Scope3EmissionFactorsStationaryGaseous_Data(), Table_Fuel_EFs_StationaryGaseous34[[#Headers],[State or territory]],0)</f>
        <v>4</v>
      </c>
      <c r="G115" s="222" t="str">
        <v/>
      </c>
      <c r="H115" s="1" t="str">
        <v>Households and commercial users tend to be served by the former, and electricity generators and large industrial plants from the latter.</v>
      </c>
      <c r="I115" s="168"/>
      <c r="J115" s="168"/>
      <c r="K115" s="168"/>
      <c r="L115" s="168"/>
    </row>
    <row r="116" spans="4:13" ht="20" customHeight="1" x14ac:dyDescent="0.25">
      <c r="D116" s="221" t="str" cm="1">
        <f t="array" ref="D116">Common_InputFunctions.Utility_DisplayArrayInTable(Fuel_SourceData.Fuel_Scope3EmissionFactorsStationaryGaseous_Data(), Table_Fuel_EFs_StationaryGaseous34[[#Headers],[State or territory]],0)</f>
        <v>Queensland</v>
      </c>
      <c r="E116" s="221" cm="1">
        <f t="array" ref="E116">Common_InputFunctions.Utility_DisplayArrayInTable(Fuel_SourceData.Fuel_Scope3EmissionFactorsStationaryGaseous_Data(), Table_Fuel_EFs_StationaryGaseous34[[#Headers],[State or territory]],0)</f>
        <v>8.8000000000000007</v>
      </c>
      <c r="F116" s="221" cm="1">
        <f t="array" ref="F116">Common_InputFunctions.Utility_DisplayArrayInTable(Fuel_SourceData.Fuel_Scope3EmissionFactorsStationaryGaseous_Data(), Table_Fuel_EFs_StationaryGaseous34[[#Headers],[State or territory]],0)</f>
        <v>7.9</v>
      </c>
      <c r="G116" s="222" t="str">
        <v>-</v>
      </c>
      <c r="H116" s="1" t="str">
        <v>Metro is defined as located on or east of the dividing range in NSW, including Canberra and Queanbeyan, Melbourne, Brisbane, Adelaide or Perth.</v>
      </c>
      <c r="I116" s="168"/>
      <c r="J116" s="168"/>
      <c r="K116" s="168"/>
      <c r="L116" s="168"/>
    </row>
    <row r="117" spans="4:13" ht="20" customHeight="1" x14ac:dyDescent="0.25">
      <c r="D117" s="221" t="str" cm="1">
        <f t="array" ref="D117">Common_InputFunctions.Utility_DisplayArrayInTable(Fuel_SourceData.Fuel_Scope3EmissionFactorsStationaryGaseous_Data(), Table_Fuel_EFs_StationaryGaseous34[[#Headers],[State or territory]],0)</f>
        <v>South Australia</v>
      </c>
      <c r="E117" s="221" cm="1">
        <f t="array" ref="E117">Common_InputFunctions.Utility_DisplayArrayInTable(Fuel_SourceData.Fuel_Scope3EmissionFactorsStationaryGaseous_Data(), Table_Fuel_EFs_StationaryGaseous34[[#Headers],[State or territory]],0)</f>
        <v>10.7</v>
      </c>
      <c r="F117" s="221" cm="1">
        <f t="array" ref="F117">Common_InputFunctions.Utility_DisplayArrayInTable(Fuel_SourceData.Fuel_Scope3EmissionFactorsStationaryGaseous_Data(), Table_Fuel_EFs_StationaryGaseous34[[#Headers],[State or territory]],0)</f>
        <v>10.6</v>
      </c>
      <c r="G117" s="222" t="str">
        <v/>
      </c>
      <c r="H117" s="1" t="str">
        <v>Otherwise, the non - metro factor should be used.</v>
      </c>
      <c r="I117" s="168"/>
      <c r="J117" s="168"/>
      <c r="K117" s="168"/>
      <c r="L117" s="168"/>
    </row>
    <row r="118" spans="4:13" ht="20" customHeight="1" x14ac:dyDescent="0.25">
      <c r="D118" s="221" t="str" cm="1">
        <f t="array" ref="D118">Common_InputFunctions.Utility_DisplayArrayInTable(Fuel_SourceData.Fuel_Scope3EmissionFactorsStationaryGaseous_Data(), Table_Fuel_EFs_StationaryGaseous34[[#Headers],[State or territory]],0)</f>
        <v>Western Australia</v>
      </c>
      <c r="E118" s="221" cm="1">
        <f t="array" ref="E118">Common_InputFunctions.Utility_DisplayArrayInTable(Fuel_SourceData.Fuel_Scope3EmissionFactorsStationaryGaseous_Data(), Table_Fuel_EFs_StationaryGaseous34[[#Headers],[State or territory]],0)</f>
        <v>4.0999999999999996</v>
      </c>
      <c r="F118" s="221" cm="1">
        <f t="array" ref="F118">Common_InputFunctions.Utility_DisplayArrayInTable(Fuel_SourceData.Fuel_Scope3EmissionFactorsStationaryGaseous_Data(), Table_Fuel_EFs_StationaryGaseous34[[#Headers],[State or territory]],0)</f>
        <v>4</v>
      </c>
      <c r="G118" s="222" t="str">
        <v>-</v>
      </c>
      <c r="H118" s="1" t="str">
        <v>Factors are calculated for all natural gas distributed in a pipeline which may include coal seam methane.</v>
      </c>
      <c r="I118" s="168"/>
      <c r="J118" s="168"/>
      <c r="K118" s="168"/>
      <c r="L118" s="168"/>
    </row>
    <row r="119" spans="4:13" ht="20" customHeight="1" x14ac:dyDescent="0.25">
      <c r="D119" s="221" t="str" cm="1">
        <f t="array" ref="D119">Common_InputFunctions.Utility_DisplayArrayInTable(Fuel_SourceData.Fuel_Scope3EmissionFactorsStationaryGaseous_Data(), Table_Fuel_EFs_StationaryGaseous34[[#Headers],[State or territory]],0)</f>
        <v>Tasmania</v>
      </c>
      <c r="E119" s="221" cm="1">
        <f t="array" ref="E119">Common_InputFunctions.Utility_DisplayArrayInTable(Fuel_SourceData.Fuel_Scope3EmissionFactorsStationaryGaseous_Data(), Table_Fuel_EFs_StationaryGaseous34[[#Headers],[State or territory]],0)</f>
        <v>4</v>
      </c>
      <c r="F119" s="221" cm="1">
        <f t="array" ref="F119">Common_InputFunctions.Utility_DisplayArrayInTable(Fuel_SourceData.Fuel_Scope3EmissionFactorsStationaryGaseous_Data(), Table_Fuel_EFs_StationaryGaseous34[[#Headers],[State or territory]],0)</f>
        <v>4</v>
      </c>
      <c r="G119" s="222" t="str">
        <v>-</v>
      </c>
      <c r="H119" s="1" t="str">
        <v>Table 6 is not applicable to ethane. See Table 7 Indirect (Scope 3) emissions from the consumption of ethane.</v>
      </c>
      <c r="I119" s="168"/>
      <c r="J119" s="168"/>
      <c r="K119" s="168"/>
      <c r="L119" s="168"/>
    </row>
    <row r="120" spans="4:13" ht="20" customHeight="1" x14ac:dyDescent="0.25">
      <c r="D120" s="221" t="str" cm="1">
        <f t="array" ref="D120">Common_InputFunctions.Utility_DisplayArrayInTable(Fuel_SourceData.Fuel_Scope3EmissionFactorsStationaryGaseous_Data(), Table_Fuel_EFs_StationaryGaseous34[[#Headers],[State or territory]],0)</f>
        <v>Northern Territory</v>
      </c>
      <c r="E120" s="221" cm="1">
        <f t="array" ref="E120">Common_InputFunctions.Utility_DisplayArrayInTable(Fuel_SourceData.Fuel_Scope3EmissionFactorsStationaryGaseous_Data(), Table_Fuel_EFs_StationaryGaseous34[[#Headers],[State or territory]],0)</f>
        <v>4.0999999999999996</v>
      </c>
      <c r="F120" s="221" cm="1">
        <f t="array" ref="F120">Common_InputFunctions.Utility_DisplayArrayInTable(Fuel_SourceData.Fuel_Scope3EmissionFactorsStationaryGaseous_Data(), Table_Fuel_EFs_StationaryGaseous34[[#Headers],[State or territory]],0)</f>
        <v>4</v>
      </c>
      <c r="G120" s="222" t="str">
        <v>-</v>
      </c>
      <c r="H120" s="1" t="str">
        <v>C = Confidential. Scope 3 emission factors for Tasmania and the Northern Territory are not available due to confidentiality constraints that arise</v>
      </c>
      <c r="I120" s="168"/>
      <c r="J120" s="168"/>
      <c r="K120" s="168"/>
      <c r="L120" s="168"/>
    </row>
    <row r="121" spans="4:13" ht="20" customHeight="1" x14ac:dyDescent="0.25">
      <c r="D121" s="8"/>
      <c r="E121" s="8"/>
      <c r="F121" s="8"/>
      <c r="G121" s="222" t="str">
        <v/>
      </c>
      <c r="H121" s="1" t="str">
        <v>from the use of a limited number of NGER data inputs. It is suggested that for Tasmania the use of the Victorian emission factors is appropriate,</v>
      </c>
      <c r="I121" s="168"/>
      <c r="J121" s="168"/>
      <c r="K121" s="168"/>
      <c r="L121" s="168"/>
    </row>
    <row r="122" spans="4:13" ht="20" customHeight="1" x14ac:dyDescent="0.25">
      <c r="D122" s="168"/>
      <c r="F122" s="223"/>
      <c r="G122" s="222" t="str">
        <v/>
      </c>
      <c r="H122" s="1" t="str">
        <v>while for Northern Territory the use of the Western Australian emission factors is appropriate.</v>
      </c>
      <c r="I122" s="168"/>
      <c r="J122" s="168"/>
      <c r="K122" s="168"/>
      <c r="L122" s="168"/>
    </row>
    <row r="123" spans="4:13" ht="20" customHeight="1" x14ac:dyDescent="0.25">
      <c r="D123" s="224"/>
      <c r="F123" s="223"/>
      <c r="G123" s="222" t="str">
        <v>-</v>
      </c>
      <c r="H123" s="1" t="str">
        <v>Scope 3 emission factors do not include fugitive emission leakage from low pressure natural gas distribution pipeline networks while those from high pressure</v>
      </c>
      <c r="I123" s="168"/>
      <c r="J123" s="168"/>
      <c r="K123" s="168"/>
      <c r="L123" s="168"/>
    </row>
    <row r="124" spans="4:13" ht="20" customHeight="1" x14ac:dyDescent="0.25">
      <c r="D124" s="224"/>
      <c r="F124" s="223"/>
      <c r="G124" s="168" t="str">
        <v/>
      </c>
      <c r="H124" s="1" t="str">
        <v>gas networks are considered negligible.</v>
      </c>
      <c r="I124" s="168"/>
      <c r="J124" s="168"/>
      <c r="K124" s="168"/>
      <c r="L124" s="168"/>
    </row>
    <row r="125" spans="4:13" ht="20" customHeight="1" x14ac:dyDescent="0.25">
      <c r="D125" s="224"/>
      <c r="F125" s="223"/>
      <c r="G125" s="168"/>
      <c r="H125" s="168"/>
      <c r="I125" s="168"/>
      <c r="J125" s="168"/>
      <c r="K125" s="168"/>
      <c r="L125" s="168"/>
    </row>
    <row r="126" spans="4:13" ht="20" customHeight="1" x14ac:dyDescent="0.25">
      <c r="D126" s="168"/>
      <c r="E126" s="168"/>
      <c r="F126" s="168"/>
      <c r="G126" s="168"/>
      <c r="H126" s="168"/>
      <c r="I126" s="168"/>
      <c r="J126" s="168"/>
      <c r="K126" s="168"/>
      <c r="L126" s="168"/>
      <c r="M126" s="168"/>
    </row>
    <row r="127" spans="4:13" ht="20" customHeight="1" x14ac:dyDescent="0.25">
      <c r="D127" s="168"/>
      <c r="E127" s="168"/>
      <c r="F127" s="168"/>
      <c r="G127" s="168"/>
      <c r="H127" s="168"/>
      <c r="I127" s="168"/>
      <c r="J127" s="168"/>
      <c r="K127" s="168"/>
      <c r="L127" s="168"/>
      <c r="M127" s="168"/>
    </row>
    <row r="128" spans="4:13" ht="20" customHeight="1" x14ac:dyDescent="0.25">
      <c r="D128" s="168"/>
      <c r="E128" s="168"/>
      <c r="F128" s="168"/>
      <c r="G128" s="168"/>
      <c r="H128" s="168"/>
      <c r="I128" s="168"/>
      <c r="J128" s="168"/>
      <c r="K128" s="168"/>
      <c r="L128" s="168"/>
      <c r="M128" s="168"/>
    </row>
    <row r="129" spans="4:33" ht="20" customHeight="1" x14ac:dyDescent="0.25">
      <c r="D129" s="225"/>
      <c r="E129" s="168"/>
      <c r="F129" s="168"/>
      <c r="G129" s="168"/>
      <c r="H129" s="168"/>
      <c r="I129" s="168"/>
      <c r="J129" s="168"/>
      <c r="K129" s="168"/>
      <c r="L129" s="168"/>
    </row>
    <row r="130" spans="4:33" ht="20" customHeight="1" x14ac:dyDescent="0.25">
      <c r="D130" s="226" t="s">
        <v>871</v>
      </c>
      <c r="E130" s="226" t="s">
        <v>812</v>
      </c>
      <c r="F130" s="226" t="s">
        <v>872</v>
      </c>
      <c r="G130" s="226" t="s">
        <v>815</v>
      </c>
      <c r="H130" s="226" t="s">
        <v>817</v>
      </c>
      <c r="I130" s="226" t="s">
        <v>818</v>
      </c>
      <c r="J130" s="168"/>
      <c r="K130" s="168"/>
      <c r="L130" s="168"/>
    </row>
    <row r="131" spans="4:33" ht="20" customHeight="1" x14ac:dyDescent="0.25">
      <c r="D131" s="227" t="str">
        <f>$D$143</f>
        <v>Petrol</v>
      </c>
      <c r="E131" s="227" t="str">
        <f>$D$143</f>
        <v>Petrol</v>
      </c>
      <c r="F131" s="227" t="str">
        <f>$D$150</f>
        <v>Avgas</v>
      </c>
      <c r="G131" s="227" t="str">
        <f>$D$143</f>
        <v>Petrol</v>
      </c>
      <c r="H131" s="227" t="str">
        <f>$D$144</f>
        <v>Diesel</v>
      </c>
      <c r="I131" s="227" t="str">
        <f>$D$143</f>
        <v>Petrol</v>
      </c>
      <c r="J131" s="168"/>
      <c r="K131" s="168"/>
      <c r="L131" s="168"/>
    </row>
    <row r="132" spans="4:33" ht="20" customHeight="1" x14ac:dyDescent="0.25">
      <c r="D132" s="227" t="str">
        <f>$D$144</f>
        <v>Diesel</v>
      </c>
      <c r="E132" s="227" t="str">
        <f>$D$144</f>
        <v>Diesel</v>
      </c>
      <c r="F132" s="227" t="str">
        <f>$D$151</f>
        <v>Jet A1, Jet B</v>
      </c>
      <c r="G132" s="227" t="str">
        <f>$D$144</f>
        <v>Diesel</v>
      </c>
      <c r="H132" s="227"/>
      <c r="I132" s="227" t="str">
        <f>$D$144</f>
        <v>Diesel</v>
      </c>
      <c r="J132" s="168"/>
      <c r="K132" s="168"/>
      <c r="L132" s="168"/>
    </row>
    <row r="133" spans="4:33" ht="20" customHeight="1" x14ac:dyDescent="0.25">
      <c r="D133" s="227" t="str">
        <f>$D$145</f>
        <v>Liquefied petroleum gas (LPG)</v>
      </c>
      <c r="E133" s="227" t="str">
        <f>$D$145</f>
        <v>Liquefied petroleum gas (LPG)</v>
      </c>
      <c r="F133" s="227" t="str">
        <f>$D$152</f>
        <v>Renewable aviation kerosene</v>
      </c>
      <c r="G133" s="227" t="str">
        <f>$D$145</f>
        <v>Liquefied petroleum gas (LPG)</v>
      </c>
      <c r="H133" s="227"/>
      <c r="I133" s="227" t="s">
        <v>819</v>
      </c>
      <c r="J133" s="168"/>
      <c r="K133" s="168"/>
      <c r="L133" s="168"/>
    </row>
    <row r="134" spans="4:33" ht="20" customHeight="1" x14ac:dyDescent="0.25">
      <c r="D134" s="227" t="str">
        <f>$D$146</f>
        <v>Biodiesel</v>
      </c>
      <c r="E134" s="227" t="str">
        <f>$D$146</f>
        <v>Biodiesel</v>
      </c>
      <c r="F134" s="226"/>
      <c r="G134" s="227" t="str">
        <f>$D$160</f>
        <v>Fuel oil</v>
      </c>
      <c r="H134" s="227"/>
      <c r="I134" s="227"/>
      <c r="J134" s="168"/>
      <c r="K134" s="168"/>
      <c r="L134" s="168"/>
    </row>
    <row r="135" spans="4:33" ht="20" customHeight="1" x14ac:dyDescent="0.25">
      <c r="D135" s="227" t="str">
        <f>$D$147</f>
        <v>Ethanol</v>
      </c>
      <c r="E135" s="227" t="str">
        <f>$D$147</f>
        <v>Ethanol</v>
      </c>
      <c r="F135" s="226"/>
      <c r="G135" s="227" t="str">
        <f>$D$147</f>
        <v>Ethanol</v>
      </c>
      <c r="H135" s="227"/>
      <c r="I135" s="227"/>
      <c r="J135" s="168"/>
      <c r="K135" s="168"/>
      <c r="L135" s="168"/>
    </row>
    <row r="136" spans="4:33" ht="20" customHeight="1" x14ac:dyDescent="0.25">
      <c r="D136" s="227" t="str">
        <f>$D$148</f>
        <v>Other biofuels</v>
      </c>
      <c r="E136" s="227" t="str">
        <f>$D$148</f>
        <v>Other biofuels</v>
      </c>
      <c r="F136" s="226"/>
      <c r="G136" s="227" t="str">
        <f>$D$146</f>
        <v>Biodiesel</v>
      </c>
      <c r="H136" s="227"/>
      <c r="I136" s="227"/>
      <c r="J136" s="168"/>
      <c r="K136" s="168"/>
      <c r="L136" s="168"/>
    </row>
    <row r="137" spans="4:33" ht="20" customHeight="1" x14ac:dyDescent="0.25">
      <c r="D137" s="227" t="str">
        <f>$D$149</f>
        <v>Renewable diesel</v>
      </c>
      <c r="E137" s="227" t="str">
        <f>$D$149</f>
        <v>Renewable diesel</v>
      </c>
      <c r="F137" s="226"/>
      <c r="G137" s="227" t="str">
        <f>$D$149</f>
        <v>Renewable diesel</v>
      </c>
      <c r="H137" s="227"/>
      <c r="I137" s="227"/>
      <c r="J137" s="168"/>
      <c r="K137" s="168"/>
      <c r="L137" s="168"/>
    </row>
    <row r="138" spans="4:33" ht="20" customHeight="1" x14ac:dyDescent="0.25">
      <c r="D138" s="226"/>
      <c r="E138" s="228" t="str">
        <f>$D$161</f>
        <v>Natural gas (via pipeline) in GJ</v>
      </c>
      <c r="F138" s="228"/>
      <c r="G138" s="227" t="str">
        <f>$D$148</f>
        <v>Other biofuels</v>
      </c>
      <c r="H138" s="227"/>
      <c r="I138" s="227"/>
      <c r="J138" s="168"/>
      <c r="K138" s="168"/>
      <c r="L138" s="168"/>
    </row>
    <row r="139" spans="4:33" ht="20" customHeight="1" x14ac:dyDescent="0.25">
      <c r="D139" s="228"/>
      <c r="E139" s="228" t="str">
        <f>$D$162</f>
        <v>Town gas in GJ</v>
      </c>
      <c r="F139" s="228"/>
      <c r="G139" s="228"/>
      <c r="H139" s="228"/>
      <c r="I139" s="228"/>
      <c r="J139" s="168"/>
      <c r="K139" s="168"/>
      <c r="L139" s="168"/>
    </row>
    <row r="140" spans="4:33" ht="20" customHeight="1" x14ac:dyDescent="0.25">
      <c r="D140" s="168"/>
      <c r="E140" s="168"/>
      <c r="F140" s="168"/>
      <c r="G140" s="168"/>
      <c r="H140" s="168"/>
      <c r="I140" s="168"/>
      <c r="J140" s="168"/>
      <c r="K140" s="168"/>
      <c r="L140" s="168"/>
    </row>
    <row r="141" spans="4:33" ht="20" customHeight="1" x14ac:dyDescent="0.25">
      <c r="D141" s="168"/>
      <c r="E141" s="168"/>
      <c r="F141" s="168"/>
      <c r="G141" s="168"/>
      <c r="H141" s="168"/>
      <c r="I141" s="168"/>
      <c r="J141" s="168"/>
      <c r="K141" s="168"/>
      <c r="L141" s="168"/>
    </row>
    <row r="142" spans="4:33" ht="20" customHeight="1" x14ac:dyDescent="0.25">
      <c r="D142" t="s">
        <v>873</v>
      </c>
      <c r="E142" t="s">
        <v>121</v>
      </c>
      <c r="F142" t="s">
        <v>874</v>
      </c>
      <c r="G142" s="168"/>
      <c r="H142" s="168"/>
      <c r="I142" s="168"/>
      <c r="J142" s="168"/>
      <c r="K142" s="168"/>
      <c r="L142" s="168"/>
      <c r="M142" s="168"/>
      <c r="AG142" s="1"/>
    </row>
    <row r="143" spans="4:33" ht="20" customHeight="1" x14ac:dyDescent="0.25">
      <c r="D143" s="227" t="s">
        <v>814</v>
      </c>
      <c r="E143" t="s">
        <v>875</v>
      </c>
      <c r="F143" t="s">
        <v>876</v>
      </c>
      <c r="G143" s="168"/>
      <c r="H143" s="168"/>
      <c r="I143" s="168"/>
      <c r="J143" s="168"/>
      <c r="K143" s="168"/>
      <c r="L143" s="168"/>
      <c r="M143" s="168"/>
      <c r="AG143" s="1"/>
    </row>
    <row r="144" spans="4:33" ht="20" customHeight="1" x14ac:dyDescent="0.25">
      <c r="D144" s="227" t="s">
        <v>816</v>
      </c>
      <c r="E144" t="s">
        <v>875</v>
      </c>
      <c r="F144" t="s">
        <v>876</v>
      </c>
      <c r="G144" s="168"/>
      <c r="H144" s="168"/>
      <c r="I144" s="168"/>
      <c r="J144" s="168"/>
      <c r="K144" s="168"/>
      <c r="L144" s="168"/>
      <c r="M144" s="168"/>
      <c r="AG144" s="1"/>
    </row>
    <row r="145" spans="4:33" ht="20" customHeight="1" x14ac:dyDescent="0.25">
      <c r="D145" s="227" t="s">
        <v>877</v>
      </c>
      <c r="E145" t="s">
        <v>875</v>
      </c>
      <c r="F145" t="s">
        <v>876</v>
      </c>
      <c r="G145" s="168"/>
      <c r="H145" s="168"/>
      <c r="I145" s="168"/>
      <c r="J145" s="168"/>
      <c r="K145" s="168"/>
      <c r="L145" s="168"/>
      <c r="M145" s="168"/>
      <c r="AG145" s="1"/>
    </row>
    <row r="146" spans="4:33" ht="20" customHeight="1" x14ac:dyDescent="0.25">
      <c r="D146" s="227" t="s">
        <v>878</v>
      </c>
      <c r="E146" t="s">
        <v>875</v>
      </c>
      <c r="F146" t="s">
        <v>876</v>
      </c>
      <c r="G146" s="168"/>
      <c r="H146" s="168"/>
      <c r="I146" s="168"/>
      <c r="J146" s="168"/>
      <c r="K146" s="168"/>
      <c r="L146" s="168"/>
      <c r="M146" s="168"/>
      <c r="AG146" s="1"/>
    </row>
    <row r="147" spans="4:33" ht="20" customHeight="1" x14ac:dyDescent="0.25">
      <c r="D147" s="227" t="s">
        <v>879</v>
      </c>
      <c r="E147" t="s">
        <v>875</v>
      </c>
      <c r="F147" t="s">
        <v>876</v>
      </c>
      <c r="G147" s="168"/>
      <c r="H147" s="168"/>
      <c r="I147" s="168"/>
      <c r="J147" s="168"/>
      <c r="K147" s="168"/>
      <c r="L147" s="168"/>
      <c r="M147" s="168"/>
      <c r="AG147" s="1"/>
    </row>
    <row r="148" spans="4:33" ht="20" customHeight="1" x14ac:dyDescent="0.25">
      <c r="D148" s="227" t="s">
        <v>880</v>
      </c>
      <c r="E148" t="s">
        <v>875</v>
      </c>
      <c r="F148" t="s">
        <v>876</v>
      </c>
      <c r="G148" s="168"/>
      <c r="H148" s="168"/>
      <c r="I148" s="168"/>
      <c r="J148" s="168"/>
      <c r="K148" s="168"/>
      <c r="L148" s="168"/>
      <c r="M148" s="168"/>
      <c r="AG148" s="1"/>
    </row>
    <row r="149" spans="4:33" ht="20" customHeight="1" x14ac:dyDescent="0.25">
      <c r="D149" s="227" t="s">
        <v>881</v>
      </c>
      <c r="E149" t="s">
        <v>875</v>
      </c>
      <c r="F149" t="s">
        <v>876</v>
      </c>
      <c r="G149" s="168"/>
      <c r="H149" s="168"/>
      <c r="I149" s="168"/>
      <c r="J149" s="168"/>
      <c r="K149" s="168"/>
      <c r="L149" s="168"/>
      <c r="M149" s="168"/>
      <c r="AG149" s="1"/>
    </row>
    <row r="150" spans="4:33" ht="20" customHeight="1" x14ac:dyDescent="0.25">
      <c r="D150" s="227" t="s">
        <v>882</v>
      </c>
      <c r="E150" t="s">
        <v>875</v>
      </c>
      <c r="F150" t="s">
        <v>876</v>
      </c>
      <c r="G150" s="168"/>
      <c r="H150" s="168"/>
      <c r="I150" s="168"/>
      <c r="J150" s="168"/>
      <c r="K150" s="168"/>
      <c r="L150" s="168"/>
      <c r="M150" s="168"/>
      <c r="AG150" s="1"/>
    </row>
    <row r="151" spans="4:33" ht="20" customHeight="1" x14ac:dyDescent="0.25">
      <c r="D151" s="227" t="s">
        <v>883</v>
      </c>
      <c r="E151" t="s">
        <v>875</v>
      </c>
      <c r="F151" t="s">
        <v>876</v>
      </c>
      <c r="G151" s="168"/>
      <c r="H151" s="168"/>
      <c r="I151" s="168"/>
      <c r="J151" s="168"/>
      <c r="K151" s="168"/>
      <c r="L151" s="168"/>
      <c r="M151" s="168"/>
      <c r="AG151" s="1"/>
    </row>
    <row r="152" spans="4:33" ht="20" customHeight="1" x14ac:dyDescent="0.25">
      <c r="D152" s="229" t="s">
        <v>884</v>
      </c>
      <c r="E152" s="8" t="s">
        <v>875</v>
      </c>
      <c r="F152" t="s">
        <v>876</v>
      </c>
      <c r="G152" s="168"/>
      <c r="H152" s="168"/>
      <c r="I152" s="168"/>
      <c r="J152" s="168"/>
      <c r="K152" s="168"/>
      <c r="L152" s="168"/>
      <c r="M152" s="168"/>
      <c r="AG152" s="1"/>
    </row>
    <row r="153" spans="4:33" ht="20" customHeight="1" x14ac:dyDescent="0.25">
      <c r="D153" s="229" t="s">
        <v>885</v>
      </c>
      <c r="E153" s="8" t="s">
        <v>875</v>
      </c>
      <c r="F153" t="s">
        <v>876</v>
      </c>
      <c r="G153" s="168"/>
      <c r="H153" s="168"/>
      <c r="I153" s="168"/>
      <c r="J153" s="168"/>
      <c r="K153" s="168"/>
      <c r="L153" s="168"/>
      <c r="M153" s="168"/>
      <c r="AG153" s="1"/>
    </row>
    <row r="154" spans="4:33" ht="20" customHeight="1" x14ac:dyDescent="0.25">
      <c r="D154" s="229" t="s">
        <v>886</v>
      </c>
      <c r="E154" s="8" t="s">
        <v>875</v>
      </c>
      <c r="F154" t="s">
        <v>876</v>
      </c>
      <c r="G154" s="168"/>
      <c r="H154" s="168"/>
      <c r="I154" s="168"/>
      <c r="J154" s="168"/>
      <c r="K154" s="168"/>
      <c r="L154" s="168"/>
      <c r="M154" s="168"/>
      <c r="AG154" s="1"/>
    </row>
    <row r="155" spans="4:33" ht="20" customHeight="1" x14ac:dyDescent="0.25">
      <c r="D155" s="229" t="s">
        <v>887</v>
      </c>
      <c r="E155" s="8" t="s">
        <v>875</v>
      </c>
      <c r="F155" t="s">
        <v>876</v>
      </c>
      <c r="G155" s="168"/>
      <c r="H155" s="168"/>
      <c r="I155" s="168"/>
      <c r="J155" s="168"/>
      <c r="K155" s="168"/>
      <c r="L155" s="168"/>
      <c r="M155" s="168"/>
      <c r="AG155" s="1"/>
    </row>
    <row r="156" spans="4:33" ht="20" customHeight="1" x14ac:dyDescent="0.25">
      <c r="D156" s="229" t="s">
        <v>888</v>
      </c>
      <c r="E156" s="8" t="s">
        <v>875</v>
      </c>
      <c r="F156" t="s">
        <v>876</v>
      </c>
      <c r="G156" s="168"/>
      <c r="H156" s="168"/>
      <c r="I156" s="168"/>
      <c r="J156" s="168"/>
      <c r="K156" s="168"/>
      <c r="L156" s="168"/>
      <c r="M156" s="168"/>
      <c r="AG156" s="1"/>
    </row>
    <row r="157" spans="4:33" ht="20" customHeight="1" x14ac:dyDescent="0.25">
      <c r="D157" s="229" t="s">
        <v>889</v>
      </c>
      <c r="E157" s="8" t="s">
        <v>875</v>
      </c>
      <c r="F157" t="s">
        <v>876</v>
      </c>
      <c r="G157" s="168"/>
      <c r="H157" s="168"/>
      <c r="I157" s="168"/>
      <c r="J157" s="168"/>
      <c r="K157" s="168"/>
      <c r="L157" s="168"/>
      <c r="M157" s="168"/>
      <c r="AG157" s="1"/>
    </row>
    <row r="158" spans="4:33" ht="20" customHeight="1" x14ac:dyDescent="0.25">
      <c r="D158" s="229" t="s">
        <v>890</v>
      </c>
      <c r="E158" s="8" t="s">
        <v>875</v>
      </c>
      <c r="F158" t="s">
        <v>876</v>
      </c>
      <c r="G158" s="168"/>
      <c r="H158" s="168"/>
      <c r="I158" s="168"/>
      <c r="J158" s="168"/>
      <c r="K158" s="168"/>
      <c r="L158" s="168"/>
      <c r="M158" s="168"/>
      <c r="AG158" s="1"/>
    </row>
    <row r="159" spans="4:33" ht="20" customHeight="1" x14ac:dyDescent="0.25">
      <c r="D159" s="229" t="s">
        <v>891</v>
      </c>
      <c r="E159" s="8" t="s">
        <v>875</v>
      </c>
      <c r="F159" t="s">
        <v>876</v>
      </c>
      <c r="G159" s="168"/>
      <c r="H159" s="168"/>
      <c r="I159" s="168"/>
      <c r="J159" s="168"/>
      <c r="K159" s="168"/>
      <c r="L159" s="168"/>
      <c r="M159" s="168"/>
      <c r="AG159" s="1"/>
    </row>
    <row r="160" spans="4:33" ht="20" customHeight="1" x14ac:dyDescent="0.25">
      <c r="D160" s="229" t="s">
        <v>819</v>
      </c>
      <c r="E160" s="8" t="s">
        <v>875</v>
      </c>
      <c r="F160" t="s">
        <v>876</v>
      </c>
      <c r="G160" s="168"/>
      <c r="H160" s="168"/>
      <c r="I160" s="168"/>
      <c r="J160" s="168"/>
      <c r="K160" s="168"/>
      <c r="L160" s="168"/>
      <c r="M160" s="168"/>
      <c r="AG160" s="1"/>
    </row>
    <row r="161" spans="4:33" ht="20" customHeight="1" x14ac:dyDescent="0.25">
      <c r="D161" s="228" t="s">
        <v>892</v>
      </c>
      <c r="E161" s="168" t="s">
        <v>893</v>
      </c>
      <c r="F161" s="168" t="s">
        <v>893</v>
      </c>
      <c r="G161" s="168"/>
      <c r="H161" s="168"/>
      <c r="I161" s="168"/>
      <c r="J161" s="168"/>
      <c r="K161" s="168"/>
      <c r="L161" s="168"/>
      <c r="M161" s="168"/>
      <c r="AG161" s="1"/>
    </row>
    <row r="162" spans="4:33" ht="20" customHeight="1" x14ac:dyDescent="0.25">
      <c r="D162" s="168" t="s">
        <v>813</v>
      </c>
      <c r="E162" s="168" t="s">
        <v>893</v>
      </c>
      <c r="F162" s="168" t="s">
        <v>893</v>
      </c>
      <c r="G162" s="168"/>
      <c r="H162" s="168"/>
      <c r="I162" s="168"/>
      <c r="J162" s="168"/>
      <c r="K162" s="168"/>
      <c r="L162" s="168"/>
      <c r="M162" s="168"/>
      <c r="AG162" s="1"/>
    </row>
    <row r="163" spans="4:33" ht="20" customHeight="1" x14ac:dyDescent="0.25"/>
    <row r="164" spans="4:33" ht="20" customHeight="1" x14ac:dyDescent="0.25"/>
    <row r="165" spans="4:33" ht="20"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01606-D958-477B-9938-7BFE640FA2F4}">
  <sheetPr>
    <tabColor theme="2" tint="-0.499984740745262"/>
  </sheetPr>
  <dimension ref="A1:R247"/>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style="239" customWidth="1"/>
    <col min="2" max="2" width="5.28515625" style="239" customWidth="1"/>
    <col min="3" max="3" width="5.28515625" style="1" customWidth="1"/>
    <col min="4" max="17" width="35" style="1" customWidth="1"/>
    <col min="18" max="16384" width="9.140625" style="239"/>
  </cols>
  <sheetData>
    <row r="1" spans="1:17" ht="30" customHeight="1" x14ac:dyDescent="0.35">
      <c r="A1" s="10" t="e" vm="1">
        <v>#VALUE!</v>
      </c>
      <c r="C1" s="239"/>
      <c r="D1" s="239"/>
      <c r="E1" s="239"/>
      <c r="F1" s="239"/>
      <c r="G1" s="239"/>
      <c r="H1" s="239"/>
      <c r="I1" s="239"/>
      <c r="J1" s="239"/>
      <c r="K1" s="239"/>
      <c r="L1" s="239"/>
      <c r="M1" s="239"/>
      <c r="N1" s="239"/>
      <c r="O1" s="239"/>
      <c r="P1" s="239"/>
      <c r="Q1" s="239"/>
    </row>
    <row r="2" spans="1:17" ht="20" customHeight="1" x14ac:dyDescent="0.25">
      <c r="A2"/>
      <c r="C2" s="239"/>
      <c r="D2" s="239"/>
      <c r="E2" s="239"/>
      <c r="F2" s="239"/>
      <c r="G2" s="239"/>
      <c r="H2" s="239"/>
      <c r="I2" s="239"/>
      <c r="J2" s="239"/>
      <c r="K2" s="239"/>
      <c r="L2" s="239"/>
      <c r="M2" s="239"/>
      <c r="N2" s="239"/>
      <c r="O2" s="239"/>
      <c r="P2" s="239"/>
      <c r="Q2" s="239"/>
    </row>
    <row r="3" spans="1:17" ht="20" customHeight="1" x14ac:dyDescent="0.25">
      <c r="A3" s="5" t="str">
        <f>HYPERLINK("#'Home'!A1", "Home")</f>
        <v>Home</v>
      </c>
    </row>
    <row r="4" spans="1:17" ht="20" customHeight="1" x14ac:dyDescent="0.25">
      <c r="A4" s="5" t="str">
        <f>HYPERLINK("#'Results - Activity period'!A1", "Results - Activity period")</f>
        <v>Results - Activity period</v>
      </c>
    </row>
    <row r="5" spans="1:17" ht="20" customHeight="1" x14ac:dyDescent="0.25">
      <c r="A5" s="5" t="str">
        <f>HYPERLINK("#'Results - Product EI'!A1", "Results - Product Emissions Intensity")</f>
        <v>Results - Product Emissions Intensity</v>
      </c>
    </row>
    <row r="6" spans="1:17" ht="20" customHeight="1" x14ac:dyDescent="0.25">
      <c r="A6"/>
    </row>
    <row r="7" spans="1:17" ht="20" customHeight="1" x14ac:dyDescent="0.25">
      <c r="A7"/>
    </row>
    <row r="8" spans="1:17" ht="20" customHeight="1" x14ac:dyDescent="0.25">
      <c r="A8" s="7" t="s">
        <v>0</v>
      </c>
    </row>
    <row r="9" spans="1:17" ht="20" customHeight="1" x14ac:dyDescent="0.25">
      <c r="A9" s="5" t="str">
        <f>HYPERLINK("#'Input - Enterprise'!A1", "Enterprise")</f>
        <v>Enterprise</v>
      </c>
    </row>
    <row r="10" spans="1:17" ht="20" customHeight="1" x14ac:dyDescent="0.25">
      <c r="A10" s="5" t="str">
        <f>HYPERLINK("#'Input - Site'!A1", "Site")</f>
        <v>Site</v>
      </c>
    </row>
    <row r="11" spans="1:17" ht="20" customHeight="1" x14ac:dyDescent="0.25">
      <c r="A11" s="5" t="str">
        <f>HYPERLINK("#'Input - Pasture Beef'!A1", "Pasture Beef")</f>
        <v>Pasture Beef</v>
      </c>
    </row>
    <row r="12" spans="1:17" ht="20" customHeight="1" x14ac:dyDescent="0.25">
      <c r="A12" s="5" t="str">
        <f>HYPERLINK("#'Input - Livestock sales'!A1", "Livestock sales")</f>
        <v>Livestock sales</v>
      </c>
    </row>
    <row r="13" spans="1:17" ht="20" customHeight="1" x14ac:dyDescent="0.25">
      <c r="A13" s="5" t="str">
        <f>HYPERLINK("#'Input - Beef cattle purchases'!A1", "Beef cattle purchases")</f>
        <v>Beef cattle purchases</v>
      </c>
    </row>
    <row r="14" spans="1:17" ht="20" customHeight="1" x14ac:dyDescent="0.25">
      <c r="A14" s="5" t="str">
        <f>HYPERLINK("#'Input - Pasture'!A1", "Pasture")</f>
        <v>Pasture</v>
      </c>
    </row>
    <row r="15" spans="1:17" ht="20" customHeight="1" x14ac:dyDescent="0.25">
      <c r="A15" s="5" t="str">
        <f>HYPERLINK("#'Input - Fert Prod System'!A1", "Fert Prod System")</f>
        <v>Fert Prod System</v>
      </c>
    </row>
    <row r="16" spans="1:17" ht="20" customHeight="1" x14ac:dyDescent="0.25">
      <c r="A16" s="5" t="str">
        <f>HYPERLINK("#'Input - Fertiliser'!A1", "Fertiliser")</f>
        <v>Fertiliser</v>
      </c>
    </row>
    <row r="17" spans="1:12" ht="20" customHeight="1" x14ac:dyDescent="0.25">
      <c r="A17" s="5" t="str">
        <f>HYPERLINK("#'Input - Fuel'!A1", "Fuel")</f>
        <v>Fuel</v>
      </c>
    </row>
    <row r="18" spans="1:12" ht="20" customHeight="1" x14ac:dyDescent="0.25">
      <c r="A18" s="5" t="str">
        <f>HYPERLINK("#'Input - Electricity'!A1", "Electricity")</f>
        <v>Electricity</v>
      </c>
    </row>
    <row r="19" spans="1:12" ht="20" customHeight="1" x14ac:dyDescent="0.25">
      <c r="A19" s="5" t="str">
        <f>HYPERLINK("#'Input - Common farm inputs'!A1", "Common farm inputs")</f>
        <v>Common farm inputs</v>
      </c>
    </row>
    <row r="20" spans="1:12" ht="20" customHeight="1" x14ac:dyDescent="0.25">
      <c r="A20" s="5" t="str">
        <f>HYPERLINK("#'Input - Crop pasture farm input'!A1", "Crop pasture farm input")</f>
        <v>Crop pasture farm input</v>
      </c>
    </row>
    <row r="21" spans="1:12" ht="20" customHeight="1" x14ac:dyDescent="0.25">
      <c r="A21" s="5" t="str">
        <f>HYPERLINK("#'Input - Livestock farm Inputs'!A1", "Livestock farm Inputs")</f>
        <v>Livestock farm Inputs</v>
      </c>
    </row>
    <row r="22" spans="1:12" ht="20" customHeight="1" x14ac:dyDescent="0.25">
      <c r="A22" s="5" t="str">
        <f>HYPERLINK("#'Input - Freight'!A1", "Freight")</f>
        <v>Freight</v>
      </c>
    </row>
    <row r="23" spans="1:12" ht="20" customHeight="1" x14ac:dyDescent="0.25">
      <c r="A23" s="5" t="str">
        <f>HYPERLINK("#'Input - Solid waste'!A1", "Solid waste")</f>
        <v>Solid waste</v>
      </c>
    </row>
    <row r="24" spans="1:12" ht="20" customHeight="1" x14ac:dyDescent="0.25">
      <c r="A24" s="5" t="str">
        <f>HYPERLINK("#'Input - Manure sent off-site'!A1", "Manure sent off-site")</f>
        <v>Manure sent off-site</v>
      </c>
    </row>
    <row r="25" spans="1:12" ht="20" customHeight="1" x14ac:dyDescent="0.25">
      <c r="A25" s="5" t="str">
        <f>HYPERLINK("#'Input - Data quality'!A1", "Data quality")</f>
        <v>Data quality</v>
      </c>
    </row>
    <row r="26" spans="1:12" ht="20" customHeight="1" x14ac:dyDescent="0.25">
      <c r="A26"/>
    </row>
    <row r="27" spans="1:12" ht="20" customHeight="1" x14ac:dyDescent="0.25">
      <c r="A27"/>
    </row>
    <row r="28" spans="1:12" ht="20" customHeight="1" x14ac:dyDescent="0.25">
      <c r="A28" s="6" t="s">
        <v>2</v>
      </c>
    </row>
    <row r="29" spans="1:12" ht="20" customHeight="1" x14ac:dyDescent="0.25">
      <c r="A29" s="5" t="str">
        <f>HYPERLINK("#'3.2.1.1-2 Enteric Methane'!A1", "3.2.1.1-2 Enteric Methane")</f>
        <v>3.2.1.1-2 Enteric Methane</v>
      </c>
    </row>
    <row r="30" spans="1:12" ht="20" customHeight="1" x14ac:dyDescent="0.25">
      <c r="A30" s="5" t="str">
        <f>HYPERLINK("#'4.2.1.1-2 Methane'!A1", "4.2.1.1-2 Manure methane")</f>
        <v>4.2.1.1-2 Manure methane</v>
      </c>
    </row>
    <row r="31" spans="1:12" ht="20" customHeight="1" x14ac:dyDescent="0.25">
      <c r="A31" s="5" t="str">
        <f>HYPERLINK("#'4.2.1.3-4 Soil direct N20'!A1", "4.2.1.3-4 Soil direct N2O")</f>
        <v>4.2.1.3-4 Soil direct N2O</v>
      </c>
    </row>
    <row r="32" spans="1:12" ht="20" customHeight="1" x14ac:dyDescent="0.25">
      <c r="A32" s="5" t="str">
        <f>HYPERLINK("#'4.2.1.5-6 Soil Atmos Dep'!A1", "4.2.1.5-6 Soil atm. deposition")</f>
        <v>4.2.1.5-6 Soil atm. deposition</v>
      </c>
      <c r="D32" s="2" t="s">
        <v>1188</v>
      </c>
      <c r="L32" s="1" t="s">
        <v>518</v>
      </c>
    </row>
    <row r="33" spans="1:13" ht="20" customHeight="1" x14ac:dyDescent="0.25">
      <c r="A33" s="5" t="str">
        <f>HYPERLINK("#'4.2.1.7-8 Soil leach runoff'!A1", "4.2.1.7-8 Soil leach &amp; runoff")</f>
        <v>4.2.1.7-8 Soil leach &amp; runoff</v>
      </c>
      <c r="D33" s="20" t="s">
        <v>565</v>
      </c>
      <c r="E33" s="20" t="s">
        <v>139</v>
      </c>
      <c r="F33" s="20" t="s">
        <v>566</v>
      </c>
      <c r="G33" s="20" t="s">
        <v>567</v>
      </c>
      <c r="H33" s="20" t="s">
        <v>1189</v>
      </c>
      <c r="I33" s="20" t="s">
        <v>569</v>
      </c>
      <c r="J33" s="20" t="s">
        <v>728</v>
      </c>
      <c r="L33" s="20" t="s">
        <v>490</v>
      </c>
      <c r="M33" s="20" t="s">
        <v>519</v>
      </c>
    </row>
    <row r="34" spans="1:13" ht="20" customHeight="1" x14ac:dyDescent="0.25">
      <c r="A34" s="5" t="str">
        <f>HYPERLINK("#'5.1.1.1-2 Inorganic fert N2O'!A1", "5.1.1.1-2 Inorganic fert N2O")</f>
        <v>5.1.1.1-2 Inorganic fert N2O</v>
      </c>
      <c r="D34" s="20" t="str" cm="1">
        <f t="array" ref="D34">Common_InputFunctions.Utility_DisplayArrayInTable(Scope3_SourceData.Scope3_Livestock_Data(), Table_SourceData_Scope3_Animals110[[#Headers],[Category]], 0, 2)</f>
        <v>Beef cattle</v>
      </c>
      <c r="E34" s="20" t="str" cm="1">
        <f t="array" ref="E34">Common_InputFunctions.Utility_DisplayArrayInTable(Scope3_SourceData.Scope3_Livestock_Data(), Table_SourceData_Scope3_Animals110[[#Headers],[Category]], 0, 2)</f>
        <v>Cattle, for manufacturing beef</v>
      </c>
      <c r="F34" s="20" t="str" cm="1">
        <f t="array" ref="F34">Common_InputFunctions.Utility_DisplayArrayInTable(Scope3_SourceData.Scope3_Livestock_Data(), Table_SourceData_Scope3_Animals110[[#Headers],[Category]], 0, 2)</f>
        <v>Australia</v>
      </c>
      <c r="G34" s="20" t="str" cm="1">
        <f t="array" ref="G34">Common_InputFunctions.Utility_DisplayArrayInTable(Scope3_SourceData.Scope3_Livestock_Data(), Table_SourceData_Scope3_Animals110[[#Headers],[Category]], 0, 2)</f>
        <v>kg liveweight</v>
      </c>
      <c r="H34" s="20" cm="1">
        <f t="array" ref="H34">Common_InputFunctions.Utility_DisplayArrayInTable(Scope3_SourceData.Scope3_Livestock_Data(), Table_SourceData_Scope3_Animals110[[#Headers],[Category]], 0, 2)</f>
        <v>11</v>
      </c>
      <c r="I34" s="20" t="str" cm="1">
        <f t="array" ref="I34">Common_InputFunctions.Utility_DisplayArrayInTable(Scope3_SourceData.Scope3_Livestock_Data(), Table_SourceData_Scope3_Animals110[[#Headers],[Category]], 0, 2)</f>
        <v>at market</v>
      </c>
      <c r="J34" s="20" t="s">
        <v>1190</v>
      </c>
      <c r="L34" s="20" t="s">
        <v>520</v>
      </c>
      <c r="M34" s="20" t="s">
        <v>521</v>
      </c>
    </row>
    <row r="35" spans="1:13" ht="20" customHeight="1" x14ac:dyDescent="0.25">
      <c r="A35" s="5" t="str">
        <f>HYPERLINK("#'5.1.1.3-4 Inorganic fert CO2'!A1", "5.1.1.3-4 Inorganic fert CO2")</f>
        <v>5.1.1.3-4 Inorganic fert CO2</v>
      </c>
      <c r="D35" s="20" t="str" cm="1">
        <f t="array" ref="D35">Common_InputFunctions.Utility_DisplayArrayInTable(Scope3_SourceData.Scope3_Livestock_Data(), Table_SourceData_Scope3_Animals110[[#Headers],[Category]], 0, 2)</f>
        <v>Beef cattle</v>
      </c>
      <c r="E35" s="20" t="str" cm="1">
        <f t="array" ref="E35">Common_InputFunctions.Utility_DisplayArrayInTable(Scope3_SourceData.Scope3_Livestock_Data(), Table_SourceData_Scope3_Animals110[[#Headers],[Category]], 0, 2)</f>
        <v>Cattle, for manufacturing beef</v>
      </c>
      <c r="F35" s="20" t="str" cm="1">
        <f t="array" ref="F35">Common_InputFunctions.Utility_DisplayArrayInTable(Scope3_SourceData.Scope3_Livestock_Data(), Table_SourceData_Scope3_Animals110[[#Headers],[Category]], 0, 2)</f>
        <v>NSW</v>
      </c>
      <c r="G35" s="20" t="str" cm="1">
        <f t="array" ref="G35">Common_InputFunctions.Utility_DisplayArrayInTable(Scope3_SourceData.Scope3_Livestock_Data(), Table_SourceData_Scope3_Animals110[[#Headers],[Category]], 0, 2)</f>
        <v>kg liveweight</v>
      </c>
      <c r="H35" s="20" cm="1">
        <f t="array" ref="H35">Common_InputFunctions.Utility_DisplayArrayInTable(Scope3_SourceData.Scope3_Livestock_Data(), Table_SourceData_Scope3_Animals110[[#Headers],[Category]], 0, 2)</f>
        <v>8.2100000000000009</v>
      </c>
      <c r="I35" s="20" t="str" cm="1">
        <f t="array" ref="I35">Common_InputFunctions.Utility_DisplayArrayInTable(Scope3_SourceData.Scope3_Livestock_Data(), Table_SourceData_Scope3_Animals110[[#Headers],[Category]], 0, 2)</f>
        <v>at market</v>
      </c>
      <c r="J35" s="20" t="s">
        <v>1190</v>
      </c>
      <c r="L35" s="20" t="s">
        <v>521</v>
      </c>
      <c r="M35" s="20" t="s">
        <v>521</v>
      </c>
    </row>
    <row r="36" spans="1:13" ht="20" customHeight="1" x14ac:dyDescent="0.25">
      <c r="A36" s="5" t="str">
        <f>HYPERLINK("#'5.2.1.1-2 Organic Fert N2O'!A1", "5.2.1.1-2 Organic fert N2O")</f>
        <v>5.2.1.1-2 Organic fert N2O</v>
      </c>
      <c r="D36" s="20" t="str" cm="1">
        <f t="array" ref="D36">Common_InputFunctions.Utility_DisplayArrayInTable(Scope3_SourceData.Scope3_Livestock_Data(), Table_SourceData_Scope3_Animals110[[#Headers],[Category]], 0, 2)</f>
        <v>Beef cattle</v>
      </c>
      <c r="E36" s="20" t="str" cm="1">
        <f t="array" ref="E36">Common_InputFunctions.Utility_DisplayArrayInTable(Scope3_SourceData.Scope3_Livestock_Data(), Table_SourceData_Scope3_Animals110[[#Headers],[Category]], 0, 2)</f>
        <v>Cattle, for manufacturing beef</v>
      </c>
      <c r="F36" s="20" t="str" cm="1">
        <f t="array" ref="F36">Common_InputFunctions.Utility_DisplayArrayInTable(Scope3_SourceData.Scope3_Livestock_Data(), Table_SourceData_Scope3_Animals110[[#Headers],[Category]], 0, 2)</f>
        <v>NT</v>
      </c>
      <c r="G36" s="20" t="str" cm="1">
        <f t="array" ref="G36">Common_InputFunctions.Utility_DisplayArrayInTable(Scope3_SourceData.Scope3_Livestock_Data(), Table_SourceData_Scope3_Animals110[[#Headers],[Category]], 0, 2)</f>
        <v>kg liveweight</v>
      </c>
      <c r="H36" s="20" cm="1">
        <f t="array" ref="H36">Common_InputFunctions.Utility_DisplayArrayInTable(Scope3_SourceData.Scope3_Livestock_Data(), Table_SourceData_Scope3_Animals110[[#Headers],[Category]], 0, 2)</f>
        <v>12.2</v>
      </c>
      <c r="I36" s="20" t="str" cm="1">
        <f t="array" ref="I36">Common_InputFunctions.Utility_DisplayArrayInTable(Scope3_SourceData.Scope3_Livestock_Data(), Table_SourceData_Scope3_Animals110[[#Headers],[Category]], 0, 2)</f>
        <v>at market</v>
      </c>
      <c r="J36" s="20" t="s">
        <v>1190</v>
      </c>
      <c r="L36" s="20" t="s">
        <v>522</v>
      </c>
      <c r="M36" s="20" t="s">
        <v>522</v>
      </c>
    </row>
    <row r="37" spans="1:13" ht="20" customHeight="1" x14ac:dyDescent="0.25">
      <c r="A37" s="5" t="str">
        <f>HYPERLINK("#'5.3.1.1-2 Lime CO2'!A1", "5.3.1.1-2 Lime CO2")</f>
        <v>5.3.1.1-2 Lime CO2</v>
      </c>
      <c r="D37" s="20" t="str" cm="1">
        <f t="array" ref="D37">Common_InputFunctions.Utility_DisplayArrayInTable(Scope3_SourceData.Scope3_Livestock_Data(), Table_SourceData_Scope3_Animals110[[#Headers],[Category]], 0, 2)</f>
        <v>Beef cattle</v>
      </c>
      <c r="E37" s="20" t="str" cm="1">
        <f t="array" ref="E37">Common_InputFunctions.Utility_DisplayArrayInTable(Scope3_SourceData.Scope3_Livestock_Data(), Table_SourceData_Scope3_Animals110[[#Headers],[Category]], 0, 2)</f>
        <v>Cattle, for manufacturing beef</v>
      </c>
      <c r="F37" s="20" t="str" cm="1">
        <f t="array" ref="F37">Common_InputFunctions.Utility_DisplayArrayInTable(Scope3_SourceData.Scope3_Livestock_Data(), Table_SourceData_Scope3_Animals110[[#Headers],[Category]], 0, 2)</f>
        <v>QLD</v>
      </c>
      <c r="G37" s="20" t="str" cm="1">
        <f t="array" ref="G37">Common_InputFunctions.Utility_DisplayArrayInTable(Scope3_SourceData.Scope3_Livestock_Data(), Table_SourceData_Scope3_Animals110[[#Headers],[Category]], 0, 2)</f>
        <v>kg liveweight</v>
      </c>
      <c r="H37" s="20" cm="1">
        <f t="array" ref="H37">Common_InputFunctions.Utility_DisplayArrayInTable(Scope3_SourceData.Scope3_Livestock_Data(), Table_SourceData_Scope3_Animals110[[#Headers],[Category]], 0, 2)</f>
        <v>10.9</v>
      </c>
      <c r="I37" s="20" t="str" cm="1">
        <f t="array" ref="I37">Common_InputFunctions.Utility_DisplayArrayInTable(Scope3_SourceData.Scope3_Livestock_Data(), Table_SourceData_Scope3_Animals110[[#Headers],[Category]], 0, 2)</f>
        <v>at market</v>
      </c>
      <c r="J37" s="20" t="s">
        <v>1190</v>
      </c>
      <c r="L37" s="20" t="s">
        <v>523</v>
      </c>
      <c r="M37" s="20" t="s">
        <v>523</v>
      </c>
    </row>
    <row r="38" spans="1:13" ht="20" customHeight="1" x14ac:dyDescent="0.25">
      <c r="A38" s="5" t="str">
        <f>HYPERLINK("#'5.4.1.1-4 Atmos deposition'!A1", "5.4.1.1-4 Atmos. deposition")</f>
        <v>5.4.1.1-4 Atmos. deposition</v>
      </c>
      <c r="D38" s="20" t="str" cm="1">
        <f t="array" ref="D38">Common_InputFunctions.Utility_DisplayArrayInTable(Scope3_SourceData.Scope3_Livestock_Data(), Table_SourceData_Scope3_Animals110[[#Headers],[Category]], 0, 2)</f>
        <v>Beef cattle</v>
      </c>
      <c r="E38" s="20" t="str" cm="1">
        <f t="array" ref="E38">Common_InputFunctions.Utility_DisplayArrayInTable(Scope3_SourceData.Scope3_Livestock_Data(), Table_SourceData_Scope3_Animals110[[#Headers],[Category]], 0, 2)</f>
        <v>Cattle, for manufacturing beef</v>
      </c>
      <c r="F38" s="20" t="str" cm="1">
        <f t="array" ref="F38">Common_InputFunctions.Utility_DisplayArrayInTable(Scope3_SourceData.Scope3_Livestock_Data(), Table_SourceData_Scope3_Animals110[[#Headers],[Category]], 0, 2)</f>
        <v>SA</v>
      </c>
      <c r="G38" s="20" t="str" cm="1">
        <f t="array" ref="G38">Common_InputFunctions.Utility_DisplayArrayInTable(Scope3_SourceData.Scope3_Livestock_Data(), Table_SourceData_Scope3_Animals110[[#Headers],[Category]], 0, 2)</f>
        <v>kg liveweight</v>
      </c>
      <c r="H38" s="20" cm="1">
        <f t="array" ref="H38">Common_InputFunctions.Utility_DisplayArrayInTable(Scope3_SourceData.Scope3_Livestock_Data(), Table_SourceData_Scope3_Animals110[[#Headers],[Category]], 0, 2)</f>
        <v>7.63</v>
      </c>
      <c r="I38" s="20" t="str" cm="1">
        <f t="array" ref="I38">Common_InputFunctions.Utility_DisplayArrayInTable(Scope3_SourceData.Scope3_Livestock_Data(), Table_SourceData_Scope3_Animals110[[#Headers],[Category]], 0, 2)</f>
        <v>at market</v>
      </c>
      <c r="J38" s="20" t="s">
        <v>1190</v>
      </c>
      <c r="L38" s="20" t="s">
        <v>524</v>
      </c>
      <c r="M38" s="20" t="s">
        <v>524</v>
      </c>
    </row>
    <row r="39" spans="1:13" ht="20" customHeight="1" x14ac:dyDescent="0.25">
      <c r="A39" s="5" t="str">
        <f>HYPERLINK("#'5.5.1.1-2 Leaching and runoff'!A1", "5.5.1.1-2 Leaching &amp; runoff")</f>
        <v>5.5.1.1-2 Leaching &amp; runoff</v>
      </c>
      <c r="D39" s="20" t="str" cm="1">
        <f t="array" ref="D39">Common_InputFunctions.Utility_DisplayArrayInTable(Scope3_SourceData.Scope3_Livestock_Data(), Table_SourceData_Scope3_Animals110[[#Headers],[Category]], 0, 2)</f>
        <v>Beef cattle</v>
      </c>
      <c r="E39" s="20" t="str" cm="1">
        <f t="array" ref="E39">Common_InputFunctions.Utility_DisplayArrayInTable(Scope3_SourceData.Scope3_Livestock_Data(), Table_SourceData_Scope3_Animals110[[#Headers],[Category]], 0, 2)</f>
        <v>Cattle, for manufacturing beef</v>
      </c>
      <c r="F39" s="20" t="str" cm="1">
        <f t="array" ref="F39">Common_InputFunctions.Utility_DisplayArrayInTable(Scope3_SourceData.Scope3_Livestock_Data(), Table_SourceData_Scope3_Animals110[[#Headers],[Category]], 0, 2)</f>
        <v>TAS</v>
      </c>
      <c r="G39" s="20" t="str" cm="1">
        <f t="array" ref="G39">Common_InputFunctions.Utility_DisplayArrayInTable(Scope3_SourceData.Scope3_Livestock_Data(), Table_SourceData_Scope3_Animals110[[#Headers],[Category]], 0, 2)</f>
        <v>kg liveweight</v>
      </c>
      <c r="H39" s="20" cm="1">
        <f t="array" ref="H39">Common_InputFunctions.Utility_DisplayArrayInTable(Scope3_SourceData.Scope3_Livestock_Data(), Table_SourceData_Scope3_Animals110[[#Headers],[Category]], 0, 2)</f>
        <v>8.75</v>
      </c>
      <c r="I39" s="20" t="str" cm="1">
        <f t="array" ref="I39">Common_InputFunctions.Utility_DisplayArrayInTable(Scope3_SourceData.Scope3_Livestock_Data(), Table_SourceData_Scope3_Animals110[[#Headers],[Category]], 0, 2)</f>
        <v>at market</v>
      </c>
      <c r="J39" s="20" t="s">
        <v>1190</v>
      </c>
      <c r="L39" s="20" t="s">
        <v>525</v>
      </c>
      <c r="M39" s="20" t="s">
        <v>526</v>
      </c>
    </row>
    <row r="40" spans="1:13" ht="20" customHeight="1" x14ac:dyDescent="0.25">
      <c r="A40" s="5" t="str">
        <f>HYPERLINK("#'6.2.1.1-2 Pasture residue N2O'!A1", "6.2.1.1-2 Pasture residue N2O")</f>
        <v>6.2.1.1-2 Pasture residue N2O</v>
      </c>
      <c r="D40" s="20" t="str" cm="1">
        <f t="array" ref="D40">Common_InputFunctions.Utility_DisplayArrayInTable(Scope3_SourceData.Scope3_Livestock_Data(), Table_SourceData_Scope3_Animals110[[#Headers],[Category]], 0, 2)</f>
        <v>Beef cattle</v>
      </c>
      <c r="E40" s="20" t="str" cm="1">
        <f t="array" ref="E40">Common_InputFunctions.Utility_DisplayArrayInTable(Scope3_SourceData.Scope3_Livestock_Data(), Table_SourceData_Scope3_Animals110[[#Headers],[Category]], 0, 2)</f>
        <v>Cattle, for manufacturing beef</v>
      </c>
      <c r="F40" s="20" t="str" cm="1">
        <f t="array" ref="F40">Common_InputFunctions.Utility_DisplayArrayInTable(Scope3_SourceData.Scope3_Livestock_Data(), Table_SourceData_Scope3_Animals110[[#Headers],[Category]], 0, 2)</f>
        <v>VIC</v>
      </c>
      <c r="G40" s="20" t="str" cm="1">
        <f t="array" ref="G40">Common_InputFunctions.Utility_DisplayArrayInTable(Scope3_SourceData.Scope3_Livestock_Data(), Table_SourceData_Scope3_Animals110[[#Headers],[Category]], 0, 2)</f>
        <v>kg liveweight</v>
      </c>
      <c r="H40" s="20" cm="1">
        <f t="array" ref="H40">Common_InputFunctions.Utility_DisplayArrayInTable(Scope3_SourceData.Scope3_Livestock_Data(), Table_SourceData_Scope3_Animals110[[#Headers],[Category]], 0, 2)</f>
        <v>8.17</v>
      </c>
      <c r="I40" s="20" t="str" cm="1">
        <f t="array" ref="I40">Common_InputFunctions.Utility_DisplayArrayInTable(Scope3_SourceData.Scope3_Livestock_Data(), Table_SourceData_Scope3_Animals110[[#Headers],[Category]], 0, 2)</f>
        <v>at market</v>
      </c>
      <c r="J40" s="20" t="s">
        <v>1190</v>
      </c>
      <c r="L40" s="20" t="s">
        <v>527</v>
      </c>
      <c r="M40" s="20" t="s">
        <v>526</v>
      </c>
    </row>
    <row r="41" spans="1:13" ht="20" customHeight="1" x14ac:dyDescent="0.25">
      <c r="A41" s="5" t="str">
        <f>HYPERLINK("#'6.3.1.1-2 Leach runoff pasture'!A1", "6.3.1.1-2 Leach &amp; runoff (pasture)")</f>
        <v>6.3.1.1-2 Leach &amp; runoff (pasture)</v>
      </c>
      <c r="D41" s="20" t="str" cm="1">
        <f t="array" ref="D41">Common_InputFunctions.Utility_DisplayArrayInTable(Scope3_SourceData.Scope3_Livestock_Data(), Table_SourceData_Scope3_Animals110[[#Headers],[Category]], 0, 2)</f>
        <v>Beef cattle</v>
      </c>
      <c r="E41" s="20" t="str" cm="1">
        <f t="array" ref="E41">Common_InputFunctions.Utility_DisplayArrayInTable(Scope3_SourceData.Scope3_Livestock_Data(), Table_SourceData_Scope3_Animals110[[#Headers],[Category]], 0, 2)</f>
        <v>Cattle, for manufacturing beef</v>
      </c>
      <c r="F41" s="20" t="str" cm="1">
        <f t="array" ref="F41">Common_InputFunctions.Utility_DisplayArrayInTable(Scope3_SourceData.Scope3_Livestock_Data(), Table_SourceData_Scope3_Animals110[[#Headers],[Category]], 0, 2)</f>
        <v>WA</v>
      </c>
      <c r="G41" s="20" t="str" cm="1">
        <f t="array" ref="G41">Common_InputFunctions.Utility_DisplayArrayInTable(Scope3_SourceData.Scope3_Livestock_Data(), Table_SourceData_Scope3_Animals110[[#Headers],[Category]], 0, 2)</f>
        <v>kg liveweight</v>
      </c>
      <c r="H41" s="20" cm="1">
        <f t="array" ref="H41">Common_InputFunctions.Utility_DisplayArrayInTable(Scope3_SourceData.Scope3_Livestock_Data(), Table_SourceData_Scope3_Animals110[[#Headers],[Category]], 0, 2)</f>
        <v>13.1</v>
      </c>
      <c r="I41" s="20" t="str" cm="1">
        <f t="array" ref="I41">Common_InputFunctions.Utility_DisplayArrayInTable(Scope3_SourceData.Scope3_Livestock_Data(), Table_SourceData_Scope3_Animals110[[#Headers],[Category]], 0, 2)</f>
        <v>at market</v>
      </c>
      <c r="J41" s="20" t="s">
        <v>1190</v>
      </c>
      <c r="L41" s="20" t="s">
        <v>528</v>
      </c>
      <c r="M41" s="20" t="s">
        <v>526</v>
      </c>
    </row>
    <row r="42" spans="1:13" ht="20" customHeight="1" x14ac:dyDescent="0.25">
      <c r="A42" s="5" t="str">
        <f>HYPERLINK("#'8.1.1.1-2 Transport fuel'!A1", "8.1.1.1-2 Transport fuel")</f>
        <v>8.1.1.1-2 Transport fuel</v>
      </c>
      <c r="D42" s="20" t="str" cm="1">
        <f t="array" ref="D42">Common_InputFunctions.Utility_DisplayArrayInTable(Scope3_SourceData.Scope3_Livestock_Data(), Table_SourceData_Scope3_Animals110[[#Headers],[Category]], 0, 2)</f>
        <v>Beef cattle</v>
      </c>
      <c r="E42" s="20" t="str" cm="1">
        <f t="array" ref="E42">Common_InputFunctions.Utility_DisplayArrayInTable(Scope3_SourceData.Scope3_Livestock_Data(), Table_SourceData_Scope3_Animals110[[#Headers],[Category]], 0, 2)</f>
        <v>Cattle, for prime beef</v>
      </c>
      <c r="F42" s="20" t="str" cm="1">
        <f t="array" ref="F42">Common_InputFunctions.Utility_DisplayArrayInTable(Scope3_SourceData.Scope3_Livestock_Data(), Table_SourceData_Scope3_Animals110[[#Headers],[Category]], 0, 2)</f>
        <v>Australia</v>
      </c>
      <c r="G42" s="20" t="str" cm="1">
        <f t="array" ref="G42">Common_InputFunctions.Utility_DisplayArrayInTable(Scope3_SourceData.Scope3_Livestock_Data(), Table_SourceData_Scope3_Animals110[[#Headers],[Category]], 0, 2)</f>
        <v>kg liveweight</v>
      </c>
      <c r="H42" s="20" cm="1">
        <f t="array" ref="H42">Common_InputFunctions.Utility_DisplayArrayInTable(Scope3_SourceData.Scope3_Livestock_Data(), Table_SourceData_Scope3_Animals110[[#Headers],[Category]], 0, 2)</f>
        <v>14.5</v>
      </c>
      <c r="I42" s="20" t="str" cm="1">
        <f t="array" ref="I42">Common_InputFunctions.Utility_DisplayArrayInTable(Scope3_SourceData.Scope3_Livestock_Data(), Table_SourceData_Scope3_Animals110[[#Headers],[Category]], 0, 2)</f>
        <v>at market</v>
      </c>
      <c r="J42" s="20" t="s">
        <v>1190</v>
      </c>
      <c r="L42" s="20" t="s">
        <v>529</v>
      </c>
      <c r="M42" s="20" t="s">
        <v>530</v>
      </c>
    </row>
    <row r="43" spans="1:13" ht="20" customHeight="1" x14ac:dyDescent="0.25">
      <c r="A43" s="5" t="str">
        <f>HYPERLINK("#'8.2.1.1-2 Stationary fuel'!A1", "8.2.1.1-2 Stationary fuel")</f>
        <v>8.2.1.1-2 Stationary fuel</v>
      </c>
      <c r="D43" s="20" t="str" cm="1">
        <f t="array" ref="D43">Common_InputFunctions.Utility_DisplayArrayInTable(Scope3_SourceData.Scope3_Livestock_Data(), Table_SourceData_Scope3_Animals110[[#Headers],[Category]], 0, 2)</f>
        <v>Beef cattle</v>
      </c>
      <c r="E43" s="20" t="str" cm="1">
        <f t="array" ref="E43">Common_InputFunctions.Utility_DisplayArrayInTable(Scope3_SourceData.Scope3_Livestock_Data(), Table_SourceData_Scope3_Animals110[[#Headers],[Category]], 0, 2)</f>
        <v>Cattle, for prime beef</v>
      </c>
      <c r="F43" s="20" t="str" cm="1">
        <f t="array" ref="F43">Common_InputFunctions.Utility_DisplayArrayInTable(Scope3_SourceData.Scope3_Livestock_Data(), Table_SourceData_Scope3_Animals110[[#Headers],[Category]], 0, 2)</f>
        <v>NSW</v>
      </c>
      <c r="G43" s="20" t="str" cm="1">
        <f t="array" ref="G43">Common_InputFunctions.Utility_DisplayArrayInTable(Scope3_SourceData.Scope3_Livestock_Data(), Table_SourceData_Scope3_Animals110[[#Headers],[Category]], 0, 2)</f>
        <v>kg liveweight</v>
      </c>
      <c r="H43" s="20" cm="1">
        <f t="array" ref="H43">Common_InputFunctions.Utility_DisplayArrayInTable(Scope3_SourceData.Scope3_Livestock_Data(), Table_SourceData_Scope3_Animals110[[#Headers],[Category]], 0, 2)</f>
        <v>11.3</v>
      </c>
      <c r="I43" s="20" t="str" cm="1">
        <f t="array" ref="I43">Common_InputFunctions.Utility_DisplayArrayInTable(Scope3_SourceData.Scope3_Livestock_Data(), Table_SourceData_Scope3_Animals110[[#Headers],[Category]], 0, 2)</f>
        <v>at market</v>
      </c>
      <c r="J43" s="20" t="s">
        <v>1190</v>
      </c>
      <c r="L43" s="20" t="s">
        <v>531</v>
      </c>
      <c r="M43" s="20" t="s">
        <v>530</v>
      </c>
    </row>
    <row r="44" spans="1:13" ht="20" customHeight="1" x14ac:dyDescent="0.25">
      <c r="A44" s="5" t="str">
        <f>HYPERLINK("#'10.1.1-2 Solid waste treatment'!A1", "10.1.1.1-2 Solid waste")</f>
        <v>10.1.1.1-2 Solid waste</v>
      </c>
      <c r="D44" s="20" t="str" cm="1">
        <f t="array" ref="D44">Common_InputFunctions.Utility_DisplayArrayInTable(Scope3_SourceData.Scope3_Livestock_Data(), Table_SourceData_Scope3_Animals110[[#Headers],[Category]], 0, 2)</f>
        <v>Beef cattle</v>
      </c>
      <c r="E44" s="20" t="str" cm="1">
        <f t="array" ref="E44">Common_InputFunctions.Utility_DisplayArrayInTable(Scope3_SourceData.Scope3_Livestock_Data(), Table_SourceData_Scope3_Animals110[[#Headers],[Category]], 0, 2)</f>
        <v>Cattle, for prime beef</v>
      </c>
      <c r="F44" s="20" t="str" cm="1">
        <f t="array" ref="F44">Common_InputFunctions.Utility_DisplayArrayInTable(Scope3_SourceData.Scope3_Livestock_Data(), Table_SourceData_Scope3_Animals110[[#Headers],[Category]], 0, 2)</f>
        <v>NT</v>
      </c>
      <c r="G44" s="20" t="str" cm="1">
        <f t="array" ref="G44">Common_InputFunctions.Utility_DisplayArrayInTable(Scope3_SourceData.Scope3_Livestock_Data(), Table_SourceData_Scope3_Animals110[[#Headers],[Category]], 0, 2)</f>
        <v>kg liveweight</v>
      </c>
      <c r="H44" s="20" cm="1">
        <f t="array" ref="H44">Common_InputFunctions.Utility_DisplayArrayInTable(Scope3_SourceData.Scope3_Livestock_Data(), Table_SourceData_Scope3_Animals110[[#Headers],[Category]], 0, 2)</f>
        <v>18.899999999999999</v>
      </c>
      <c r="I44" s="20" t="str" cm="1">
        <f t="array" ref="I44">Common_InputFunctions.Utility_DisplayArrayInTable(Scope3_SourceData.Scope3_Livestock_Data(), Table_SourceData_Scope3_Animals110[[#Headers],[Category]], 0, 2)</f>
        <v>at market</v>
      </c>
      <c r="J44" s="20" t="s">
        <v>1190</v>
      </c>
      <c r="L44" s="20" t="s">
        <v>532</v>
      </c>
      <c r="M44" s="20" t="s">
        <v>530</v>
      </c>
    </row>
    <row r="45" spans="1:13" ht="20" customHeight="1" x14ac:dyDescent="0.25">
      <c r="A45" s="5" t="str">
        <f>HYPERLINK("#'14.1.1-2 Purchased electricity'!A1", "14.1.1-2 Purchased electricity")</f>
        <v>14.1.1-2 Purchased electricity</v>
      </c>
      <c r="D45" s="20" t="str" cm="1">
        <f t="array" ref="D45">Common_InputFunctions.Utility_DisplayArrayInTable(Scope3_SourceData.Scope3_Livestock_Data(), Table_SourceData_Scope3_Animals110[[#Headers],[Category]], 0, 2)</f>
        <v>Beef cattle</v>
      </c>
      <c r="E45" s="20" t="str" cm="1">
        <f t="array" ref="E45">Common_InputFunctions.Utility_DisplayArrayInTable(Scope3_SourceData.Scope3_Livestock_Data(), Table_SourceData_Scope3_Animals110[[#Headers],[Category]], 0, 2)</f>
        <v>Cattle, for prime beef</v>
      </c>
      <c r="F45" s="20" t="str" cm="1">
        <f t="array" ref="F45">Common_InputFunctions.Utility_DisplayArrayInTable(Scope3_SourceData.Scope3_Livestock_Data(), Table_SourceData_Scope3_Animals110[[#Headers],[Category]], 0, 2)</f>
        <v>QLD</v>
      </c>
      <c r="G45" s="20" t="str" cm="1">
        <f t="array" ref="G45">Common_InputFunctions.Utility_DisplayArrayInTable(Scope3_SourceData.Scope3_Livestock_Data(), Table_SourceData_Scope3_Animals110[[#Headers],[Category]], 0, 2)</f>
        <v>kg liveweight</v>
      </c>
      <c r="H45" s="20" cm="1">
        <f t="array" ref="H45">Common_InputFunctions.Utility_DisplayArrayInTable(Scope3_SourceData.Scope3_Livestock_Data(), Table_SourceData_Scope3_Animals110[[#Headers],[Category]], 0, 2)</f>
        <v>13.9</v>
      </c>
      <c r="I45" s="20" t="str" cm="1">
        <f t="array" ref="I45">Common_InputFunctions.Utility_DisplayArrayInTable(Scope3_SourceData.Scope3_Livestock_Data(), Table_SourceData_Scope3_Animals110[[#Headers],[Category]], 0, 2)</f>
        <v>at market</v>
      </c>
      <c r="J45" s="20" t="s">
        <v>1190</v>
      </c>
      <c r="L45" s="20" t="s">
        <v>533</v>
      </c>
      <c r="M45" s="20" t="s">
        <v>534</v>
      </c>
    </row>
    <row r="46" spans="1:13" ht="20" customHeight="1" x14ac:dyDescent="0.25">
      <c r="A46" s="5" t="str">
        <f>HYPERLINK("#'15 Scope 3'!A1", "15 Scope 3")</f>
        <v>15 Scope 3</v>
      </c>
      <c r="D46" s="20" t="str" cm="1">
        <f t="array" ref="D46">Common_InputFunctions.Utility_DisplayArrayInTable(Scope3_SourceData.Scope3_Livestock_Data(), Table_SourceData_Scope3_Animals110[[#Headers],[Category]], 0, 2)</f>
        <v>Beef cattle</v>
      </c>
      <c r="E46" s="20" t="str" cm="1">
        <f t="array" ref="E46">Common_InputFunctions.Utility_DisplayArrayInTable(Scope3_SourceData.Scope3_Livestock_Data(), Table_SourceData_Scope3_Animals110[[#Headers],[Category]], 0, 2)</f>
        <v>Cattle, for prime beef</v>
      </c>
      <c r="F46" s="20" t="str" cm="1">
        <f t="array" ref="F46">Common_InputFunctions.Utility_DisplayArrayInTable(Scope3_SourceData.Scope3_Livestock_Data(), Table_SourceData_Scope3_Animals110[[#Headers],[Category]], 0, 2)</f>
        <v>SA</v>
      </c>
      <c r="G46" s="20" t="str" cm="1">
        <f t="array" ref="G46">Common_InputFunctions.Utility_DisplayArrayInTable(Scope3_SourceData.Scope3_Livestock_Data(), Table_SourceData_Scope3_Animals110[[#Headers],[Category]], 0, 2)</f>
        <v>kg liveweight</v>
      </c>
      <c r="H46" s="20" cm="1">
        <f t="array" ref="H46">Common_InputFunctions.Utility_DisplayArrayInTable(Scope3_SourceData.Scope3_Livestock_Data(), Table_SourceData_Scope3_Animals110[[#Headers],[Category]], 0, 2)</f>
        <v>12.3</v>
      </c>
      <c r="I46" s="20" t="str" cm="1">
        <f t="array" ref="I46">Common_InputFunctions.Utility_DisplayArrayInTable(Scope3_SourceData.Scope3_Livestock_Data(), Table_SourceData_Scope3_Animals110[[#Headers],[Category]], 0, 2)</f>
        <v>at market</v>
      </c>
      <c r="J46" s="20" t="s">
        <v>1190</v>
      </c>
      <c r="L46" s="20" t="s">
        <v>535</v>
      </c>
      <c r="M46" s="20" t="s">
        <v>534</v>
      </c>
    </row>
    <row r="47" spans="1:13" ht="20" customHeight="1" x14ac:dyDescent="0.25">
      <c r="A47" s="5" t="str">
        <f>HYPERLINK("#'Calcs - Manure sent off-site'!A1", "Calcs - Manure sent off-site")</f>
        <v>Calcs - Manure sent off-site</v>
      </c>
      <c r="D47" s="20" t="str" cm="1">
        <f t="array" ref="D47">Common_InputFunctions.Utility_DisplayArrayInTable(Scope3_SourceData.Scope3_Livestock_Data(), Table_SourceData_Scope3_Animals110[[#Headers],[Category]], 0, 2)</f>
        <v>Beef cattle</v>
      </c>
      <c r="E47" s="20" t="str" cm="1">
        <f t="array" ref="E47">Common_InputFunctions.Utility_DisplayArrayInTable(Scope3_SourceData.Scope3_Livestock_Data(), Table_SourceData_Scope3_Animals110[[#Headers],[Category]], 0, 2)</f>
        <v>Cattle, for prime beef</v>
      </c>
      <c r="F47" s="20" t="str" cm="1">
        <f t="array" ref="F47">Common_InputFunctions.Utility_DisplayArrayInTable(Scope3_SourceData.Scope3_Livestock_Data(), Table_SourceData_Scope3_Animals110[[#Headers],[Category]], 0, 2)</f>
        <v>TAS</v>
      </c>
      <c r="G47" s="20" t="str" cm="1">
        <f t="array" ref="G47">Common_InputFunctions.Utility_DisplayArrayInTable(Scope3_SourceData.Scope3_Livestock_Data(), Table_SourceData_Scope3_Animals110[[#Headers],[Category]], 0, 2)</f>
        <v>kg liveweight</v>
      </c>
      <c r="H47" s="20" cm="1">
        <f t="array" ref="H47">Common_InputFunctions.Utility_DisplayArrayInTable(Scope3_SourceData.Scope3_Livestock_Data(), Table_SourceData_Scope3_Animals110[[#Headers],[Category]], 0, 2)</f>
        <v>11.5</v>
      </c>
      <c r="I47" s="20" t="str" cm="1">
        <f t="array" ref="I47">Common_InputFunctions.Utility_DisplayArrayInTable(Scope3_SourceData.Scope3_Livestock_Data(), Table_SourceData_Scope3_Animals110[[#Headers],[Category]], 0, 2)</f>
        <v>at market</v>
      </c>
      <c r="J47" s="20" t="s">
        <v>1190</v>
      </c>
      <c r="L47" s="20" t="s">
        <v>536</v>
      </c>
      <c r="M47" s="20" t="s">
        <v>534</v>
      </c>
    </row>
    <row r="48" spans="1:13" ht="20" customHeight="1" x14ac:dyDescent="0.25">
      <c r="A48"/>
      <c r="D48" s="20" t="str" cm="1">
        <f t="array" ref="D48">Common_InputFunctions.Utility_DisplayArrayInTable(Scope3_SourceData.Scope3_Livestock_Data(), Table_SourceData_Scope3_Animals110[[#Headers],[Category]], 0, 2)</f>
        <v>Beef cattle</v>
      </c>
      <c r="E48" s="20" t="str" cm="1">
        <f t="array" ref="E48">Common_InputFunctions.Utility_DisplayArrayInTable(Scope3_SourceData.Scope3_Livestock_Data(), Table_SourceData_Scope3_Animals110[[#Headers],[Category]], 0, 2)</f>
        <v>Cattle, for prime beef</v>
      </c>
      <c r="F48" s="20" t="str" cm="1">
        <f t="array" ref="F48">Common_InputFunctions.Utility_DisplayArrayInTable(Scope3_SourceData.Scope3_Livestock_Data(), Table_SourceData_Scope3_Animals110[[#Headers],[Category]], 0, 2)</f>
        <v>VIC</v>
      </c>
      <c r="G48" s="20" t="str" cm="1">
        <f t="array" ref="G48">Common_InputFunctions.Utility_DisplayArrayInTable(Scope3_SourceData.Scope3_Livestock_Data(), Table_SourceData_Scope3_Animals110[[#Headers],[Category]], 0, 2)</f>
        <v>kg liveweight</v>
      </c>
      <c r="H48" s="20" cm="1">
        <f t="array" ref="H48">Common_InputFunctions.Utility_DisplayArrayInTable(Scope3_SourceData.Scope3_Livestock_Data(), Table_SourceData_Scope3_Animals110[[#Headers],[Category]], 0, 2)</f>
        <v>11.5</v>
      </c>
      <c r="I48" s="20" t="str" cm="1">
        <f t="array" ref="I48">Common_InputFunctions.Utility_DisplayArrayInTable(Scope3_SourceData.Scope3_Livestock_Data(), Table_SourceData_Scope3_Animals110[[#Headers],[Category]], 0, 2)</f>
        <v>at market</v>
      </c>
      <c r="J48" s="20" t="s">
        <v>1190</v>
      </c>
      <c r="L48" s="20" t="s">
        <v>537</v>
      </c>
      <c r="M48" s="20" t="s">
        <v>534</v>
      </c>
    </row>
    <row r="49" spans="1:13" ht="20" customHeight="1" x14ac:dyDescent="0.25">
      <c r="A49"/>
      <c r="D49" s="20" t="str" cm="1">
        <f t="array" ref="D49">Common_InputFunctions.Utility_DisplayArrayInTable(Scope3_SourceData.Scope3_Livestock_Data(), Table_SourceData_Scope3_Animals110[[#Headers],[Category]], 0, 2)</f>
        <v>Beef cattle</v>
      </c>
      <c r="E49" s="20" t="str" cm="1">
        <f t="array" ref="E49">Common_InputFunctions.Utility_DisplayArrayInTable(Scope3_SourceData.Scope3_Livestock_Data(), Table_SourceData_Scope3_Animals110[[#Headers],[Category]], 0, 2)</f>
        <v>Cattle, for prime beef</v>
      </c>
      <c r="F49" s="20" t="str" cm="1">
        <f t="array" ref="F49">Common_InputFunctions.Utility_DisplayArrayInTable(Scope3_SourceData.Scope3_Livestock_Data(), Table_SourceData_Scope3_Animals110[[#Headers],[Category]], 0, 2)</f>
        <v>WA</v>
      </c>
      <c r="G49" s="20" t="str" cm="1">
        <f t="array" ref="G49">Common_InputFunctions.Utility_DisplayArrayInTable(Scope3_SourceData.Scope3_Livestock_Data(), Table_SourceData_Scope3_Animals110[[#Headers],[Category]], 0, 2)</f>
        <v>kg liveweight</v>
      </c>
      <c r="H49" s="20" cm="1">
        <f t="array" ref="H49">Common_InputFunctions.Utility_DisplayArrayInTable(Scope3_SourceData.Scope3_Livestock_Data(), Table_SourceData_Scope3_Animals110[[#Headers],[Category]], 0, 2)</f>
        <v>20.8</v>
      </c>
      <c r="I49" s="20" t="str" cm="1">
        <f t="array" ref="I49">Common_InputFunctions.Utility_DisplayArrayInTable(Scope3_SourceData.Scope3_Livestock_Data(), Table_SourceData_Scope3_Animals110[[#Headers],[Category]], 0, 2)</f>
        <v>at market</v>
      </c>
      <c r="J49" s="20" t="s">
        <v>1190</v>
      </c>
      <c r="L49" s="1" t="s">
        <v>538</v>
      </c>
      <c r="M49" s="1" t="s">
        <v>538</v>
      </c>
    </row>
    <row r="50" spans="1:13" ht="20" customHeight="1" x14ac:dyDescent="0.25">
      <c r="A50" s="85" t="s">
        <v>1</v>
      </c>
      <c r="D50" s="20" t="str" cm="1">
        <f t="array" ref="D50">Common_InputFunctions.Utility_DisplayArrayInTable(Scope3_SourceData.Scope3_Livestock_Data(), Table_SourceData_Scope3_Animals110[[#Headers],[Category]], 0, 2)</f>
        <v>Beef cattle</v>
      </c>
      <c r="E50" s="20" t="str" cm="1">
        <f t="array" ref="E50">Common_InputFunctions.Utility_DisplayArrayInTable(Scope3_SourceData.Scope3_Livestock_Data(), Table_SourceData_Scope3_Animals110[[#Headers],[Category]], 0, 2)</f>
        <v>Cattle, weaners</v>
      </c>
      <c r="F50" s="20" t="str" cm="1">
        <f t="array" ref="F50">Common_InputFunctions.Utility_DisplayArrayInTable(Scope3_SourceData.Scope3_Livestock_Data(), Table_SourceData_Scope3_Animals110[[#Headers],[Category]], 0, 2)</f>
        <v>Australia</v>
      </c>
      <c r="G50" s="20" t="str" cm="1">
        <f t="array" ref="G50">Common_InputFunctions.Utility_DisplayArrayInTable(Scope3_SourceData.Scope3_Livestock_Data(), Table_SourceData_Scope3_Animals110[[#Headers],[Category]], 0, 2)</f>
        <v>kg liveweight</v>
      </c>
      <c r="H50" s="20" cm="1">
        <f t="array" ref="H50">Common_InputFunctions.Utility_DisplayArrayInTable(Scope3_SourceData.Scope3_Livestock_Data(), Table_SourceData_Scope3_Animals110[[#Headers],[Category]], 0, 2)</f>
        <v>15.5</v>
      </c>
      <c r="I50" s="20" t="str" cm="1">
        <f t="array" ref="I50">Common_InputFunctions.Utility_DisplayArrayInTable(Scope3_SourceData.Scope3_Livestock_Data(), Table_SourceData_Scope3_Animals110[[#Headers],[Category]], 0, 2)</f>
        <v>at market</v>
      </c>
      <c r="J50" s="20" t="s">
        <v>1190</v>
      </c>
    </row>
    <row r="51" spans="1:13" ht="20" customHeight="1" x14ac:dyDescent="0.25">
      <c r="A51" s="5" t="str">
        <f>HYPERLINK("#'Constants - Pasture Beef'!A1", "Constants - Pasture Beef")</f>
        <v>Constants - Pasture Beef</v>
      </c>
      <c r="D51" s="20" t="str" cm="1">
        <f t="array" ref="D51">Common_InputFunctions.Utility_DisplayArrayInTable(Scope3_SourceData.Scope3_Livestock_Data(), Table_SourceData_Scope3_Animals110[[#Headers],[Category]], 0, 2)</f>
        <v>Beef cattle</v>
      </c>
      <c r="E51" s="20" t="str" cm="1">
        <f t="array" ref="E51">Common_InputFunctions.Utility_DisplayArrayInTable(Scope3_SourceData.Scope3_Livestock_Data(), Table_SourceData_Scope3_Animals110[[#Headers],[Category]], 0, 2)</f>
        <v>Cattle, weaners</v>
      </c>
      <c r="F51" s="20" t="str" cm="1">
        <f t="array" ref="F51">Common_InputFunctions.Utility_DisplayArrayInTable(Scope3_SourceData.Scope3_Livestock_Data(), Table_SourceData_Scope3_Animals110[[#Headers],[Category]], 0, 2)</f>
        <v>NSW</v>
      </c>
      <c r="G51" s="20" t="str" cm="1">
        <f t="array" ref="G51">Common_InputFunctions.Utility_DisplayArrayInTable(Scope3_SourceData.Scope3_Livestock_Data(), Table_SourceData_Scope3_Animals110[[#Headers],[Category]], 0, 2)</f>
        <v>kg liveweight</v>
      </c>
      <c r="H51" s="20" cm="1">
        <f t="array" ref="H51">Common_InputFunctions.Utility_DisplayArrayInTable(Scope3_SourceData.Scope3_Livestock_Data(), Table_SourceData_Scope3_Animals110[[#Headers],[Category]], 0, 2)</f>
        <v>12.7</v>
      </c>
      <c r="I51" s="20" t="str" cm="1">
        <f t="array" ref="I51">Common_InputFunctions.Utility_DisplayArrayInTable(Scope3_SourceData.Scope3_Livestock_Data(), Table_SourceData_Scope3_Animals110[[#Headers],[Category]], 0, 2)</f>
        <v>at market</v>
      </c>
      <c r="J51" s="20" t="s">
        <v>1190</v>
      </c>
    </row>
    <row r="52" spans="1:13" ht="20" customHeight="1" x14ac:dyDescent="0.25">
      <c r="A52" s="5" t="str">
        <f>HYPERLINK("#'Constants - Ag Residue'!A1", "Constants - Ag residue")</f>
        <v>Constants - Ag residue</v>
      </c>
      <c r="D52" s="20" t="str" cm="1">
        <f t="array" ref="D52">Common_InputFunctions.Utility_DisplayArrayInTable(Scope3_SourceData.Scope3_Livestock_Data(), Table_SourceData_Scope3_Animals110[[#Headers],[Category]], 0, 2)</f>
        <v>Beef cattle</v>
      </c>
      <c r="E52" s="20" t="str" cm="1">
        <f t="array" ref="E52">Common_InputFunctions.Utility_DisplayArrayInTable(Scope3_SourceData.Scope3_Livestock_Data(), Table_SourceData_Scope3_Animals110[[#Headers],[Category]], 0, 2)</f>
        <v>Cattle, weaners</v>
      </c>
      <c r="F52" s="20" t="str" cm="1">
        <f t="array" ref="F52">Common_InputFunctions.Utility_DisplayArrayInTable(Scope3_SourceData.Scope3_Livestock_Data(), Table_SourceData_Scope3_Animals110[[#Headers],[Category]], 0, 2)</f>
        <v>NT</v>
      </c>
      <c r="G52" s="20" t="str" cm="1">
        <f t="array" ref="G52">Common_InputFunctions.Utility_DisplayArrayInTable(Scope3_SourceData.Scope3_Livestock_Data(), Table_SourceData_Scope3_Animals110[[#Headers],[Category]], 0, 2)</f>
        <v>kg liveweight</v>
      </c>
      <c r="H52" s="20" cm="1">
        <f t="array" ref="H52">Common_InputFunctions.Utility_DisplayArrayInTable(Scope3_SourceData.Scope3_Livestock_Data(), Table_SourceData_Scope3_Animals110[[#Headers],[Category]], 0, 2)</f>
        <v>19.100000000000001</v>
      </c>
      <c r="I52" s="20" t="str" cm="1">
        <f t="array" ref="I52">Common_InputFunctions.Utility_DisplayArrayInTable(Scope3_SourceData.Scope3_Livestock_Data(), Table_SourceData_Scope3_Animals110[[#Headers],[Category]], 0, 2)</f>
        <v>at market</v>
      </c>
      <c r="J52" s="20" t="s">
        <v>1190</v>
      </c>
    </row>
    <row r="53" spans="1:13" ht="20" customHeight="1" x14ac:dyDescent="0.25">
      <c r="A53" s="5" t="str">
        <f>HYPERLINK("#'Constants - Common Livestock'!A1", "Constants - Common Livestock")</f>
        <v>Constants - Common Livestock</v>
      </c>
      <c r="D53" s="20" t="str" cm="1">
        <f t="array" ref="D53">Common_InputFunctions.Utility_DisplayArrayInTable(Scope3_SourceData.Scope3_Livestock_Data(), Table_SourceData_Scope3_Animals110[[#Headers],[Category]], 0, 2)</f>
        <v>Beef cattle</v>
      </c>
      <c r="E53" s="20" t="str" cm="1">
        <f t="array" ref="E53">Common_InputFunctions.Utility_DisplayArrayInTable(Scope3_SourceData.Scope3_Livestock_Data(), Table_SourceData_Scope3_Animals110[[#Headers],[Category]], 0, 2)</f>
        <v>Cattle, weaners</v>
      </c>
      <c r="F53" s="20" t="str" cm="1">
        <f t="array" ref="F53">Common_InputFunctions.Utility_DisplayArrayInTable(Scope3_SourceData.Scope3_Livestock_Data(), Table_SourceData_Scope3_Animals110[[#Headers],[Category]], 0, 2)</f>
        <v>QLD</v>
      </c>
      <c r="G53" s="20" t="str" cm="1">
        <f t="array" ref="G53">Common_InputFunctions.Utility_DisplayArrayInTable(Scope3_SourceData.Scope3_Livestock_Data(), Table_SourceData_Scope3_Animals110[[#Headers],[Category]], 0, 2)</f>
        <v>kg liveweight</v>
      </c>
      <c r="H53" s="20" cm="1">
        <f t="array" ref="H53">Common_InputFunctions.Utility_DisplayArrayInTable(Scope3_SourceData.Scope3_Livestock_Data(), Table_SourceData_Scope3_Animals110[[#Headers],[Category]], 0, 2)</f>
        <v>20.5</v>
      </c>
      <c r="I53" s="20" t="str" cm="1">
        <f t="array" ref="I53">Common_InputFunctions.Utility_DisplayArrayInTable(Scope3_SourceData.Scope3_Livestock_Data(), Table_SourceData_Scope3_Animals110[[#Headers],[Category]], 0, 2)</f>
        <v>at market</v>
      </c>
      <c r="J53" s="20" t="s">
        <v>1190</v>
      </c>
    </row>
    <row r="54" spans="1:13" ht="20" customHeight="1" x14ac:dyDescent="0.25">
      <c r="A54" s="5" t="str">
        <f>HYPERLINK("#'Constants - Electricity'!A1", "Constants - Electricity")</f>
        <v>Constants - Electricity</v>
      </c>
      <c r="D54" s="20" t="str" cm="1">
        <f t="array" ref="D54">Common_InputFunctions.Utility_DisplayArrayInTable(Scope3_SourceData.Scope3_Livestock_Data(), Table_SourceData_Scope3_Animals110[[#Headers],[Category]], 0, 2)</f>
        <v>Beef cattle</v>
      </c>
      <c r="E54" s="20" t="str" cm="1">
        <f t="array" ref="E54">Common_InputFunctions.Utility_DisplayArrayInTable(Scope3_SourceData.Scope3_Livestock_Data(), Table_SourceData_Scope3_Animals110[[#Headers],[Category]], 0, 2)</f>
        <v>Cattle, weaners</v>
      </c>
      <c r="F54" s="20" t="str" cm="1">
        <f t="array" ref="F54">Common_InputFunctions.Utility_DisplayArrayInTable(Scope3_SourceData.Scope3_Livestock_Data(), Table_SourceData_Scope3_Animals110[[#Headers],[Category]], 0, 2)</f>
        <v>SA</v>
      </c>
      <c r="G54" s="20" t="str" cm="1">
        <f t="array" ref="G54">Common_InputFunctions.Utility_DisplayArrayInTable(Scope3_SourceData.Scope3_Livestock_Data(), Table_SourceData_Scope3_Animals110[[#Headers],[Category]], 0, 2)</f>
        <v>kg liveweight</v>
      </c>
      <c r="H54" s="20" cm="1">
        <f t="array" ref="H54">Common_InputFunctions.Utility_DisplayArrayInTable(Scope3_SourceData.Scope3_Livestock_Data(), Table_SourceData_Scope3_Animals110[[#Headers],[Category]], 0, 2)</f>
        <v>10.8</v>
      </c>
      <c r="I54" s="20" t="str" cm="1">
        <f t="array" ref="I54">Common_InputFunctions.Utility_DisplayArrayInTable(Scope3_SourceData.Scope3_Livestock_Data(), Table_SourceData_Scope3_Animals110[[#Headers],[Category]], 0, 2)</f>
        <v>at market</v>
      </c>
      <c r="J54" s="20" t="s">
        <v>1190</v>
      </c>
    </row>
    <row r="55" spans="1:13" ht="20" customHeight="1" x14ac:dyDescent="0.25">
      <c r="A55" s="5" t="str">
        <f>HYPERLINK("#'Constants - Fertiliser'!A1", "Constants - Fertiliser")</f>
        <v>Constants - Fertiliser</v>
      </c>
      <c r="D55" s="20" t="str" cm="1">
        <f t="array" ref="D55">Common_InputFunctions.Utility_DisplayArrayInTable(Scope3_SourceData.Scope3_Livestock_Data(), Table_SourceData_Scope3_Animals110[[#Headers],[Category]], 0, 2)</f>
        <v>Beef cattle</v>
      </c>
      <c r="E55" s="20" t="str" cm="1">
        <f t="array" ref="E55">Common_InputFunctions.Utility_DisplayArrayInTable(Scope3_SourceData.Scope3_Livestock_Data(), Table_SourceData_Scope3_Animals110[[#Headers],[Category]], 0, 2)</f>
        <v>Cattle, weaners</v>
      </c>
      <c r="F55" s="20" t="str" cm="1">
        <f t="array" ref="F55">Common_InputFunctions.Utility_DisplayArrayInTable(Scope3_SourceData.Scope3_Livestock_Data(), Table_SourceData_Scope3_Animals110[[#Headers],[Category]], 0, 2)</f>
        <v>TAS</v>
      </c>
      <c r="G55" s="20" t="str" cm="1">
        <f t="array" ref="G55">Common_InputFunctions.Utility_DisplayArrayInTable(Scope3_SourceData.Scope3_Livestock_Data(), Table_SourceData_Scope3_Animals110[[#Headers],[Category]], 0, 2)</f>
        <v>kg liveweight</v>
      </c>
      <c r="H55" s="20" cm="1">
        <f t="array" ref="H55">Common_InputFunctions.Utility_DisplayArrayInTable(Scope3_SourceData.Scope3_Livestock_Data(), Table_SourceData_Scope3_Animals110[[#Headers],[Category]], 0, 2)</f>
        <v>13.4</v>
      </c>
      <c r="I55" s="20" t="str" cm="1">
        <f t="array" ref="I55">Common_InputFunctions.Utility_DisplayArrayInTable(Scope3_SourceData.Scope3_Livestock_Data(), Table_SourceData_Scope3_Animals110[[#Headers],[Category]], 0, 2)</f>
        <v>at market</v>
      </c>
      <c r="J55" s="20" t="s">
        <v>1190</v>
      </c>
    </row>
    <row r="56" spans="1:13" ht="20" customHeight="1" x14ac:dyDescent="0.25">
      <c r="A56" s="5" t="str">
        <f>HYPERLINK("#'Constants - Fuel'!A1", "Constants - Fuel")</f>
        <v>Constants - Fuel</v>
      </c>
      <c r="D56" s="20" t="str" cm="1">
        <f t="array" ref="D56">Common_InputFunctions.Utility_DisplayArrayInTable(Scope3_SourceData.Scope3_Livestock_Data(), Table_SourceData_Scope3_Animals110[[#Headers],[Category]], 0, 2)</f>
        <v>Beef cattle</v>
      </c>
      <c r="E56" s="20" t="str" cm="1">
        <f t="array" ref="E56">Common_InputFunctions.Utility_DisplayArrayInTable(Scope3_SourceData.Scope3_Livestock_Data(), Table_SourceData_Scope3_Animals110[[#Headers],[Category]], 0, 2)</f>
        <v>Cattle, weaners</v>
      </c>
      <c r="F56" s="20" t="str" cm="1">
        <f t="array" ref="F56">Common_InputFunctions.Utility_DisplayArrayInTable(Scope3_SourceData.Scope3_Livestock_Data(), Table_SourceData_Scope3_Animals110[[#Headers],[Category]], 0, 2)</f>
        <v>VIC</v>
      </c>
      <c r="G56" s="20" t="str" cm="1">
        <f t="array" ref="G56">Common_InputFunctions.Utility_DisplayArrayInTable(Scope3_SourceData.Scope3_Livestock_Data(), Table_SourceData_Scope3_Animals110[[#Headers],[Category]], 0, 2)</f>
        <v>kg liveweight</v>
      </c>
      <c r="H56" s="20" cm="1">
        <f t="array" ref="H56">Common_InputFunctions.Utility_DisplayArrayInTable(Scope3_SourceData.Scope3_Livestock_Data(), Table_SourceData_Scope3_Animals110[[#Headers],[Category]], 0, 2)</f>
        <v>12</v>
      </c>
      <c r="I56" s="20" t="str" cm="1">
        <f t="array" ref="I56">Common_InputFunctions.Utility_DisplayArrayInTable(Scope3_SourceData.Scope3_Livestock_Data(), Table_SourceData_Scope3_Animals110[[#Headers],[Category]], 0, 2)</f>
        <v>at market</v>
      </c>
      <c r="J56" s="20" t="s">
        <v>1190</v>
      </c>
    </row>
    <row r="57" spans="1:13" ht="20" customHeight="1" x14ac:dyDescent="0.25">
      <c r="A57" s="86" t="str">
        <f>HYPERLINK("#'Constants - Scope 3'!A1", "Constants - Scope 3")</f>
        <v>Constants - Scope 3</v>
      </c>
      <c r="D57" s="20" t="str" cm="1">
        <f t="array" ref="D57">Common_InputFunctions.Utility_DisplayArrayInTable(Scope3_SourceData.Scope3_Livestock_Data(), Table_SourceData_Scope3_Animals110[[#Headers],[Category]], 0, 2)</f>
        <v>Beef cattle</v>
      </c>
      <c r="E57" s="20" t="str" cm="1">
        <f t="array" ref="E57">Common_InputFunctions.Utility_DisplayArrayInTable(Scope3_SourceData.Scope3_Livestock_Data(), Table_SourceData_Scope3_Animals110[[#Headers],[Category]], 0, 2)</f>
        <v>Cattle, weaners</v>
      </c>
      <c r="F57" s="20" t="str" cm="1">
        <f t="array" ref="F57">Common_InputFunctions.Utility_DisplayArrayInTable(Scope3_SourceData.Scope3_Livestock_Data(), Table_SourceData_Scope3_Animals110[[#Headers],[Category]], 0, 2)</f>
        <v>WA</v>
      </c>
      <c r="G57" s="20" t="str" cm="1">
        <f t="array" ref="G57">Common_InputFunctions.Utility_DisplayArrayInTable(Scope3_SourceData.Scope3_Livestock_Data(), Table_SourceData_Scope3_Animals110[[#Headers],[Category]], 0, 2)</f>
        <v>kg liveweight</v>
      </c>
      <c r="H57" s="20" cm="1">
        <f t="array" ref="H57">Common_InputFunctions.Utility_DisplayArrayInTable(Scope3_SourceData.Scope3_Livestock_Data(), Table_SourceData_Scope3_Animals110[[#Headers],[Category]], 0, 2)</f>
        <v>12.4</v>
      </c>
      <c r="I57" s="20" t="str" cm="1">
        <f t="array" ref="I57">Common_InputFunctions.Utility_DisplayArrayInTable(Scope3_SourceData.Scope3_Livestock_Data(), Table_SourceData_Scope3_Animals110[[#Headers],[Category]], 0, 2)</f>
        <v>at market</v>
      </c>
      <c r="J57" s="20" t="s">
        <v>1190</v>
      </c>
    </row>
    <row r="58" spans="1:13" ht="20" customHeight="1" x14ac:dyDescent="0.25">
      <c r="A58" s="5" t="str">
        <f>HYPERLINK("#'Constants - Solid Waste'!A1", "Constants - Solid Waste")</f>
        <v>Constants - Solid Waste</v>
      </c>
      <c r="D58" s="20" t="str" cm="1">
        <f t="array" ref="D58">Common_InputFunctions.Utility_DisplayArrayInTable(Scope3_SourceData.Scope3_Livestock_Data(), Table_SourceData_Scope3_Animals110[[#Headers],[Category]], 0, 2)</f>
        <v>Chickens</v>
      </c>
      <c r="E58" s="20" t="str" cm="1">
        <f t="array" ref="E58">Common_InputFunctions.Utility_DisplayArrayInTable(Scope3_SourceData.Scope3_Livestock_Data(), Table_SourceData_Scope3_Animals110[[#Headers],[Category]], 0, 2)</f>
        <v>Chickens</v>
      </c>
      <c r="F58" s="20" t="str" cm="1">
        <f t="array" ref="F58">Common_InputFunctions.Utility_DisplayArrayInTable(Scope3_SourceData.Scope3_Livestock_Data(), Table_SourceData_Scope3_Animals110[[#Headers],[Category]], 0, 2)</f>
        <v>Australia</v>
      </c>
      <c r="G58" s="20" t="str" cm="1">
        <f t="array" ref="G58">Common_InputFunctions.Utility_DisplayArrayInTable(Scope3_SourceData.Scope3_Livestock_Data(), Table_SourceData_Scope3_Animals110[[#Headers],[Category]], 0, 2)</f>
        <v>kg liveweight</v>
      </c>
      <c r="H58" s="20" cm="1">
        <f t="array" ref="H58">Common_InputFunctions.Utility_DisplayArrayInTable(Scope3_SourceData.Scope3_Livestock_Data(), Table_SourceData_Scope3_Animals110[[#Headers],[Category]], 0, 2)</f>
        <v>1.36</v>
      </c>
      <c r="I58" s="20" t="str" cm="1">
        <f t="array" ref="I58">Common_InputFunctions.Utility_DisplayArrayInTable(Scope3_SourceData.Scope3_Livestock_Data(), Table_SourceData_Scope3_Animals110[[#Headers],[Category]], 0, 2)</f>
        <v>at market</v>
      </c>
      <c r="J58" s="20" t="s">
        <v>1190</v>
      </c>
    </row>
    <row r="59" spans="1:13" ht="20" customHeight="1" x14ac:dyDescent="0.25">
      <c r="A59" s="5" t="str">
        <f>HYPERLINK("#'Constants - Common'!A1", "Constants - Common")</f>
        <v>Constants - Common</v>
      </c>
      <c r="D59" s="20" t="str" cm="1">
        <f t="array" ref="D59">Common_InputFunctions.Utility_DisplayArrayInTable(Scope3_SourceData.Scope3_Livestock_Data(), Table_SourceData_Scope3_Animals110[[#Headers],[Category]], 0, 2)</f>
        <v>Dairy cattle</v>
      </c>
      <c r="E59" s="20" t="str" cm="1">
        <f t="array" ref="E59">Common_InputFunctions.Utility_DisplayArrayInTable(Scope3_SourceData.Scope3_Livestock_Data(), Table_SourceData_Scope3_Animals110[[#Headers],[Category]], 0, 2)</f>
        <v>Dairy cows</v>
      </c>
      <c r="F59" s="20" t="str" cm="1">
        <f t="array" ref="F59">Common_InputFunctions.Utility_DisplayArrayInTable(Scope3_SourceData.Scope3_Livestock_Data(), Table_SourceData_Scope3_Animals110[[#Headers],[Category]], 0, 2)</f>
        <v>VIC</v>
      </c>
      <c r="G59" s="20" t="str" cm="1">
        <f t="array" ref="G59">Common_InputFunctions.Utility_DisplayArrayInTable(Scope3_SourceData.Scope3_Livestock_Data(), Table_SourceData_Scope3_Animals110[[#Headers],[Category]], 0, 2)</f>
        <v>kg liveweight</v>
      </c>
      <c r="H59" s="20" cm="1">
        <f t="array" ref="H59">Common_InputFunctions.Utility_DisplayArrayInTable(Scope3_SourceData.Scope3_Livestock_Data(), Table_SourceData_Scope3_Animals110[[#Headers],[Category]], 0, 2)</f>
        <v>4.41</v>
      </c>
      <c r="I59" s="20" t="str" cm="1">
        <f t="array" ref="I59">Common_InputFunctions.Utility_DisplayArrayInTable(Scope3_SourceData.Scope3_Livestock_Data(), Table_SourceData_Scope3_Animals110[[#Headers],[Category]], 0, 2)</f>
        <v>at market</v>
      </c>
      <c r="J59" s="20" t="s">
        <v>1190</v>
      </c>
    </row>
    <row r="60" spans="1:13" ht="20" customHeight="1" x14ac:dyDescent="0.25">
      <c r="A60" s="5" t="str">
        <f>HYPERLINK("#'Acknowledgements'!A1", "Acknowledgements")</f>
        <v>Acknowledgements</v>
      </c>
      <c r="D60" s="20" t="str" cm="1">
        <f t="array" ref="D60">Common_InputFunctions.Utility_DisplayArrayInTable(Scope3_SourceData.Scope3_Livestock_Data(), Table_SourceData_Scope3_Animals110[[#Headers],[Category]], 0, 2)</f>
        <v>Pigs</v>
      </c>
      <c r="E60" s="20" t="str" cm="1">
        <f t="array" ref="E60">Common_InputFunctions.Utility_DisplayArrayInTable(Scope3_SourceData.Scope3_Livestock_Data(), Table_SourceData_Scope3_Animals110[[#Headers],[Category]], 0, 2)</f>
        <v>Pigs</v>
      </c>
      <c r="F60" s="20" t="str" cm="1">
        <f t="array" ref="F60">Common_InputFunctions.Utility_DisplayArrayInTable(Scope3_SourceData.Scope3_Livestock_Data(), Table_SourceData_Scope3_Animals110[[#Headers],[Category]], 0, 2)</f>
        <v>Australia</v>
      </c>
      <c r="G60" s="20" t="str" cm="1">
        <f t="array" ref="G60">Common_InputFunctions.Utility_DisplayArrayInTable(Scope3_SourceData.Scope3_Livestock_Data(), Table_SourceData_Scope3_Animals110[[#Headers],[Category]], 0, 2)</f>
        <v>kg liveweight</v>
      </c>
      <c r="H60" s="20" cm="1">
        <f t="array" ref="H60">Common_InputFunctions.Utility_DisplayArrayInTable(Scope3_SourceData.Scope3_Livestock_Data(), Table_SourceData_Scope3_Animals110[[#Headers],[Category]], 0, 2)</f>
        <v>3.38</v>
      </c>
      <c r="I60" s="20" t="str" cm="1">
        <f t="array" ref="I60">Common_InputFunctions.Utility_DisplayArrayInTable(Scope3_SourceData.Scope3_Livestock_Data(), Table_SourceData_Scope3_Animals110[[#Headers],[Category]], 0, 2)</f>
        <v>at market</v>
      </c>
      <c r="J60" s="20" t="s">
        <v>1190</v>
      </c>
    </row>
    <row r="61" spans="1:13" ht="20" customHeight="1" x14ac:dyDescent="0.25">
      <c r="A61"/>
      <c r="D61" s="20" t="str" cm="1">
        <f t="array" ref="D61">Common_InputFunctions.Utility_DisplayArrayInTable(Scope3_SourceData.Scope3_Livestock_Data(), Table_SourceData_Scope3_Animals110[[#Headers],[Category]], 0, 2)</f>
        <v>Sheep</v>
      </c>
      <c r="E61" s="20" t="str" cm="1">
        <f t="array" ref="E61">Common_InputFunctions.Utility_DisplayArrayInTable(Scope3_SourceData.Scope3_Livestock_Data(), Table_SourceData_Scope3_Animals110[[#Headers],[Category]], 0, 2)</f>
        <v>Sheep, for mutton</v>
      </c>
      <c r="F61" s="20" t="str" cm="1">
        <f t="array" ref="F61">Common_InputFunctions.Utility_DisplayArrayInTable(Scope3_SourceData.Scope3_Livestock_Data(), Table_SourceData_Scope3_Animals110[[#Headers],[Category]], 0, 2)</f>
        <v>Australia</v>
      </c>
      <c r="G61" s="20" t="str" cm="1">
        <f t="array" ref="G61">Common_InputFunctions.Utility_DisplayArrayInTable(Scope3_SourceData.Scope3_Livestock_Data(), Table_SourceData_Scope3_Animals110[[#Headers],[Category]], 0, 2)</f>
        <v>kg liveweight</v>
      </c>
      <c r="H61" s="20" cm="1">
        <f t="array" ref="H61">Common_InputFunctions.Utility_DisplayArrayInTable(Scope3_SourceData.Scope3_Livestock_Data(), Table_SourceData_Scope3_Animals110[[#Headers],[Category]], 0, 2)</f>
        <v>6.81</v>
      </c>
      <c r="I61" s="20" t="str" cm="1">
        <f t="array" ref="I61">Common_InputFunctions.Utility_DisplayArrayInTable(Scope3_SourceData.Scope3_Livestock_Data(), Table_SourceData_Scope3_Animals110[[#Headers],[Category]], 0, 2)</f>
        <v>at market</v>
      </c>
      <c r="J61" s="20" t="s">
        <v>1190</v>
      </c>
    </row>
    <row r="62" spans="1:13" ht="20" customHeight="1" x14ac:dyDescent="0.25">
      <c r="A62"/>
      <c r="D62" s="20" t="str" cm="1">
        <f t="array" ref="D62">Common_InputFunctions.Utility_DisplayArrayInTable(Scope3_SourceData.Scope3_Livestock_Data(), Table_SourceData_Scope3_Animals110[[#Headers],[Category]], 0, 2)</f>
        <v>Sheep</v>
      </c>
      <c r="E62" s="20" t="str" cm="1">
        <f t="array" ref="E62">Common_InputFunctions.Utility_DisplayArrayInTable(Scope3_SourceData.Scope3_Livestock_Data(), Table_SourceData_Scope3_Animals110[[#Headers],[Category]], 0, 2)</f>
        <v>Sheep, for mutton</v>
      </c>
      <c r="F62" s="20" t="str" cm="1">
        <f t="array" ref="F62">Common_InputFunctions.Utility_DisplayArrayInTable(Scope3_SourceData.Scope3_Livestock_Data(), Table_SourceData_Scope3_Animals110[[#Headers],[Category]], 0, 2)</f>
        <v>NSW</v>
      </c>
      <c r="G62" s="20" t="str" cm="1">
        <f t="array" ref="G62">Common_InputFunctions.Utility_DisplayArrayInTable(Scope3_SourceData.Scope3_Livestock_Data(), Table_SourceData_Scope3_Animals110[[#Headers],[Category]], 0, 2)</f>
        <v>kg liveweight</v>
      </c>
      <c r="H62" s="20" cm="1">
        <f t="array" ref="H62">Common_InputFunctions.Utility_DisplayArrayInTable(Scope3_SourceData.Scope3_Livestock_Data(), Table_SourceData_Scope3_Animals110[[#Headers],[Category]], 0, 2)</f>
        <v>2.2599999999999998</v>
      </c>
      <c r="I62" s="20" t="str" cm="1">
        <f t="array" ref="I62">Common_InputFunctions.Utility_DisplayArrayInTable(Scope3_SourceData.Scope3_Livestock_Data(), Table_SourceData_Scope3_Animals110[[#Headers],[Category]], 0, 2)</f>
        <v>at market</v>
      </c>
      <c r="J62" s="20" t="s">
        <v>1190</v>
      </c>
    </row>
    <row r="63" spans="1:13" ht="20" customHeight="1" x14ac:dyDescent="0.25">
      <c r="A63"/>
      <c r="D63" s="20" t="str" cm="1">
        <f t="array" ref="D63">Common_InputFunctions.Utility_DisplayArrayInTable(Scope3_SourceData.Scope3_Livestock_Data(), Table_SourceData_Scope3_Animals110[[#Headers],[Category]], 0, 2)</f>
        <v>Sheep</v>
      </c>
      <c r="E63" s="20" t="str" cm="1">
        <f t="array" ref="E63">Common_InputFunctions.Utility_DisplayArrayInTable(Scope3_SourceData.Scope3_Livestock_Data(), Table_SourceData_Scope3_Animals110[[#Headers],[Category]], 0, 2)</f>
        <v>Sheep, for mutton</v>
      </c>
      <c r="F63" s="20" t="str" cm="1">
        <f t="array" ref="F63">Common_InputFunctions.Utility_DisplayArrayInTable(Scope3_SourceData.Scope3_Livestock_Data(), Table_SourceData_Scope3_Animals110[[#Headers],[Category]], 0, 2)</f>
        <v>QLD</v>
      </c>
      <c r="G63" s="20" t="str" cm="1">
        <f t="array" ref="G63">Common_InputFunctions.Utility_DisplayArrayInTable(Scope3_SourceData.Scope3_Livestock_Data(), Table_SourceData_Scope3_Animals110[[#Headers],[Category]], 0, 2)</f>
        <v>kg liveweight</v>
      </c>
      <c r="H63" s="20" cm="1">
        <f t="array" ref="H63">Common_InputFunctions.Utility_DisplayArrayInTable(Scope3_SourceData.Scope3_Livestock_Data(), Table_SourceData_Scope3_Animals110[[#Headers],[Category]], 0, 2)</f>
        <v>6.33</v>
      </c>
      <c r="I63" s="20" t="str" cm="1">
        <f t="array" ref="I63">Common_InputFunctions.Utility_DisplayArrayInTable(Scope3_SourceData.Scope3_Livestock_Data(), Table_SourceData_Scope3_Animals110[[#Headers],[Category]], 0, 2)</f>
        <v>at market</v>
      </c>
      <c r="J63" s="20" t="s">
        <v>1190</v>
      </c>
    </row>
    <row r="64" spans="1:13" ht="20" customHeight="1" x14ac:dyDescent="0.25">
      <c r="A64"/>
      <c r="D64" s="20" t="str" cm="1">
        <f t="array" ref="D64">Common_InputFunctions.Utility_DisplayArrayInTable(Scope3_SourceData.Scope3_Livestock_Data(), Table_SourceData_Scope3_Animals110[[#Headers],[Category]], 0, 2)</f>
        <v>Sheep</v>
      </c>
      <c r="E64" s="20" t="str" cm="1">
        <f t="array" ref="E64">Common_InputFunctions.Utility_DisplayArrayInTable(Scope3_SourceData.Scope3_Livestock_Data(), Table_SourceData_Scope3_Animals110[[#Headers],[Category]], 0, 2)</f>
        <v>Sheep, for mutton</v>
      </c>
      <c r="F64" s="20" t="str" cm="1">
        <f t="array" ref="F64">Common_InputFunctions.Utility_DisplayArrayInTable(Scope3_SourceData.Scope3_Livestock_Data(), Table_SourceData_Scope3_Animals110[[#Headers],[Category]], 0, 2)</f>
        <v>SA</v>
      </c>
      <c r="G64" s="20" t="str" cm="1">
        <f t="array" ref="G64">Common_InputFunctions.Utility_DisplayArrayInTable(Scope3_SourceData.Scope3_Livestock_Data(), Table_SourceData_Scope3_Animals110[[#Headers],[Category]], 0, 2)</f>
        <v>kg liveweight</v>
      </c>
      <c r="H64" s="20" cm="1">
        <f t="array" ref="H64">Common_InputFunctions.Utility_DisplayArrayInTable(Scope3_SourceData.Scope3_Livestock_Data(), Table_SourceData_Scope3_Animals110[[#Headers],[Category]], 0, 2)</f>
        <v>6.18</v>
      </c>
      <c r="I64" s="20" t="str" cm="1">
        <f t="array" ref="I64">Common_InputFunctions.Utility_DisplayArrayInTable(Scope3_SourceData.Scope3_Livestock_Data(), Table_SourceData_Scope3_Animals110[[#Headers],[Category]], 0, 2)</f>
        <v>at market</v>
      </c>
      <c r="J64" s="20" t="s">
        <v>1190</v>
      </c>
    </row>
    <row r="65" spans="1:10" ht="20" customHeight="1" x14ac:dyDescent="0.25">
      <c r="A65"/>
      <c r="D65" s="20" t="str" cm="1">
        <f t="array" ref="D65">Common_InputFunctions.Utility_DisplayArrayInTable(Scope3_SourceData.Scope3_Livestock_Data(), Table_SourceData_Scope3_Animals110[[#Headers],[Category]], 0, 2)</f>
        <v>Sheep</v>
      </c>
      <c r="E65" s="20" t="str" cm="1">
        <f t="array" ref="E65">Common_InputFunctions.Utility_DisplayArrayInTable(Scope3_SourceData.Scope3_Livestock_Data(), Table_SourceData_Scope3_Animals110[[#Headers],[Category]], 0, 2)</f>
        <v>Sheep, for mutton</v>
      </c>
      <c r="F65" s="20" t="str" cm="1">
        <f t="array" ref="F65">Common_InputFunctions.Utility_DisplayArrayInTable(Scope3_SourceData.Scope3_Livestock_Data(), Table_SourceData_Scope3_Animals110[[#Headers],[Category]], 0, 2)</f>
        <v>TAS</v>
      </c>
      <c r="G65" s="20" t="str" cm="1">
        <f t="array" ref="G65">Common_InputFunctions.Utility_DisplayArrayInTable(Scope3_SourceData.Scope3_Livestock_Data(), Table_SourceData_Scope3_Animals110[[#Headers],[Category]], 0, 2)</f>
        <v>kg liveweight</v>
      </c>
      <c r="H65" s="20" cm="1">
        <f t="array" ref="H65">Common_InputFunctions.Utility_DisplayArrayInTable(Scope3_SourceData.Scope3_Livestock_Data(), Table_SourceData_Scope3_Animals110[[#Headers],[Category]], 0, 2)</f>
        <v>7.5</v>
      </c>
      <c r="I65" s="20" t="str" cm="1">
        <f t="array" ref="I65">Common_InputFunctions.Utility_DisplayArrayInTable(Scope3_SourceData.Scope3_Livestock_Data(), Table_SourceData_Scope3_Animals110[[#Headers],[Category]], 0, 2)</f>
        <v>at market</v>
      </c>
      <c r="J65" s="20" t="s">
        <v>1190</v>
      </c>
    </row>
    <row r="66" spans="1:10" ht="20" customHeight="1" x14ac:dyDescent="0.25">
      <c r="A66"/>
      <c r="D66" s="20" t="str" cm="1">
        <f t="array" ref="D66">Common_InputFunctions.Utility_DisplayArrayInTable(Scope3_SourceData.Scope3_Livestock_Data(), Table_SourceData_Scope3_Animals110[[#Headers],[Category]], 0, 2)</f>
        <v>Sheep</v>
      </c>
      <c r="E66" s="20" t="str" cm="1">
        <f t="array" ref="E66">Common_InputFunctions.Utility_DisplayArrayInTable(Scope3_SourceData.Scope3_Livestock_Data(), Table_SourceData_Scope3_Animals110[[#Headers],[Category]], 0, 2)</f>
        <v>Sheep, for mutton</v>
      </c>
      <c r="F66" s="20" t="str" cm="1">
        <f t="array" ref="F66">Common_InputFunctions.Utility_DisplayArrayInTable(Scope3_SourceData.Scope3_Livestock_Data(), Table_SourceData_Scope3_Animals110[[#Headers],[Category]], 0, 2)</f>
        <v>VIC</v>
      </c>
      <c r="G66" s="20" t="str" cm="1">
        <f t="array" ref="G66">Common_InputFunctions.Utility_DisplayArrayInTable(Scope3_SourceData.Scope3_Livestock_Data(), Table_SourceData_Scope3_Animals110[[#Headers],[Category]], 0, 2)</f>
        <v>kg liveweight</v>
      </c>
      <c r="H66" s="20" cm="1">
        <f t="array" ref="H66">Common_InputFunctions.Utility_DisplayArrayInTable(Scope3_SourceData.Scope3_Livestock_Data(), Table_SourceData_Scope3_Animals110[[#Headers],[Category]], 0, 2)</f>
        <v>8.08</v>
      </c>
      <c r="I66" s="20" t="str" cm="1">
        <f t="array" ref="I66">Common_InputFunctions.Utility_DisplayArrayInTable(Scope3_SourceData.Scope3_Livestock_Data(), Table_SourceData_Scope3_Animals110[[#Headers],[Category]], 0, 2)</f>
        <v>at market</v>
      </c>
      <c r="J66" s="20" t="s">
        <v>1190</v>
      </c>
    </row>
    <row r="67" spans="1:10" ht="20" customHeight="1" x14ac:dyDescent="0.25">
      <c r="A67"/>
      <c r="D67" s="20" t="str" cm="1">
        <f t="array" ref="D67">Common_InputFunctions.Utility_DisplayArrayInTable(Scope3_SourceData.Scope3_Livestock_Data(), Table_SourceData_Scope3_Animals110[[#Headers],[Category]], 0, 2)</f>
        <v>Sheep</v>
      </c>
      <c r="E67" s="20" t="str" cm="1">
        <f t="array" ref="E67">Common_InputFunctions.Utility_DisplayArrayInTable(Scope3_SourceData.Scope3_Livestock_Data(), Table_SourceData_Scope3_Animals110[[#Headers],[Category]], 0, 2)</f>
        <v>Sheep, for mutton</v>
      </c>
      <c r="F67" s="20" t="str" cm="1">
        <f t="array" ref="F67">Common_InputFunctions.Utility_DisplayArrayInTable(Scope3_SourceData.Scope3_Livestock_Data(), Table_SourceData_Scope3_Animals110[[#Headers],[Category]], 0, 2)</f>
        <v>WA</v>
      </c>
      <c r="G67" s="20" t="str" cm="1">
        <f t="array" ref="G67">Common_InputFunctions.Utility_DisplayArrayInTable(Scope3_SourceData.Scope3_Livestock_Data(), Table_SourceData_Scope3_Animals110[[#Headers],[Category]], 0, 2)</f>
        <v>kg liveweight</v>
      </c>
      <c r="H67" s="20" cm="1">
        <f t="array" ref="H67">Common_InputFunctions.Utility_DisplayArrayInTable(Scope3_SourceData.Scope3_Livestock_Data(), Table_SourceData_Scope3_Animals110[[#Headers],[Category]], 0, 2)</f>
        <v>5.45</v>
      </c>
      <c r="I67" s="20" t="str" cm="1">
        <f t="array" ref="I67">Common_InputFunctions.Utility_DisplayArrayInTable(Scope3_SourceData.Scope3_Livestock_Data(), Table_SourceData_Scope3_Animals110[[#Headers],[Category]], 0, 2)</f>
        <v>at market</v>
      </c>
      <c r="J67" s="20" t="s">
        <v>1190</v>
      </c>
    </row>
    <row r="68" spans="1:10" ht="20" customHeight="1" x14ac:dyDescent="0.25">
      <c r="A68"/>
      <c r="D68" s="20" t="str" cm="1">
        <f t="array" ref="D68">Common_InputFunctions.Utility_DisplayArrayInTable(Scope3_SourceData.Scope3_Livestock_Data(), Table_SourceData_Scope3_Animals110[[#Headers],[Category]], 0, 2)</f>
        <v>Sheep</v>
      </c>
      <c r="E68" s="20" t="str" cm="1">
        <f t="array" ref="E68">Common_InputFunctions.Utility_DisplayArrayInTable(Scope3_SourceData.Scope3_Livestock_Data(), Table_SourceData_Scope3_Animals110[[#Headers],[Category]], 0, 2)</f>
        <v>Sheep, for prime lamb</v>
      </c>
      <c r="F68" s="20" t="str" cm="1">
        <f t="array" ref="F68">Common_InputFunctions.Utility_DisplayArrayInTable(Scope3_SourceData.Scope3_Livestock_Data(), Table_SourceData_Scope3_Animals110[[#Headers],[Category]], 0, 2)</f>
        <v>Australia</v>
      </c>
      <c r="G68" s="20" t="str" cm="1">
        <f t="array" ref="G68">Common_InputFunctions.Utility_DisplayArrayInTable(Scope3_SourceData.Scope3_Livestock_Data(), Table_SourceData_Scope3_Animals110[[#Headers],[Category]], 0, 2)</f>
        <v>kg liveweight</v>
      </c>
      <c r="H68" s="20" cm="1">
        <f t="array" ref="H68">Common_InputFunctions.Utility_DisplayArrayInTable(Scope3_SourceData.Scope3_Livestock_Data(), Table_SourceData_Scope3_Animals110[[#Headers],[Category]], 0, 2)</f>
        <v>7.15</v>
      </c>
      <c r="I68" s="20" t="str" cm="1">
        <f t="array" ref="I68">Common_InputFunctions.Utility_DisplayArrayInTable(Scope3_SourceData.Scope3_Livestock_Data(), Table_SourceData_Scope3_Animals110[[#Headers],[Category]], 0, 2)</f>
        <v>at market</v>
      </c>
      <c r="J68" s="20" t="s">
        <v>1190</v>
      </c>
    </row>
    <row r="69" spans="1:10" ht="20" customHeight="1" x14ac:dyDescent="0.25">
      <c r="A69"/>
      <c r="D69" s="20" t="str" cm="1">
        <f t="array" ref="D69">Common_InputFunctions.Utility_DisplayArrayInTable(Scope3_SourceData.Scope3_Livestock_Data(), Table_SourceData_Scope3_Animals110[[#Headers],[Category]], 0, 2)</f>
        <v>Sheep</v>
      </c>
      <c r="E69" s="20" t="str" cm="1">
        <f t="array" ref="E69">Common_InputFunctions.Utility_DisplayArrayInTable(Scope3_SourceData.Scope3_Livestock_Data(), Table_SourceData_Scope3_Animals110[[#Headers],[Category]], 0, 2)</f>
        <v>Sheep, for prime lamb</v>
      </c>
      <c r="F69" s="20" t="str" cm="1">
        <f t="array" ref="F69">Common_InputFunctions.Utility_DisplayArrayInTable(Scope3_SourceData.Scope3_Livestock_Data(), Table_SourceData_Scope3_Animals110[[#Headers],[Category]], 0, 2)</f>
        <v>NSW</v>
      </c>
      <c r="G69" s="20" t="str" cm="1">
        <f t="array" ref="G69">Common_InputFunctions.Utility_DisplayArrayInTable(Scope3_SourceData.Scope3_Livestock_Data(), Table_SourceData_Scope3_Animals110[[#Headers],[Category]], 0, 2)</f>
        <v>kg liveweight</v>
      </c>
      <c r="H69" s="20" cm="1">
        <f t="array" ref="H69">Common_InputFunctions.Utility_DisplayArrayInTable(Scope3_SourceData.Scope3_Livestock_Data(), Table_SourceData_Scope3_Animals110[[#Headers],[Category]], 0, 2)</f>
        <v>8.2899999999999991</v>
      </c>
      <c r="I69" s="20" t="str" cm="1">
        <f t="array" ref="I69">Common_InputFunctions.Utility_DisplayArrayInTable(Scope3_SourceData.Scope3_Livestock_Data(), Table_SourceData_Scope3_Animals110[[#Headers],[Category]], 0, 2)</f>
        <v>at market</v>
      </c>
      <c r="J69" s="20" t="s">
        <v>1190</v>
      </c>
    </row>
    <row r="70" spans="1:10" ht="20" customHeight="1" x14ac:dyDescent="0.25">
      <c r="A70"/>
      <c r="D70" s="20" t="str" cm="1">
        <f t="array" ref="D70">Common_InputFunctions.Utility_DisplayArrayInTable(Scope3_SourceData.Scope3_Livestock_Data(), Table_SourceData_Scope3_Animals110[[#Headers],[Category]], 0, 2)</f>
        <v>Sheep</v>
      </c>
      <c r="E70" s="20" t="str" cm="1">
        <f t="array" ref="E70">Common_InputFunctions.Utility_DisplayArrayInTable(Scope3_SourceData.Scope3_Livestock_Data(), Table_SourceData_Scope3_Animals110[[#Headers],[Category]], 0, 2)</f>
        <v>Sheep, for prime lamb</v>
      </c>
      <c r="F70" s="20" t="str" cm="1">
        <f t="array" ref="F70">Common_InputFunctions.Utility_DisplayArrayInTable(Scope3_SourceData.Scope3_Livestock_Data(), Table_SourceData_Scope3_Animals110[[#Headers],[Category]], 0, 2)</f>
        <v>QLD</v>
      </c>
      <c r="G70" s="20" t="str" cm="1">
        <f t="array" ref="G70">Common_InputFunctions.Utility_DisplayArrayInTable(Scope3_SourceData.Scope3_Livestock_Data(), Table_SourceData_Scope3_Animals110[[#Headers],[Category]], 0, 2)</f>
        <v>kg liveweight</v>
      </c>
      <c r="H70" s="20" cm="1">
        <f t="array" ref="H70">Common_InputFunctions.Utility_DisplayArrayInTable(Scope3_SourceData.Scope3_Livestock_Data(), Table_SourceData_Scope3_Animals110[[#Headers],[Category]], 0, 2)</f>
        <v>6.39</v>
      </c>
      <c r="I70" s="20" t="str" cm="1">
        <f t="array" ref="I70">Common_InputFunctions.Utility_DisplayArrayInTable(Scope3_SourceData.Scope3_Livestock_Data(), Table_SourceData_Scope3_Animals110[[#Headers],[Category]], 0, 2)</f>
        <v>at market</v>
      </c>
      <c r="J70" s="20" t="s">
        <v>1190</v>
      </c>
    </row>
    <row r="71" spans="1:10" ht="20" customHeight="1" x14ac:dyDescent="0.25">
      <c r="A71"/>
      <c r="D71" s="20" t="str" cm="1">
        <f t="array" ref="D71">Common_InputFunctions.Utility_DisplayArrayInTable(Scope3_SourceData.Scope3_Livestock_Data(), Table_SourceData_Scope3_Animals110[[#Headers],[Category]], 0, 2)</f>
        <v>Sheep</v>
      </c>
      <c r="E71" s="20" t="str" cm="1">
        <f t="array" ref="E71">Common_InputFunctions.Utility_DisplayArrayInTable(Scope3_SourceData.Scope3_Livestock_Data(), Table_SourceData_Scope3_Animals110[[#Headers],[Category]], 0, 2)</f>
        <v>Sheep, for prime lamb</v>
      </c>
      <c r="F71" s="20" t="str" cm="1">
        <f t="array" ref="F71">Common_InputFunctions.Utility_DisplayArrayInTable(Scope3_SourceData.Scope3_Livestock_Data(), Table_SourceData_Scope3_Animals110[[#Headers],[Category]], 0, 2)</f>
        <v>SA</v>
      </c>
      <c r="G71" s="20" t="str" cm="1">
        <f t="array" ref="G71">Common_InputFunctions.Utility_DisplayArrayInTable(Scope3_SourceData.Scope3_Livestock_Data(), Table_SourceData_Scope3_Animals110[[#Headers],[Category]], 0, 2)</f>
        <v>kg liveweight</v>
      </c>
      <c r="H71" s="20" cm="1">
        <f t="array" ref="H71">Common_InputFunctions.Utility_DisplayArrayInTable(Scope3_SourceData.Scope3_Livestock_Data(), Table_SourceData_Scope3_Animals110[[#Headers],[Category]], 0, 2)</f>
        <v>6.87</v>
      </c>
      <c r="I71" s="20" t="str" cm="1">
        <f t="array" ref="I71">Common_InputFunctions.Utility_DisplayArrayInTable(Scope3_SourceData.Scope3_Livestock_Data(), Table_SourceData_Scope3_Animals110[[#Headers],[Category]], 0, 2)</f>
        <v>at market</v>
      </c>
      <c r="J71" s="20" t="s">
        <v>1190</v>
      </c>
    </row>
    <row r="72" spans="1:10" ht="20" customHeight="1" x14ac:dyDescent="0.25">
      <c r="A72"/>
      <c r="D72" s="20" t="str" cm="1">
        <f t="array" ref="D72">Common_InputFunctions.Utility_DisplayArrayInTable(Scope3_SourceData.Scope3_Livestock_Data(), Table_SourceData_Scope3_Animals110[[#Headers],[Category]], 0, 2)</f>
        <v>Sheep</v>
      </c>
      <c r="E72" s="20" t="str" cm="1">
        <f t="array" ref="E72">Common_InputFunctions.Utility_DisplayArrayInTable(Scope3_SourceData.Scope3_Livestock_Data(), Table_SourceData_Scope3_Animals110[[#Headers],[Category]], 0, 2)</f>
        <v>Sheep, for prime lamb</v>
      </c>
      <c r="F72" s="20" t="str" cm="1">
        <f t="array" ref="F72">Common_InputFunctions.Utility_DisplayArrayInTable(Scope3_SourceData.Scope3_Livestock_Data(), Table_SourceData_Scope3_Animals110[[#Headers],[Category]], 0, 2)</f>
        <v>TAS</v>
      </c>
      <c r="G72" s="20" t="str" cm="1">
        <f t="array" ref="G72">Common_InputFunctions.Utility_DisplayArrayInTable(Scope3_SourceData.Scope3_Livestock_Data(), Table_SourceData_Scope3_Animals110[[#Headers],[Category]], 0, 2)</f>
        <v>kg liveweight</v>
      </c>
      <c r="H72" s="20" cm="1">
        <f t="array" ref="H72">Common_InputFunctions.Utility_DisplayArrayInTable(Scope3_SourceData.Scope3_Livestock_Data(), Table_SourceData_Scope3_Animals110[[#Headers],[Category]], 0, 2)</f>
        <v>8.66</v>
      </c>
      <c r="I72" s="20" t="str" cm="1">
        <f t="array" ref="I72">Common_InputFunctions.Utility_DisplayArrayInTable(Scope3_SourceData.Scope3_Livestock_Data(), Table_SourceData_Scope3_Animals110[[#Headers],[Category]], 0, 2)</f>
        <v>at market</v>
      </c>
      <c r="J72" s="20" t="s">
        <v>1190</v>
      </c>
    </row>
    <row r="73" spans="1:10" ht="20" customHeight="1" x14ac:dyDescent="0.25">
      <c r="A73"/>
      <c r="D73" s="20" t="str" cm="1">
        <f t="array" ref="D73">Common_InputFunctions.Utility_DisplayArrayInTable(Scope3_SourceData.Scope3_Livestock_Data(), Table_SourceData_Scope3_Animals110[[#Headers],[Category]], 0, 2)</f>
        <v>Sheep</v>
      </c>
      <c r="E73" s="20" t="str" cm="1">
        <f t="array" ref="E73">Common_InputFunctions.Utility_DisplayArrayInTable(Scope3_SourceData.Scope3_Livestock_Data(), Table_SourceData_Scope3_Animals110[[#Headers],[Category]], 0, 2)</f>
        <v>Sheep, for prime lamb</v>
      </c>
      <c r="F73" s="20" t="str" cm="1">
        <f t="array" ref="F73">Common_InputFunctions.Utility_DisplayArrayInTable(Scope3_SourceData.Scope3_Livestock_Data(), Table_SourceData_Scope3_Animals110[[#Headers],[Category]], 0, 2)</f>
        <v>VIC</v>
      </c>
      <c r="G73" s="20" t="str" cm="1">
        <f t="array" ref="G73">Common_InputFunctions.Utility_DisplayArrayInTable(Scope3_SourceData.Scope3_Livestock_Data(), Table_SourceData_Scope3_Animals110[[#Headers],[Category]], 0, 2)</f>
        <v>kg liveweight</v>
      </c>
      <c r="H73" s="20" cm="1">
        <f t="array" ref="H73">Common_InputFunctions.Utility_DisplayArrayInTable(Scope3_SourceData.Scope3_Livestock_Data(), Table_SourceData_Scope3_Animals110[[#Headers],[Category]], 0, 2)</f>
        <v>10</v>
      </c>
      <c r="I73" s="20" t="str" cm="1">
        <f t="array" ref="I73">Common_InputFunctions.Utility_DisplayArrayInTable(Scope3_SourceData.Scope3_Livestock_Data(), Table_SourceData_Scope3_Animals110[[#Headers],[Category]], 0, 2)</f>
        <v>at market</v>
      </c>
      <c r="J73" s="20" t="s">
        <v>1190</v>
      </c>
    </row>
    <row r="74" spans="1:10" ht="20" customHeight="1" x14ac:dyDescent="0.25">
      <c r="A74"/>
      <c r="D74" s="20" t="str" cm="1">
        <f t="array" ref="D74">Common_InputFunctions.Utility_DisplayArrayInTable(Scope3_SourceData.Scope3_Livestock_Data(), Table_SourceData_Scope3_Animals110[[#Headers],[Category]], 0, 2)</f>
        <v>Sheep</v>
      </c>
      <c r="E74" s="20" t="str" cm="1">
        <f t="array" ref="E74">Common_InputFunctions.Utility_DisplayArrayInTable(Scope3_SourceData.Scope3_Livestock_Data(), Table_SourceData_Scope3_Animals110[[#Headers],[Category]], 0, 2)</f>
        <v>Sheep, for prime lamb</v>
      </c>
      <c r="F74" s="20" t="str" cm="1">
        <f t="array" ref="F74">Common_InputFunctions.Utility_DisplayArrayInTable(Scope3_SourceData.Scope3_Livestock_Data(), Table_SourceData_Scope3_Animals110[[#Headers],[Category]], 0, 2)</f>
        <v>WA</v>
      </c>
      <c r="G74" s="20" t="str" cm="1">
        <f t="array" ref="G74">Common_InputFunctions.Utility_DisplayArrayInTable(Scope3_SourceData.Scope3_Livestock_Data(), Table_SourceData_Scope3_Animals110[[#Headers],[Category]], 0, 2)</f>
        <v>kg liveweight</v>
      </c>
      <c r="H74" s="20" cm="1">
        <f t="array" ref="H74">Common_InputFunctions.Utility_DisplayArrayInTable(Scope3_SourceData.Scope3_Livestock_Data(), Table_SourceData_Scope3_Animals110[[#Headers],[Category]], 0, 2)</f>
        <v>5.67</v>
      </c>
      <c r="I74" s="20" t="str" cm="1">
        <f t="array" ref="I74">Common_InputFunctions.Utility_DisplayArrayInTable(Scope3_SourceData.Scope3_Livestock_Data(), Table_SourceData_Scope3_Animals110[[#Headers],[Category]], 0, 2)</f>
        <v>at market</v>
      </c>
      <c r="J74" s="20" t="s">
        <v>1190</v>
      </c>
    </row>
    <row r="75" spans="1:10" ht="20" customHeight="1" x14ac:dyDescent="0.25">
      <c r="A75"/>
    </row>
    <row r="76" spans="1:10" ht="20" customHeight="1" x14ac:dyDescent="0.25">
      <c r="A76"/>
      <c r="D76" s="2" t="s">
        <v>1191</v>
      </c>
    </row>
    <row r="77" spans="1:10" ht="20" customHeight="1" x14ac:dyDescent="0.25">
      <c r="A77"/>
      <c r="D77" s="20" t="s">
        <v>565</v>
      </c>
      <c r="E77" s="20" t="s">
        <v>139</v>
      </c>
      <c r="F77" s="20" t="s">
        <v>566</v>
      </c>
      <c r="G77" s="20" t="s">
        <v>567</v>
      </c>
      <c r="H77" s="20" t="s">
        <v>1189</v>
      </c>
      <c r="I77" s="20" t="s">
        <v>569</v>
      </c>
      <c r="J77" s="20" t="s">
        <v>728</v>
      </c>
    </row>
    <row r="78" spans="1:10" ht="20" customHeight="1" x14ac:dyDescent="0.25">
      <c r="A78"/>
      <c r="D78" s="20" t="str" cm="1">
        <f t="array" ref="D78">Common_InputFunctions.Utility_DisplayArrayInTable(Scope3_SourceData.Scope3_Chemicals_Data(), Table_SourceData_Scope3_ChemicalsCleaning[[#Headers],[Category]], 0, 2)</f>
        <v>Cleaning chemicals</v>
      </c>
      <c r="E78" s="20" t="str" cm="1">
        <f t="array" ref="E78">Common_InputFunctions.Utility_DisplayArrayInTable(Scope3_SourceData.Scope3_Chemicals_Data(), Table_SourceData_Scope3_ChemicalsCleaning[[#Headers],[Category]], 0, 2)</f>
        <v>Alkaline cleaner</v>
      </c>
      <c r="F78" s="20" t="str" cm="1">
        <f t="array" ref="F78">Common_InputFunctions.Utility_DisplayArrayInTable(Scope3_SourceData.Scope3_Chemicals_Data(), Table_SourceData_Scope3_ChemicalsCleaning[[#Headers],[Category]], 0, 2)</f>
        <v>Global</v>
      </c>
      <c r="G78" s="20" t="str" cm="1">
        <f t="array" ref="G78">Common_InputFunctions.Utility_DisplayArrayInTable(Scope3_SourceData.Scope3_Chemicals_Data(), Table_SourceData_Scope3_ChemicalsCleaning[[#Headers],[Category]], 0, 2)</f>
        <v>kg</v>
      </c>
      <c r="H78" s="20" cm="1">
        <f t="array" ref="H78">Common_InputFunctions.Utility_DisplayArrayInTable(Scope3_SourceData.Scope3_Chemicals_Data(), Table_SourceData_Scope3_ChemicalsCleaning[[#Headers],[Category]], 0, 2)</f>
        <v>0.72199999999999998</v>
      </c>
      <c r="I78" s="20" t="str" cm="1">
        <f t="array" ref="I78">Common_InputFunctions.Utility_DisplayArrayInTable(Scope3_SourceData.Scope3_Chemicals_Data(), Table_SourceData_Scope3_ChemicalsCleaning[[#Headers],[Category]], 0, 2)</f>
        <v>at manufacturer</v>
      </c>
      <c r="J78" s="20" t="s">
        <v>1190</v>
      </c>
    </row>
    <row r="79" spans="1:10" ht="20" customHeight="1" x14ac:dyDescent="0.25">
      <c r="A79"/>
      <c r="D79" s="20" t="str" cm="1">
        <f t="array" ref="D79">Common_InputFunctions.Utility_DisplayArrayInTable(Scope3_SourceData.Scope3_Chemicals_Data(), Table_SourceData_Scope3_ChemicalsCleaning[[#Headers],[Category]], 0, 2)</f>
        <v>Cleaning chemicals</v>
      </c>
      <c r="E79" s="20" t="str" cm="1">
        <f t="array" ref="E79">Common_InputFunctions.Utility_DisplayArrayInTable(Scope3_SourceData.Scope3_Chemicals_Data(), Table_SourceData_Scope3_ChemicalsCleaning[[#Headers],[Category]], 0, 2)</f>
        <v>Bleach</v>
      </c>
      <c r="F79" s="20" t="str" cm="1">
        <f t="array" ref="F79">Common_InputFunctions.Utility_DisplayArrayInTable(Scope3_SourceData.Scope3_Chemicals_Data(), Table_SourceData_Scope3_ChemicalsCleaning[[#Headers],[Category]], 0, 2)</f>
        <v>Global</v>
      </c>
      <c r="G79" s="20" t="str" cm="1">
        <f t="array" ref="G79">Common_InputFunctions.Utility_DisplayArrayInTable(Scope3_SourceData.Scope3_Chemicals_Data(), Table_SourceData_Scope3_ChemicalsCleaning[[#Headers],[Category]], 0, 2)</f>
        <v>kg</v>
      </c>
      <c r="H79" s="20" cm="1">
        <f t="array" ref="H79">Common_InputFunctions.Utility_DisplayArrayInTable(Scope3_SourceData.Scope3_Chemicals_Data(), Table_SourceData_Scope3_ChemicalsCleaning[[#Headers],[Category]], 0, 2)</f>
        <v>0.80400000000000005</v>
      </c>
      <c r="I79" s="20" t="str" cm="1">
        <f t="array" ref="I79">Common_InputFunctions.Utility_DisplayArrayInTable(Scope3_SourceData.Scope3_Chemicals_Data(), Table_SourceData_Scope3_ChemicalsCleaning[[#Headers],[Category]], 0, 2)</f>
        <v>at manufacturer</v>
      </c>
      <c r="J79" s="20" t="s">
        <v>1190</v>
      </c>
    </row>
    <row r="80" spans="1:10" ht="20" customHeight="1" x14ac:dyDescent="0.25">
      <c r="A80"/>
      <c r="D80" s="20" t="str" cm="1">
        <f t="array" ref="D80">Common_InputFunctions.Utility_DisplayArrayInTable(Scope3_SourceData.Scope3_Chemicals_Data(), Table_SourceData_Scope3_ChemicalsCleaning[[#Headers],[Category]], 0, 2)</f>
        <v>Cleaning chemicals</v>
      </c>
      <c r="E80" s="20" t="str" cm="1">
        <f t="array" ref="E80">Common_InputFunctions.Utility_DisplayArrayInTable(Scope3_SourceData.Scope3_Chemicals_Data(), Table_SourceData_Scope3_ChemicalsCleaning[[#Headers],[Category]], 0, 2)</f>
        <v>Phosphoric acid</v>
      </c>
      <c r="F80" s="20" t="str" cm="1">
        <f t="array" ref="F80">Common_InputFunctions.Utility_DisplayArrayInTable(Scope3_SourceData.Scope3_Chemicals_Data(), Table_SourceData_Scope3_ChemicalsCleaning[[#Headers],[Category]], 0, 2)</f>
        <v>Global</v>
      </c>
      <c r="G80" s="20" t="str" cm="1">
        <f t="array" ref="G80">Common_InputFunctions.Utility_DisplayArrayInTable(Scope3_SourceData.Scope3_Chemicals_Data(), Table_SourceData_Scope3_ChemicalsCleaning[[#Headers],[Category]], 0, 2)</f>
        <v>kg</v>
      </c>
      <c r="H80" s="20" cm="1">
        <f t="array" ref="H80">Common_InputFunctions.Utility_DisplayArrayInTable(Scope3_SourceData.Scope3_Chemicals_Data(), Table_SourceData_Scope3_ChemicalsCleaning[[#Headers],[Category]], 0, 2)</f>
        <v>0.90700000000000003</v>
      </c>
      <c r="I80" s="20" t="str" cm="1">
        <f t="array" ref="I80">Common_InputFunctions.Utility_DisplayArrayInTable(Scope3_SourceData.Scope3_Chemicals_Data(), Table_SourceData_Scope3_ChemicalsCleaning[[#Headers],[Category]], 0, 2)</f>
        <v>at manufacturer</v>
      </c>
      <c r="J80" s="20" t="s">
        <v>1190</v>
      </c>
    </row>
    <row r="81" spans="1:17" ht="20" customHeight="1" x14ac:dyDescent="0.25">
      <c r="A81"/>
    </row>
    <row r="82" spans="1:17" ht="20" customHeight="1" x14ac:dyDescent="0.25">
      <c r="A82"/>
      <c r="D82" s="20" t="s">
        <v>565</v>
      </c>
      <c r="E82" s="20" t="s">
        <v>139</v>
      </c>
      <c r="F82" s="20" t="s">
        <v>566</v>
      </c>
      <c r="G82" s="20" t="s">
        <v>567</v>
      </c>
      <c r="H82" s="20" t="s">
        <v>1189</v>
      </c>
      <c r="I82" s="20" t="s">
        <v>569</v>
      </c>
      <c r="J82" s="20" t="s">
        <v>728</v>
      </c>
    </row>
    <row r="83" spans="1:17" ht="20" customHeight="1" x14ac:dyDescent="0.25">
      <c r="A83"/>
      <c r="D83" s="20" t="str" cm="1">
        <f t="array" ref="D83">Common_InputFunctions.Utility_DisplayArrayInTable(Scope3_SourceData.Scope3_Chemicals_Data(), Table_SourceData_Scope3_ChemicalsPharmacy[[#Headers],[Category]], -3, 2)</f>
        <v>Pharmacy chemicals</v>
      </c>
      <c r="E83" s="20" t="str" cm="1">
        <f t="array" ref="E83">Common_InputFunctions.Utility_DisplayArrayInTable(Scope3_SourceData.Scope3_Chemicals_Data(), Table_SourceData_Scope3_ChemicalsPharmacy[[#Headers],[Category]], -3, 2)</f>
        <v>Parasite control for cattle (external), dipping</v>
      </c>
      <c r="F83" s="20" t="str" cm="1">
        <f t="array" ref="F83">Common_InputFunctions.Utility_DisplayArrayInTable(Scope3_SourceData.Scope3_Chemicals_Data(), Table_SourceData_Scope3_ChemicalsPharmacy[[#Headers],[Category]], -3, 2)</f>
        <v>Global</v>
      </c>
      <c r="G83" s="20" t="str" cm="1">
        <f t="array" ref="G83">Common_InputFunctions.Utility_DisplayArrayInTable(Scope3_SourceData.Scope3_Chemicals_Data(), Table_SourceData_Scope3_ChemicalsPharmacy[[#Headers],[Category]], -3, 2)</f>
        <v>p (head)</v>
      </c>
      <c r="H83" s="20" cm="1">
        <f t="array" ref="H83">Common_InputFunctions.Utility_DisplayArrayInTable(Scope3_SourceData.Scope3_Chemicals_Data(), Table_SourceData_Scope3_ChemicalsPharmacy[[#Headers],[Category]], -3, 2)</f>
        <v>5.4699999999999999E-2</v>
      </c>
      <c r="I83" s="20" t="str" cm="1">
        <f t="array" ref="I83">Common_InputFunctions.Utility_DisplayArrayInTable(Scope3_SourceData.Scope3_Chemicals_Data(), Table_SourceData_Scope3_ChemicalsPharmacy[[#Headers],[Category]], -3, 2)</f>
        <v>at manufacturer</v>
      </c>
      <c r="J83" s="20" t="s">
        <v>1190</v>
      </c>
    </row>
    <row r="84" spans="1:17" ht="20" customHeight="1" x14ac:dyDescent="0.25">
      <c r="A84"/>
      <c r="D84" s="20" t="str" cm="1">
        <f t="array" ref="D84">Common_InputFunctions.Utility_DisplayArrayInTable(Scope3_SourceData.Scope3_Chemicals_Data(), Table_SourceData_Scope3_ChemicalsPharmacy[[#Headers],[Category]], -3, 2)</f>
        <v>Pharmacy chemicals</v>
      </c>
      <c r="E84" s="20" t="str" cm="1">
        <f t="array" ref="E84">Common_InputFunctions.Utility_DisplayArrayInTable(Scope3_SourceData.Scope3_Chemicals_Data(), Table_SourceData_Scope3_ChemicalsPharmacy[[#Headers],[Category]], -3, 2)</f>
        <v>Parasite control for cattle (internal)</v>
      </c>
      <c r="F84" s="20" t="str" cm="1">
        <f t="array" ref="F84">Common_InputFunctions.Utility_DisplayArrayInTable(Scope3_SourceData.Scope3_Chemicals_Data(), Table_SourceData_Scope3_ChemicalsPharmacy[[#Headers],[Category]], -3, 2)</f>
        <v>Global</v>
      </c>
      <c r="G84" s="20" t="str" cm="1">
        <f t="array" ref="G84">Common_InputFunctions.Utility_DisplayArrayInTable(Scope3_SourceData.Scope3_Chemicals_Data(), Table_SourceData_Scope3_ChemicalsPharmacy[[#Headers],[Category]], -3, 2)</f>
        <v>p (head)</v>
      </c>
      <c r="H84" s="20" cm="1">
        <f t="array" ref="H84">Common_InputFunctions.Utility_DisplayArrayInTable(Scope3_SourceData.Scope3_Chemicals_Data(), Table_SourceData_Scope3_ChemicalsPharmacy[[#Headers],[Category]], -3, 2)</f>
        <v>1.4200000000000001E-2</v>
      </c>
      <c r="I84" s="20" t="str" cm="1">
        <f t="array" ref="I84">Common_InputFunctions.Utility_DisplayArrayInTable(Scope3_SourceData.Scope3_Chemicals_Data(), Table_SourceData_Scope3_ChemicalsPharmacy[[#Headers],[Category]], -3, 2)</f>
        <v>at manufacturer</v>
      </c>
      <c r="J84" s="20" t="s">
        <v>1190</v>
      </c>
    </row>
    <row r="85" spans="1:17" ht="20" customHeight="1" x14ac:dyDescent="0.25">
      <c r="A85"/>
      <c r="D85" s="20" t="str" cm="1">
        <f t="array" ref="D85">Common_InputFunctions.Utility_DisplayArrayInTable(Scope3_SourceData.Scope3_Chemicals_Data(), Table_SourceData_Scope3_ChemicalsPharmacy[[#Headers],[Category]], -3, 2)</f>
        <v>Pharmacy chemicals</v>
      </c>
      <c r="E85" s="20" t="str" cm="1">
        <f t="array" ref="E85">Common_InputFunctions.Utility_DisplayArrayInTable(Scope3_SourceData.Scope3_Chemicals_Data(), Table_SourceData_Scope3_ChemicalsPharmacy[[#Headers],[Category]], -3, 2)</f>
        <v>Parasite control for sheep (external)</v>
      </c>
      <c r="F85" s="20" t="str" cm="1">
        <f t="array" ref="F85">Common_InputFunctions.Utility_DisplayArrayInTable(Scope3_SourceData.Scope3_Chemicals_Data(), Table_SourceData_Scope3_ChemicalsPharmacy[[#Headers],[Category]], -3, 2)</f>
        <v>Global</v>
      </c>
      <c r="G85" s="20" t="str" cm="1">
        <f t="array" ref="G85">Common_InputFunctions.Utility_DisplayArrayInTable(Scope3_SourceData.Scope3_Chemicals_Data(), Table_SourceData_Scope3_ChemicalsPharmacy[[#Headers],[Category]], -3, 2)</f>
        <v>p (head)</v>
      </c>
      <c r="H85" s="20" cm="1">
        <f t="array" ref="H85">Common_InputFunctions.Utility_DisplayArrayInTable(Scope3_SourceData.Scope3_Chemicals_Data(), Table_SourceData_Scope3_ChemicalsPharmacy[[#Headers],[Category]], -3, 2)</f>
        <v>1.43E-2</v>
      </c>
      <c r="I85" s="20" t="str" cm="1">
        <f t="array" ref="I85">Common_InputFunctions.Utility_DisplayArrayInTable(Scope3_SourceData.Scope3_Chemicals_Data(), Table_SourceData_Scope3_ChemicalsPharmacy[[#Headers],[Category]], -3, 2)</f>
        <v>at manufacturer</v>
      </c>
      <c r="J85" s="20" t="s">
        <v>1190</v>
      </c>
    </row>
    <row r="86" spans="1:17" ht="20" customHeight="1" x14ac:dyDescent="0.25">
      <c r="A86"/>
      <c r="D86" s="20" t="str" cm="1">
        <f t="array" ref="D86">Common_InputFunctions.Utility_DisplayArrayInTable(Scope3_SourceData.Scope3_Chemicals_Data(), Table_SourceData_Scope3_ChemicalsPharmacy[[#Headers],[Category]], -3, 2)</f>
        <v>Pharmacy chemicals</v>
      </c>
      <c r="E86" s="20" t="str" cm="1">
        <f t="array" ref="E86">Common_InputFunctions.Utility_DisplayArrayInTable(Scope3_SourceData.Scope3_Chemicals_Data(), Table_SourceData_Scope3_ChemicalsPharmacy[[#Headers],[Category]], -3, 2)</f>
        <v>Parasite control for sheep (internal)</v>
      </c>
      <c r="F86" s="20" t="str" cm="1">
        <f t="array" ref="F86">Common_InputFunctions.Utility_DisplayArrayInTable(Scope3_SourceData.Scope3_Chemicals_Data(), Table_SourceData_Scope3_ChemicalsPharmacy[[#Headers],[Category]], -3, 2)</f>
        <v>Global</v>
      </c>
      <c r="G86" s="20" t="str" cm="1">
        <f t="array" ref="G86">Common_InputFunctions.Utility_DisplayArrayInTable(Scope3_SourceData.Scope3_Chemicals_Data(), Table_SourceData_Scope3_ChemicalsPharmacy[[#Headers],[Category]], -3, 2)</f>
        <v>p (head)</v>
      </c>
      <c r="H86" s="20" cm="1">
        <f t="array" ref="H86">Common_InputFunctions.Utility_DisplayArrayInTable(Scope3_SourceData.Scope3_Chemicals_Data(), Table_SourceData_Scope3_ChemicalsPharmacy[[#Headers],[Category]], -3, 2)</f>
        <v>4.2599999999999999E-3</v>
      </c>
      <c r="I86" s="20" t="str" cm="1">
        <f t="array" ref="I86">Common_InputFunctions.Utility_DisplayArrayInTable(Scope3_SourceData.Scope3_Chemicals_Data(), Table_SourceData_Scope3_ChemicalsPharmacy[[#Headers],[Category]], -3, 2)</f>
        <v>at manufacturer</v>
      </c>
      <c r="J86" s="20" t="s">
        <v>1190</v>
      </c>
    </row>
    <row r="87" spans="1:17" ht="20" customHeight="1" x14ac:dyDescent="0.25">
      <c r="A87"/>
    </row>
    <row r="88" spans="1:17" ht="20" customHeight="1" x14ac:dyDescent="0.25">
      <c r="A88"/>
      <c r="D88" s="2" t="s">
        <v>1026</v>
      </c>
    </row>
    <row r="89" spans="1:17" ht="20" customHeight="1" x14ac:dyDescent="0.25">
      <c r="A89"/>
      <c r="D89" s="20" t="s">
        <v>565</v>
      </c>
      <c r="E89" s="20" t="s">
        <v>139</v>
      </c>
      <c r="F89" s="20" t="s">
        <v>566</v>
      </c>
      <c r="G89" s="20" t="s">
        <v>567</v>
      </c>
      <c r="H89" s="20" t="s">
        <v>1189</v>
      </c>
      <c r="I89" s="20" t="s">
        <v>569</v>
      </c>
      <c r="J89" s="20" t="s">
        <v>728</v>
      </c>
      <c r="O89" s="20" t="s">
        <v>139</v>
      </c>
      <c r="P89" s="20" t="s">
        <v>490</v>
      </c>
      <c r="Q89" s="1" t="str">
        <f>"Table_ProductRegions_" &amp; SUBSTITUTE(SUBSTITUTE(SUBSTITUTE(SUBSTITUTE(O90, " ", ""), ",", ""), "(", ""), ")", "")</f>
        <v>Table_ProductRegions_Barleygrain</v>
      </c>
    </row>
    <row r="90" spans="1:17" ht="20" customHeight="1" x14ac:dyDescent="0.25">
      <c r="A90"/>
      <c r="D90" s="20" t="str" cm="1">
        <f t="array" ref="D90">Common_InputFunctions.Utility_DisplayArrayInTable(Scope3_SourceData.Scope3_Feed_Data(), Table_SourceData_Scope3_Feed[[#Headers],[Category]], -1, 2)</f>
        <v>Grain</v>
      </c>
      <c r="E90" s="20" t="str" cm="1">
        <f t="array" ref="E90">Common_InputFunctions.Utility_DisplayArrayInTable(Scope3_SourceData.Scope3_Feed_Data(), Table_SourceData_Scope3_Feed[[#Headers],[Category]], -1, 2)</f>
        <v>Barley grain</v>
      </c>
      <c r="F90" s="20" t="str" cm="1">
        <f t="array" ref="F90">Common_InputFunctions.Utility_DisplayArrayInTable(Scope3_SourceData.Scope3_Feed_Data(), Table_SourceData_Scope3_Feed[[#Headers],[Category]], -1, 2)</f>
        <v>Australia</v>
      </c>
      <c r="G90" s="20" t="str" cm="1">
        <f t="array" ref="G90">Common_InputFunctions.Utility_DisplayArrayInTable(Scope3_SourceData.Scope3_Feed_Data(), Table_SourceData_Scope3_Feed[[#Headers],[Category]], -1, 2)</f>
        <v>kg</v>
      </c>
      <c r="H90" s="20" cm="1">
        <f t="array" ref="H90">Common_InputFunctions.Utility_DisplayArrayInTable(Scope3_SourceData.Scope3_Feed_Data(), Table_SourceData_Scope3_Feed[[#Headers],[Category]], -1, 2)</f>
        <v>0.23899999999999999</v>
      </c>
      <c r="I90" s="20" t="str" cm="1">
        <f t="array" ref="I90">Common_InputFunctions.Utility_DisplayArrayInTable(Scope3_SourceData.Scope3_Feed_Data(), Table_SourceData_Scope3_Feed[[#Headers],[Category]], -1, 2)</f>
        <v>at market</v>
      </c>
      <c r="J90" s="20" t="s">
        <v>1190</v>
      </c>
      <c r="O90" s="20" t="str">
        <f>Table_SourceData_Scope3_Feed[[#This Row],[Product]]</f>
        <v>Barley grain</v>
      </c>
      <c r="P90" s="20" t="str">
        <f>Table_SourceData_Scope3_Feed[[#This Row],[Region of origin]]</f>
        <v>Australia</v>
      </c>
    </row>
    <row r="91" spans="1:17" ht="20" customHeight="1" x14ac:dyDescent="0.25">
      <c r="A91"/>
      <c r="D91" s="20" t="str" cm="1">
        <f t="array" ref="D91">Common_InputFunctions.Utility_DisplayArrayInTable(Scope3_SourceData.Scope3_Feed_Data(), Table_SourceData_Scope3_Feed[[#Headers],[Category]], -1, 2)</f>
        <v>Grain</v>
      </c>
      <c r="E91" s="20" t="str" cm="1">
        <f t="array" ref="E91">Common_InputFunctions.Utility_DisplayArrayInTable(Scope3_SourceData.Scope3_Feed_Data(), Table_SourceData_Scope3_Feed[[#Headers],[Category]], -1, 2)</f>
        <v>Barley grain</v>
      </c>
      <c r="F91" s="20" t="str" cm="1">
        <f t="array" ref="F91">Common_InputFunctions.Utility_DisplayArrayInTable(Scope3_SourceData.Scope3_Feed_Data(), Table_SourceData_Scope3_Feed[[#Headers],[Category]], -1, 2)</f>
        <v>NSW</v>
      </c>
      <c r="G91" s="20" t="str" cm="1">
        <f t="array" ref="G91">Common_InputFunctions.Utility_DisplayArrayInTable(Scope3_SourceData.Scope3_Feed_Data(), Table_SourceData_Scope3_Feed[[#Headers],[Category]], -1, 2)</f>
        <v>kg</v>
      </c>
      <c r="H91" s="20" cm="1">
        <f t="array" ref="H91">Common_InputFunctions.Utility_DisplayArrayInTable(Scope3_SourceData.Scope3_Feed_Data(), Table_SourceData_Scope3_Feed[[#Headers],[Category]], -1, 2)</f>
        <v>0.25600000000000001</v>
      </c>
      <c r="I91" s="20" t="str" cm="1">
        <f t="array" ref="I91">Common_InputFunctions.Utility_DisplayArrayInTable(Scope3_SourceData.Scope3_Feed_Data(), Table_SourceData_Scope3_Feed[[#Headers],[Category]], -1, 2)</f>
        <v>at market</v>
      </c>
      <c r="J91" s="20" t="s">
        <v>1190</v>
      </c>
      <c r="O91" s="20" t="str">
        <f>Table_SourceData_Scope3_Feed[[#This Row],[Product]]</f>
        <v>Barley grain</v>
      </c>
      <c r="P91" s="20" t="str">
        <f>Table_SourceData_Scope3_Feed[[#This Row],[Region of origin]]</f>
        <v>NSW</v>
      </c>
    </row>
    <row r="92" spans="1:17" ht="20" customHeight="1" x14ac:dyDescent="0.25">
      <c r="A92"/>
      <c r="D92" s="20" t="str" cm="1">
        <f t="array" ref="D92">Common_InputFunctions.Utility_DisplayArrayInTable(Scope3_SourceData.Scope3_Feed_Data(), Table_SourceData_Scope3_Feed[[#Headers],[Category]], -1, 2)</f>
        <v>Grain</v>
      </c>
      <c r="E92" s="20" t="str" cm="1">
        <f t="array" ref="E92">Common_InputFunctions.Utility_DisplayArrayInTable(Scope3_SourceData.Scope3_Feed_Data(), Table_SourceData_Scope3_Feed[[#Headers],[Category]], -1, 2)</f>
        <v>Barley grain</v>
      </c>
      <c r="F92" s="20" t="str" cm="1">
        <f t="array" ref="F92">Common_InputFunctions.Utility_DisplayArrayInTable(Scope3_SourceData.Scope3_Feed_Data(), Table_SourceData_Scope3_Feed[[#Headers],[Category]], -1, 2)</f>
        <v>NT</v>
      </c>
      <c r="G92" s="20" t="str" cm="1">
        <f t="array" ref="G92">Common_InputFunctions.Utility_DisplayArrayInTable(Scope3_SourceData.Scope3_Feed_Data(), Table_SourceData_Scope3_Feed[[#Headers],[Category]], -1, 2)</f>
        <v>kg</v>
      </c>
      <c r="H92" s="20" cm="1">
        <f t="array" ref="H92">Common_InputFunctions.Utility_DisplayArrayInTable(Scope3_SourceData.Scope3_Feed_Data(), Table_SourceData_Scope3_Feed[[#Headers],[Category]], -1, 2)</f>
        <v>0.33200000000000002</v>
      </c>
      <c r="I92" s="20" t="str" cm="1">
        <f t="array" ref="I92">Common_InputFunctions.Utility_DisplayArrayInTable(Scope3_SourceData.Scope3_Feed_Data(), Table_SourceData_Scope3_Feed[[#Headers],[Category]], -1, 2)</f>
        <v>at market</v>
      </c>
      <c r="J92" s="20" t="s">
        <v>1190</v>
      </c>
      <c r="O92" s="20" t="str">
        <f>Table_SourceData_Scope3_Feed[[#This Row],[Product]]</f>
        <v>Barley grain</v>
      </c>
      <c r="P92" s="20" t="str">
        <f>Table_SourceData_Scope3_Feed[[#This Row],[Region of origin]]</f>
        <v>NT</v>
      </c>
    </row>
    <row r="93" spans="1:17" ht="20" customHeight="1" x14ac:dyDescent="0.25">
      <c r="A93"/>
      <c r="D93" s="20" t="str" cm="1">
        <f t="array" ref="D93">Common_InputFunctions.Utility_DisplayArrayInTable(Scope3_SourceData.Scope3_Feed_Data(), Table_SourceData_Scope3_Feed[[#Headers],[Category]], -1, 2)</f>
        <v>Grain</v>
      </c>
      <c r="E93" s="20" t="str" cm="1">
        <f t="array" ref="E93">Common_InputFunctions.Utility_DisplayArrayInTable(Scope3_SourceData.Scope3_Feed_Data(), Table_SourceData_Scope3_Feed[[#Headers],[Category]], -1, 2)</f>
        <v>Barley grain</v>
      </c>
      <c r="F93" s="20" t="str" cm="1">
        <f t="array" ref="F93">Common_InputFunctions.Utility_DisplayArrayInTable(Scope3_SourceData.Scope3_Feed_Data(), Table_SourceData_Scope3_Feed[[#Headers],[Category]], -1, 2)</f>
        <v>QLD</v>
      </c>
      <c r="G93" s="20" t="str" cm="1">
        <f t="array" ref="G93">Common_InputFunctions.Utility_DisplayArrayInTable(Scope3_SourceData.Scope3_Feed_Data(), Table_SourceData_Scope3_Feed[[#Headers],[Category]], -1, 2)</f>
        <v>kg</v>
      </c>
      <c r="H93" s="20" cm="1">
        <f t="array" ref="H93">Common_InputFunctions.Utility_DisplayArrayInTable(Scope3_SourceData.Scope3_Feed_Data(), Table_SourceData_Scope3_Feed[[#Headers],[Category]], -1, 2)</f>
        <v>0.26900000000000002</v>
      </c>
      <c r="I93" s="20" t="str" cm="1">
        <f t="array" ref="I93">Common_InputFunctions.Utility_DisplayArrayInTable(Scope3_SourceData.Scope3_Feed_Data(), Table_SourceData_Scope3_Feed[[#Headers],[Category]], -1, 2)</f>
        <v>at market</v>
      </c>
      <c r="J93" s="20" t="s">
        <v>1190</v>
      </c>
      <c r="O93" s="20" t="str">
        <f>Table_SourceData_Scope3_Feed[[#This Row],[Product]]</f>
        <v>Barley grain</v>
      </c>
      <c r="P93" s="20" t="str">
        <f>Table_SourceData_Scope3_Feed[[#This Row],[Region of origin]]</f>
        <v>QLD</v>
      </c>
    </row>
    <row r="94" spans="1:17" ht="20" customHeight="1" x14ac:dyDescent="0.25">
      <c r="A94"/>
      <c r="D94" s="20" t="str" cm="1">
        <f t="array" ref="D94">Common_InputFunctions.Utility_DisplayArrayInTable(Scope3_SourceData.Scope3_Feed_Data(), Table_SourceData_Scope3_Feed[[#Headers],[Category]], -1, 2)</f>
        <v>Grain</v>
      </c>
      <c r="E94" s="20" t="str" cm="1">
        <f t="array" ref="E94">Common_InputFunctions.Utility_DisplayArrayInTable(Scope3_SourceData.Scope3_Feed_Data(), Table_SourceData_Scope3_Feed[[#Headers],[Category]], -1, 2)</f>
        <v>Barley grain</v>
      </c>
      <c r="F94" s="20" t="str" cm="1">
        <f t="array" ref="F94">Common_InputFunctions.Utility_DisplayArrayInTable(Scope3_SourceData.Scope3_Feed_Data(), Table_SourceData_Scope3_Feed[[#Headers],[Category]], -1, 2)</f>
        <v>SA</v>
      </c>
      <c r="G94" s="20" t="str" cm="1">
        <f t="array" ref="G94">Common_InputFunctions.Utility_DisplayArrayInTable(Scope3_SourceData.Scope3_Feed_Data(), Table_SourceData_Scope3_Feed[[#Headers],[Category]], -1, 2)</f>
        <v>kg</v>
      </c>
      <c r="H94" s="20" cm="1">
        <f t="array" ref="H94">Common_InputFunctions.Utility_DisplayArrayInTable(Scope3_SourceData.Scope3_Feed_Data(), Table_SourceData_Scope3_Feed[[#Headers],[Category]], -1, 2)</f>
        <v>0.223</v>
      </c>
      <c r="I94" s="20" t="str" cm="1">
        <f t="array" ref="I94">Common_InputFunctions.Utility_DisplayArrayInTable(Scope3_SourceData.Scope3_Feed_Data(), Table_SourceData_Scope3_Feed[[#Headers],[Category]], -1, 2)</f>
        <v>at market</v>
      </c>
      <c r="J94" s="20" t="s">
        <v>1190</v>
      </c>
      <c r="O94" s="20" t="str">
        <f>Table_SourceData_Scope3_Feed[[#This Row],[Product]]</f>
        <v>Barley grain</v>
      </c>
      <c r="P94" s="20" t="str">
        <f>Table_SourceData_Scope3_Feed[[#This Row],[Region of origin]]</f>
        <v>SA</v>
      </c>
    </row>
    <row r="95" spans="1:17" ht="20" customHeight="1" x14ac:dyDescent="0.25">
      <c r="A95"/>
      <c r="D95" s="20" t="str" cm="1">
        <f t="array" ref="D95">Common_InputFunctions.Utility_DisplayArrayInTable(Scope3_SourceData.Scope3_Feed_Data(), Table_SourceData_Scope3_Feed[[#Headers],[Category]], -1, 2)</f>
        <v>Grain</v>
      </c>
      <c r="E95" s="20" t="str" cm="1">
        <f t="array" ref="E95">Common_InputFunctions.Utility_DisplayArrayInTable(Scope3_SourceData.Scope3_Feed_Data(), Table_SourceData_Scope3_Feed[[#Headers],[Category]], -1, 2)</f>
        <v>Barley grain</v>
      </c>
      <c r="F95" s="20" t="str" cm="1">
        <f t="array" ref="F95">Common_InputFunctions.Utility_DisplayArrayInTable(Scope3_SourceData.Scope3_Feed_Data(), Table_SourceData_Scope3_Feed[[#Headers],[Category]], -1, 2)</f>
        <v>TAS</v>
      </c>
      <c r="G95" s="20" t="str" cm="1">
        <f t="array" ref="G95">Common_InputFunctions.Utility_DisplayArrayInTable(Scope3_SourceData.Scope3_Feed_Data(), Table_SourceData_Scope3_Feed[[#Headers],[Category]], -1, 2)</f>
        <v>kg</v>
      </c>
      <c r="H95" s="20" cm="1">
        <f t="array" ref="H95">Common_InputFunctions.Utility_DisplayArrayInTable(Scope3_SourceData.Scope3_Feed_Data(), Table_SourceData_Scope3_Feed[[#Headers],[Category]], -1, 2)</f>
        <v>0.307</v>
      </c>
      <c r="I95" s="20" t="str" cm="1">
        <f t="array" ref="I95">Common_InputFunctions.Utility_DisplayArrayInTable(Scope3_SourceData.Scope3_Feed_Data(), Table_SourceData_Scope3_Feed[[#Headers],[Category]], -1, 2)</f>
        <v>at market</v>
      </c>
      <c r="J95" s="20" t="s">
        <v>1190</v>
      </c>
      <c r="O95" s="20" t="str">
        <f>Table_SourceData_Scope3_Feed[[#This Row],[Product]]</f>
        <v>Barley grain</v>
      </c>
      <c r="P95" s="20" t="str">
        <f>Table_SourceData_Scope3_Feed[[#This Row],[Region of origin]]</f>
        <v>TAS</v>
      </c>
    </row>
    <row r="96" spans="1:17" ht="20" customHeight="1" x14ac:dyDescent="0.25">
      <c r="A96"/>
      <c r="D96" s="20" t="str" cm="1">
        <f t="array" ref="D96">Common_InputFunctions.Utility_DisplayArrayInTable(Scope3_SourceData.Scope3_Feed_Data(), Table_SourceData_Scope3_Feed[[#Headers],[Category]], -1, 2)</f>
        <v>Grain</v>
      </c>
      <c r="E96" s="20" t="str" cm="1">
        <f t="array" ref="E96">Common_InputFunctions.Utility_DisplayArrayInTable(Scope3_SourceData.Scope3_Feed_Data(), Table_SourceData_Scope3_Feed[[#Headers],[Category]], -1, 2)</f>
        <v>Barley grain</v>
      </c>
      <c r="F96" s="20" t="str" cm="1">
        <f t="array" ref="F96">Common_InputFunctions.Utility_DisplayArrayInTable(Scope3_SourceData.Scope3_Feed_Data(), Table_SourceData_Scope3_Feed[[#Headers],[Category]], -1, 2)</f>
        <v>VIC</v>
      </c>
      <c r="G96" s="20" t="str" cm="1">
        <f t="array" ref="G96">Common_InputFunctions.Utility_DisplayArrayInTable(Scope3_SourceData.Scope3_Feed_Data(), Table_SourceData_Scope3_Feed[[#Headers],[Category]], -1, 2)</f>
        <v>kg</v>
      </c>
      <c r="H96" s="20" cm="1">
        <f t="array" ref="H96">Common_InputFunctions.Utility_DisplayArrayInTable(Scope3_SourceData.Scope3_Feed_Data(), Table_SourceData_Scope3_Feed[[#Headers],[Category]], -1, 2)</f>
        <v>0.24099999999999999</v>
      </c>
      <c r="I96" s="20" t="str" cm="1">
        <f t="array" ref="I96">Common_InputFunctions.Utility_DisplayArrayInTable(Scope3_SourceData.Scope3_Feed_Data(), Table_SourceData_Scope3_Feed[[#Headers],[Category]], -1, 2)</f>
        <v>at market</v>
      </c>
      <c r="J96" s="20" t="s">
        <v>1190</v>
      </c>
      <c r="O96" s="20" t="str">
        <f>Table_SourceData_Scope3_Feed[[#This Row],[Product]]</f>
        <v>Barley grain</v>
      </c>
      <c r="P96" s="20" t="str">
        <f>Table_SourceData_Scope3_Feed[[#This Row],[Region of origin]]</f>
        <v>VIC</v>
      </c>
    </row>
    <row r="97" spans="1:17" ht="20" customHeight="1" x14ac:dyDescent="0.25">
      <c r="A97"/>
      <c r="D97" s="20" t="str" cm="1">
        <f t="array" ref="D97">Common_InputFunctions.Utility_DisplayArrayInTable(Scope3_SourceData.Scope3_Feed_Data(), Table_SourceData_Scope3_Feed[[#Headers],[Category]], -1, 2)</f>
        <v>Grain</v>
      </c>
      <c r="E97" s="20" t="str" cm="1">
        <f t="array" ref="E97">Common_InputFunctions.Utility_DisplayArrayInTable(Scope3_SourceData.Scope3_Feed_Data(), Table_SourceData_Scope3_Feed[[#Headers],[Category]], -1, 2)</f>
        <v>Barley grain</v>
      </c>
      <c r="F97" s="20" t="str" cm="1">
        <f t="array" ref="F97">Common_InputFunctions.Utility_DisplayArrayInTable(Scope3_SourceData.Scope3_Feed_Data(), Table_SourceData_Scope3_Feed[[#Headers],[Category]], -1, 2)</f>
        <v>WA</v>
      </c>
      <c r="G97" s="20" t="str" cm="1">
        <f t="array" ref="G97">Common_InputFunctions.Utility_DisplayArrayInTable(Scope3_SourceData.Scope3_Feed_Data(), Table_SourceData_Scope3_Feed[[#Headers],[Category]], -1, 2)</f>
        <v>kg</v>
      </c>
      <c r="H97" s="20" cm="1">
        <f t="array" ref="H97">Common_InputFunctions.Utility_DisplayArrayInTable(Scope3_SourceData.Scope3_Feed_Data(), Table_SourceData_Scope3_Feed[[#Headers],[Category]], -1, 2)</f>
        <v>0.23599999999999999</v>
      </c>
      <c r="I97" s="20" t="str" cm="1">
        <f t="array" ref="I97">Common_InputFunctions.Utility_DisplayArrayInTable(Scope3_SourceData.Scope3_Feed_Data(), Table_SourceData_Scope3_Feed[[#Headers],[Category]], -1, 2)</f>
        <v>at market</v>
      </c>
      <c r="J97" s="20" t="s">
        <v>1190</v>
      </c>
      <c r="L97" s="20" t="s">
        <v>139</v>
      </c>
      <c r="M97" s="20" t="s">
        <v>490</v>
      </c>
      <c r="N97" s="1" t="str">
        <f>"Table_ProductRegions_" &amp; SUBSTITUTE(SUBSTITUTE(SUBSTITUTE(SUBSTITUTE(L98, " ", ""), ",", ""), "(", ""), ")", "")</f>
        <v>Table_ProductRegions_Maizegrain</v>
      </c>
      <c r="O97" s="20" t="str">
        <f>Table_SourceData_Scope3_Feed[[#This Row],[Product]]</f>
        <v>Barley grain</v>
      </c>
      <c r="P97" s="20" t="str">
        <f>Table_SourceData_Scope3_Feed[[#This Row],[Region of origin]]</f>
        <v>WA</v>
      </c>
    </row>
    <row r="98" spans="1:17" ht="20" customHeight="1" x14ac:dyDescent="0.25">
      <c r="A98"/>
      <c r="D98" s="20" t="str" cm="1">
        <f t="array" ref="D98">Common_InputFunctions.Utility_DisplayArrayInTable(Scope3_SourceData.Scope3_Feed_Data(), Table_SourceData_Scope3_Feed[[#Headers],[Category]], -1, 2)</f>
        <v>Grain</v>
      </c>
      <c r="E98" s="20" t="str" cm="1">
        <f t="array" ref="E98">Common_InputFunctions.Utility_DisplayArrayInTable(Scope3_SourceData.Scope3_Feed_Data(), Table_SourceData_Scope3_Feed[[#Headers],[Category]], -1, 2)</f>
        <v>Maize grain</v>
      </c>
      <c r="F98" s="20" t="str" cm="1">
        <f t="array" ref="F98">Common_InputFunctions.Utility_DisplayArrayInTable(Scope3_SourceData.Scope3_Feed_Data(), Table_SourceData_Scope3_Feed[[#Headers],[Category]], -1, 2)</f>
        <v>Australia</v>
      </c>
      <c r="G98" s="20" t="str" cm="1">
        <f t="array" ref="G98">Common_InputFunctions.Utility_DisplayArrayInTable(Scope3_SourceData.Scope3_Feed_Data(), Table_SourceData_Scope3_Feed[[#Headers],[Category]], -1, 2)</f>
        <v>kg</v>
      </c>
      <c r="H98" s="20" cm="1">
        <f t="array" ref="H98">Common_InputFunctions.Utility_DisplayArrayInTable(Scope3_SourceData.Scope3_Feed_Data(), Table_SourceData_Scope3_Feed[[#Headers],[Category]], -1, 2)</f>
        <v>0.18099999999999999</v>
      </c>
      <c r="I98" s="20" t="str" cm="1">
        <f t="array" ref="I98">Common_InputFunctions.Utility_DisplayArrayInTable(Scope3_SourceData.Scope3_Feed_Data(), Table_SourceData_Scope3_Feed[[#Headers],[Category]], -1, 2)</f>
        <v>at market</v>
      </c>
      <c r="J98" s="20" t="s">
        <v>1190</v>
      </c>
      <c r="L98" s="20" t="str">
        <f>Table_SourceData_Scope3_Feed[[#This Row],[Product]]</f>
        <v>Maize grain</v>
      </c>
      <c r="M98" s="20" t="str">
        <f>Table_SourceData_Scope3_Feed[[#This Row],[Region of origin]]</f>
        <v>Australia</v>
      </c>
    </row>
    <row r="99" spans="1:17" ht="20" customHeight="1" x14ac:dyDescent="0.25">
      <c r="A99"/>
      <c r="D99" s="20" t="str" cm="1">
        <f t="array" ref="D99">Common_InputFunctions.Utility_DisplayArrayInTable(Scope3_SourceData.Scope3_Feed_Data(), Table_SourceData_Scope3_Feed[[#Headers],[Category]], -1, 2)</f>
        <v>Grain</v>
      </c>
      <c r="E99" s="20" t="str" cm="1">
        <f t="array" ref="E99">Common_InputFunctions.Utility_DisplayArrayInTable(Scope3_SourceData.Scope3_Feed_Data(), Table_SourceData_Scope3_Feed[[#Headers],[Category]], -1, 2)</f>
        <v>Maize grain</v>
      </c>
      <c r="F99" s="20" t="str" cm="1">
        <f t="array" ref="F99">Common_InputFunctions.Utility_DisplayArrayInTable(Scope3_SourceData.Scope3_Feed_Data(), Table_SourceData_Scope3_Feed[[#Headers],[Category]], -1, 2)</f>
        <v>NSW</v>
      </c>
      <c r="G99" s="20" t="str" cm="1">
        <f t="array" ref="G99">Common_InputFunctions.Utility_DisplayArrayInTable(Scope3_SourceData.Scope3_Feed_Data(), Table_SourceData_Scope3_Feed[[#Headers],[Category]], -1, 2)</f>
        <v>kg</v>
      </c>
      <c r="H99" s="20" cm="1">
        <f t="array" ref="H99">Common_InputFunctions.Utility_DisplayArrayInTable(Scope3_SourceData.Scope3_Feed_Data(), Table_SourceData_Scope3_Feed[[#Headers],[Category]], -1, 2)</f>
        <v>0.16900000000000001</v>
      </c>
      <c r="I99" s="20" t="str" cm="1">
        <f t="array" ref="I99">Common_InputFunctions.Utility_DisplayArrayInTable(Scope3_SourceData.Scope3_Feed_Data(), Table_SourceData_Scope3_Feed[[#Headers],[Category]], -1, 2)</f>
        <v>at market</v>
      </c>
      <c r="J99" s="20" t="s">
        <v>1190</v>
      </c>
      <c r="L99" s="20" t="str">
        <f>Table_SourceData_Scope3_Feed[[#This Row],[Product]]</f>
        <v>Maize grain</v>
      </c>
      <c r="M99" s="20" t="str">
        <f>Table_SourceData_Scope3_Feed[[#This Row],[Region of origin]]</f>
        <v>NSW</v>
      </c>
    </row>
    <row r="100" spans="1:17" ht="20" customHeight="1" x14ac:dyDescent="0.25">
      <c r="A100"/>
      <c r="D100" s="20" t="str" cm="1">
        <f t="array" ref="D100">Common_InputFunctions.Utility_DisplayArrayInTable(Scope3_SourceData.Scope3_Feed_Data(), Table_SourceData_Scope3_Feed[[#Headers],[Category]], -1, 2)</f>
        <v>Grain</v>
      </c>
      <c r="E100" s="20" t="str" cm="1">
        <f t="array" ref="E100">Common_InputFunctions.Utility_DisplayArrayInTable(Scope3_SourceData.Scope3_Feed_Data(), Table_SourceData_Scope3_Feed[[#Headers],[Category]], -1, 2)</f>
        <v>Maize grain</v>
      </c>
      <c r="F100" s="20" t="str" cm="1">
        <f t="array" ref="F100">Common_InputFunctions.Utility_DisplayArrayInTable(Scope3_SourceData.Scope3_Feed_Data(), Table_SourceData_Scope3_Feed[[#Headers],[Category]], -1, 2)</f>
        <v>NT</v>
      </c>
      <c r="G100" s="20" t="str" cm="1">
        <f t="array" ref="G100">Common_InputFunctions.Utility_DisplayArrayInTable(Scope3_SourceData.Scope3_Feed_Data(), Table_SourceData_Scope3_Feed[[#Headers],[Category]], -1, 2)</f>
        <v>kg</v>
      </c>
      <c r="H100" s="20" cm="1">
        <f t="array" ref="H100">Common_InputFunctions.Utility_DisplayArrayInTable(Scope3_SourceData.Scope3_Feed_Data(), Table_SourceData_Scope3_Feed[[#Headers],[Category]], -1, 2)</f>
        <v>0.25600000000000001</v>
      </c>
      <c r="I100" s="20" t="str" cm="1">
        <f t="array" ref="I100">Common_InputFunctions.Utility_DisplayArrayInTable(Scope3_SourceData.Scope3_Feed_Data(), Table_SourceData_Scope3_Feed[[#Headers],[Category]], -1, 2)</f>
        <v>at market</v>
      </c>
      <c r="J100" s="20" t="s">
        <v>1190</v>
      </c>
      <c r="L100" s="20" t="str">
        <f>Table_SourceData_Scope3_Feed[[#This Row],[Product]]</f>
        <v>Maize grain</v>
      </c>
      <c r="M100" s="20" t="str">
        <f>Table_SourceData_Scope3_Feed[[#This Row],[Region of origin]]</f>
        <v>NT</v>
      </c>
    </row>
    <row r="101" spans="1:17" ht="20" customHeight="1" x14ac:dyDescent="0.25">
      <c r="A101"/>
      <c r="D101" s="20" t="str" cm="1">
        <f t="array" ref="D101">Common_InputFunctions.Utility_DisplayArrayInTable(Scope3_SourceData.Scope3_Feed_Data(), Table_SourceData_Scope3_Feed[[#Headers],[Category]], -1, 2)</f>
        <v>Grain</v>
      </c>
      <c r="E101" s="20" t="str" cm="1">
        <f t="array" ref="E101">Common_InputFunctions.Utility_DisplayArrayInTable(Scope3_SourceData.Scope3_Feed_Data(), Table_SourceData_Scope3_Feed[[#Headers],[Category]], -1, 2)</f>
        <v>Maize grain</v>
      </c>
      <c r="F101" s="20" t="str" cm="1">
        <f t="array" ref="F101">Common_InputFunctions.Utility_DisplayArrayInTable(Scope3_SourceData.Scope3_Feed_Data(), Table_SourceData_Scope3_Feed[[#Headers],[Category]], -1, 2)</f>
        <v>QLD</v>
      </c>
      <c r="G101" s="20" t="str" cm="1">
        <f t="array" ref="G101">Common_InputFunctions.Utility_DisplayArrayInTable(Scope3_SourceData.Scope3_Feed_Data(), Table_SourceData_Scope3_Feed[[#Headers],[Category]], -1, 2)</f>
        <v>kg</v>
      </c>
      <c r="H101" s="20" cm="1">
        <f t="array" ref="H101">Common_InputFunctions.Utility_DisplayArrayInTable(Scope3_SourceData.Scope3_Feed_Data(), Table_SourceData_Scope3_Feed[[#Headers],[Category]], -1, 2)</f>
        <v>0.186</v>
      </c>
      <c r="I101" s="20" t="str" cm="1">
        <f t="array" ref="I101">Common_InputFunctions.Utility_DisplayArrayInTable(Scope3_SourceData.Scope3_Feed_Data(), Table_SourceData_Scope3_Feed[[#Headers],[Category]], -1, 2)</f>
        <v>at market</v>
      </c>
      <c r="J101" s="20" t="s">
        <v>1190</v>
      </c>
      <c r="L101" s="20" t="str">
        <f>Table_SourceData_Scope3_Feed[[#This Row],[Product]]</f>
        <v>Maize grain</v>
      </c>
      <c r="M101" s="20" t="str">
        <f>Table_SourceData_Scope3_Feed[[#This Row],[Region of origin]]</f>
        <v>QLD</v>
      </c>
    </row>
    <row r="102" spans="1:17" ht="20" customHeight="1" x14ac:dyDescent="0.25">
      <c r="A102"/>
      <c r="D102" s="20" t="str" cm="1">
        <f t="array" ref="D102">Common_InputFunctions.Utility_DisplayArrayInTable(Scope3_SourceData.Scope3_Feed_Data(), Table_SourceData_Scope3_Feed[[#Headers],[Category]], -1, 2)</f>
        <v>Grain</v>
      </c>
      <c r="E102" s="20" t="str" cm="1">
        <f t="array" ref="E102">Common_InputFunctions.Utility_DisplayArrayInTable(Scope3_SourceData.Scope3_Feed_Data(), Table_SourceData_Scope3_Feed[[#Headers],[Category]], -1, 2)</f>
        <v>Maize grain</v>
      </c>
      <c r="F102" s="20" t="str" cm="1">
        <f t="array" ref="F102">Common_InputFunctions.Utility_DisplayArrayInTable(Scope3_SourceData.Scope3_Feed_Data(), Table_SourceData_Scope3_Feed[[#Headers],[Category]], -1, 2)</f>
        <v>SA</v>
      </c>
      <c r="G102" s="20" t="str" cm="1">
        <f t="array" ref="G102">Common_InputFunctions.Utility_DisplayArrayInTable(Scope3_SourceData.Scope3_Feed_Data(), Table_SourceData_Scope3_Feed[[#Headers],[Category]], -1, 2)</f>
        <v>kg</v>
      </c>
      <c r="H102" s="20" cm="1">
        <f t="array" ref="H102">Common_InputFunctions.Utility_DisplayArrayInTable(Scope3_SourceData.Scope3_Feed_Data(), Table_SourceData_Scope3_Feed[[#Headers],[Category]], -1, 2)</f>
        <v>0.17599999999999999</v>
      </c>
      <c r="I102" s="20" t="str" cm="1">
        <f t="array" ref="I102">Common_InputFunctions.Utility_DisplayArrayInTable(Scope3_SourceData.Scope3_Feed_Data(), Table_SourceData_Scope3_Feed[[#Headers],[Category]], -1, 2)</f>
        <v>at market</v>
      </c>
      <c r="J102" s="20" t="s">
        <v>1190</v>
      </c>
      <c r="L102" s="20" t="str">
        <f>Table_SourceData_Scope3_Feed[[#This Row],[Product]]</f>
        <v>Maize grain</v>
      </c>
      <c r="M102" s="20" t="str">
        <f>Table_SourceData_Scope3_Feed[[#This Row],[Region of origin]]</f>
        <v>SA</v>
      </c>
    </row>
    <row r="103" spans="1:17" ht="20" customHeight="1" x14ac:dyDescent="0.25">
      <c r="A103"/>
      <c r="D103" s="20" t="str" cm="1">
        <f t="array" ref="D103">Common_InputFunctions.Utility_DisplayArrayInTable(Scope3_SourceData.Scope3_Feed_Data(), Table_SourceData_Scope3_Feed[[#Headers],[Category]], -1, 2)</f>
        <v>Grain</v>
      </c>
      <c r="E103" s="20" t="str" cm="1">
        <f t="array" ref="E103">Common_InputFunctions.Utility_DisplayArrayInTable(Scope3_SourceData.Scope3_Feed_Data(), Table_SourceData_Scope3_Feed[[#Headers],[Category]], -1, 2)</f>
        <v>Maize grain</v>
      </c>
      <c r="F103" s="20" t="str" cm="1">
        <f t="array" ref="F103">Common_InputFunctions.Utility_DisplayArrayInTable(Scope3_SourceData.Scope3_Feed_Data(), Table_SourceData_Scope3_Feed[[#Headers],[Category]], -1, 2)</f>
        <v>VIC</v>
      </c>
      <c r="G103" s="20" t="str" cm="1">
        <f t="array" ref="G103">Common_InputFunctions.Utility_DisplayArrayInTable(Scope3_SourceData.Scope3_Feed_Data(), Table_SourceData_Scope3_Feed[[#Headers],[Category]], -1, 2)</f>
        <v>kg</v>
      </c>
      <c r="H103" s="20" cm="1">
        <f t="array" ref="H103">Common_InputFunctions.Utility_DisplayArrayInTable(Scope3_SourceData.Scope3_Feed_Data(), Table_SourceData_Scope3_Feed[[#Headers],[Category]], -1, 2)</f>
        <v>0.159</v>
      </c>
      <c r="I103" s="20" t="str" cm="1">
        <f t="array" ref="I103">Common_InputFunctions.Utility_DisplayArrayInTable(Scope3_SourceData.Scope3_Feed_Data(), Table_SourceData_Scope3_Feed[[#Headers],[Category]], -1, 2)</f>
        <v>at market</v>
      </c>
      <c r="J103" s="20" t="s">
        <v>1190</v>
      </c>
      <c r="L103" s="20" t="str">
        <f>Table_SourceData_Scope3_Feed[[#This Row],[Product]]</f>
        <v>Maize grain</v>
      </c>
      <c r="M103" s="20" t="str">
        <f>Table_SourceData_Scope3_Feed[[#This Row],[Region of origin]]</f>
        <v>VIC</v>
      </c>
    </row>
    <row r="104" spans="1:17" ht="20" customHeight="1" x14ac:dyDescent="0.25">
      <c r="A104"/>
      <c r="D104" s="20" t="str" cm="1">
        <f t="array" ref="D104">Common_InputFunctions.Utility_DisplayArrayInTable(Scope3_SourceData.Scope3_Feed_Data(), Table_SourceData_Scope3_Feed[[#Headers],[Category]], -1, 2)</f>
        <v>Grain</v>
      </c>
      <c r="E104" s="20" t="str" cm="1">
        <f t="array" ref="E104">Common_InputFunctions.Utility_DisplayArrayInTable(Scope3_SourceData.Scope3_Feed_Data(), Table_SourceData_Scope3_Feed[[#Headers],[Category]], -1, 2)</f>
        <v>Maize grain</v>
      </c>
      <c r="F104" s="20" t="str" cm="1">
        <f t="array" ref="F104">Common_InputFunctions.Utility_DisplayArrayInTable(Scope3_SourceData.Scope3_Feed_Data(), Table_SourceData_Scope3_Feed[[#Headers],[Category]], -1, 2)</f>
        <v>WA</v>
      </c>
      <c r="G104" s="20" t="str" cm="1">
        <f t="array" ref="G104">Common_InputFunctions.Utility_DisplayArrayInTable(Scope3_SourceData.Scope3_Feed_Data(), Table_SourceData_Scope3_Feed[[#Headers],[Category]], -1, 2)</f>
        <v>kg</v>
      </c>
      <c r="H104" s="20" cm="1">
        <f t="array" ref="H104">Common_InputFunctions.Utility_DisplayArrayInTable(Scope3_SourceData.Scope3_Feed_Data(), Table_SourceData_Scope3_Feed[[#Headers],[Category]], -1, 2)</f>
        <v>0.28499999999999998</v>
      </c>
      <c r="I104" s="20" t="str" cm="1">
        <f t="array" ref="I104">Common_InputFunctions.Utility_DisplayArrayInTable(Scope3_SourceData.Scope3_Feed_Data(), Table_SourceData_Scope3_Feed[[#Headers],[Category]], -1, 2)</f>
        <v>at market</v>
      </c>
      <c r="J104" s="20" t="s">
        <v>1190</v>
      </c>
      <c r="L104" s="20" t="str">
        <f>Table_SourceData_Scope3_Feed[[#This Row],[Product]]</f>
        <v>Maize grain</v>
      </c>
      <c r="M104" s="20" t="str">
        <f>Table_SourceData_Scope3_Feed[[#This Row],[Region of origin]]</f>
        <v>WA</v>
      </c>
      <c r="O104" s="20" t="s">
        <v>139</v>
      </c>
      <c r="P104" s="20" t="s">
        <v>490</v>
      </c>
      <c r="Q104" s="1" t="str">
        <f>"Table_ProductRegions_" &amp; SUBSTITUTE(SUBSTITUTE(SUBSTITUTE(SUBSTITUTE(O105, " ", ""), ",", ""), "(", ""), ")", "")</f>
        <v>Table_ProductRegions_Sorghumgrain</v>
      </c>
    </row>
    <row r="105" spans="1:17" ht="20" customHeight="1" x14ac:dyDescent="0.25">
      <c r="A105"/>
      <c r="D105" s="20" t="str" cm="1">
        <f t="array" ref="D105">Common_InputFunctions.Utility_DisplayArrayInTable(Scope3_SourceData.Scope3_Feed_Data(), Table_SourceData_Scope3_Feed[[#Headers],[Category]], -1, 2)</f>
        <v>Grain</v>
      </c>
      <c r="E105" s="20" t="str" cm="1">
        <f t="array" ref="E105">Common_InputFunctions.Utility_DisplayArrayInTable(Scope3_SourceData.Scope3_Feed_Data(), Table_SourceData_Scope3_Feed[[#Headers],[Category]], -1, 2)</f>
        <v>Sorghum grain</v>
      </c>
      <c r="F105" s="20" t="str" cm="1">
        <f t="array" ref="F105">Common_InputFunctions.Utility_DisplayArrayInTable(Scope3_SourceData.Scope3_Feed_Data(), Table_SourceData_Scope3_Feed[[#Headers],[Category]], -1, 2)</f>
        <v>Australia</v>
      </c>
      <c r="G105" s="20" t="str" cm="1">
        <f t="array" ref="G105">Common_InputFunctions.Utility_DisplayArrayInTable(Scope3_SourceData.Scope3_Feed_Data(), Table_SourceData_Scope3_Feed[[#Headers],[Category]], -1, 2)</f>
        <v>kg</v>
      </c>
      <c r="H105" s="20" cm="1">
        <f t="array" ref="H105">Common_InputFunctions.Utility_DisplayArrayInTable(Scope3_SourceData.Scope3_Feed_Data(), Table_SourceData_Scope3_Feed[[#Headers],[Category]], -1, 2)</f>
        <v>0.23200000000000001</v>
      </c>
      <c r="I105" s="20" t="str" cm="1">
        <f t="array" ref="I105">Common_InputFunctions.Utility_DisplayArrayInTable(Scope3_SourceData.Scope3_Feed_Data(), Table_SourceData_Scope3_Feed[[#Headers],[Category]], -1, 2)</f>
        <v>at market</v>
      </c>
      <c r="J105" s="20" t="s">
        <v>1190</v>
      </c>
      <c r="O105" s="20" t="str">
        <f>Table_SourceData_Scope3_Feed[[#This Row],[Product]]</f>
        <v>Sorghum grain</v>
      </c>
      <c r="P105" s="20" t="str">
        <f>Table_SourceData_Scope3_Feed[[#This Row],[Region of origin]]</f>
        <v>Australia</v>
      </c>
    </row>
    <row r="106" spans="1:17" ht="20" customHeight="1" x14ac:dyDescent="0.25">
      <c r="A106"/>
      <c r="D106" s="20" t="str" cm="1">
        <f t="array" ref="D106">Common_InputFunctions.Utility_DisplayArrayInTable(Scope3_SourceData.Scope3_Feed_Data(), Table_SourceData_Scope3_Feed[[#Headers],[Category]], -1, 2)</f>
        <v>Grain</v>
      </c>
      <c r="E106" s="20" t="str" cm="1">
        <f t="array" ref="E106">Common_InputFunctions.Utility_DisplayArrayInTable(Scope3_SourceData.Scope3_Feed_Data(), Table_SourceData_Scope3_Feed[[#Headers],[Category]], -1, 2)</f>
        <v>Sorghum grain</v>
      </c>
      <c r="F106" s="20" t="str" cm="1">
        <f t="array" ref="F106">Common_InputFunctions.Utility_DisplayArrayInTable(Scope3_SourceData.Scope3_Feed_Data(), Table_SourceData_Scope3_Feed[[#Headers],[Category]], -1, 2)</f>
        <v>NSW</v>
      </c>
      <c r="G106" s="20" t="str" cm="1">
        <f t="array" ref="G106">Common_InputFunctions.Utility_DisplayArrayInTable(Scope3_SourceData.Scope3_Feed_Data(), Table_SourceData_Scope3_Feed[[#Headers],[Category]], -1, 2)</f>
        <v>kg</v>
      </c>
      <c r="H106" s="20" cm="1">
        <f t="array" ref="H106">Common_InputFunctions.Utility_DisplayArrayInTable(Scope3_SourceData.Scope3_Feed_Data(), Table_SourceData_Scope3_Feed[[#Headers],[Category]], -1, 2)</f>
        <v>0.23200000000000001</v>
      </c>
      <c r="I106" s="20" t="str" cm="1">
        <f t="array" ref="I106">Common_InputFunctions.Utility_DisplayArrayInTable(Scope3_SourceData.Scope3_Feed_Data(), Table_SourceData_Scope3_Feed[[#Headers],[Category]], -1, 2)</f>
        <v>at market</v>
      </c>
      <c r="J106" s="20" t="s">
        <v>1190</v>
      </c>
      <c r="O106" s="20" t="str">
        <f>Table_SourceData_Scope3_Feed[[#This Row],[Product]]</f>
        <v>Sorghum grain</v>
      </c>
      <c r="P106" s="20" t="str">
        <f>Table_SourceData_Scope3_Feed[[#This Row],[Region of origin]]</f>
        <v>NSW</v>
      </c>
    </row>
    <row r="107" spans="1:17" ht="20" customHeight="1" x14ac:dyDescent="0.25">
      <c r="A107"/>
      <c r="D107" s="20" t="str" cm="1">
        <f t="array" ref="D107">Common_InputFunctions.Utility_DisplayArrayInTable(Scope3_SourceData.Scope3_Feed_Data(), Table_SourceData_Scope3_Feed[[#Headers],[Category]], -1, 2)</f>
        <v>Grain</v>
      </c>
      <c r="E107" s="20" t="str" cm="1">
        <f t="array" ref="E107">Common_InputFunctions.Utility_DisplayArrayInTable(Scope3_SourceData.Scope3_Feed_Data(), Table_SourceData_Scope3_Feed[[#Headers],[Category]], -1, 2)</f>
        <v>Sorghum grain</v>
      </c>
      <c r="F107" s="20" t="str" cm="1">
        <f t="array" ref="F107">Common_InputFunctions.Utility_DisplayArrayInTable(Scope3_SourceData.Scope3_Feed_Data(), Table_SourceData_Scope3_Feed[[#Headers],[Category]], -1, 2)</f>
        <v>QLD</v>
      </c>
      <c r="G107" s="20" t="str" cm="1">
        <f t="array" ref="G107">Common_InputFunctions.Utility_DisplayArrayInTable(Scope3_SourceData.Scope3_Feed_Data(), Table_SourceData_Scope3_Feed[[#Headers],[Category]], -1, 2)</f>
        <v>kg</v>
      </c>
      <c r="H107" s="20" cm="1">
        <f t="array" ref="H107">Common_InputFunctions.Utility_DisplayArrayInTable(Scope3_SourceData.Scope3_Feed_Data(), Table_SourceData_Scope3_Feed[[#Headers],[Category]], -1, 2)</f>
        <v>0.23100000000000001</v>
      </c>
      <c r="I107" s="20" t="str" cm="1">
        <f t="array" ref="I107">Common_InputFunctions.Utility_DisplayArrayInTable(Scope3_SourceData.Scope3_Feed_Data(), Table_SourceData_Scope3_Feed[[#Headers],[Category]], -1, 2)</f>
        <v>at market</v>
      </c>
      <c r="J107" s="20" t="s">
        <v>1190</v>
      </c>
      <c r="O107" s="20" t="str">
        <f>Table_SourceData_Scope3_Feed[[#This Row],[Product]]</f>
        <v>Sorghum grain</v>
      </c>
      <c r="P107" s="20" t="str">
        <f>Table_SourceData_Scope3_Feed[[#This Row],[Region of origin]]</f>
        <v>QLD</v>
      </c>
    </row>
    <row r="108" spans="1:17" ht="20" customHeight="1" x14ac:dyDescent="0.25">
      <c r="A108"/>
      <c r="D108" s="20" t="str" cm="1">
        <f t="array" ref="D108">Common_InputFunctions.Utility_DisplayArrayInTable(Scope3_SourceData.Scope3_Feed_Data(), Table_SourceData_Scope3_Feed[[#Headers],[Category]], -1, 2)</f>
        <v>Grain</v>
      </c>
      <c r="E108" s="20" t="str" cm="1">
        <f t="array" ref="E108">Common_InputFunctions.Utility_DisplayArrayInTable(Scope3_SourceData.Scope3_Feed_Data(), Table_SourceData_Scope3_Feed[[#Headers],[Category]], -1, 2)</f>
        <v>Sorghum grain</v>
      </c>
      <c r="F108" s="20" t="str" cm="1">
        <f t="array" ref="F108">Common_InputFunctions.Utility_DisplayArrayInTable(Scope3_SourceData.Scope3_Feed_Data(), Table_SourceData_Scope3_Feed[[#Headers],[Category]], -1, 2)</f>
        <v>SA</v>
      </c>
      <c r="G108" s="20" t="str" cm="1">
        <f t="array" ref="G108">Common_InputFunctions.Utility_DisplayArrayInTable(Scope3_SourceData.Scope3_Feed_Data(), Table_SourceData_Scope3_Feed[[#Headers],[Category]], -1, 2)</f>
        <v>kg</v>
      </c>
      <c r="H108" s="20" cm="1">
        <f t="array" ref="H108">Common_InputFunctions.Utility_DisplayArrayInTable(Scope3_SourceData.Scope3_Feed_Data(), Table_SourceData_Scope3_Feed[[#Headers],[Category]], -1, 2)</f>
        <v>0.218</v>
      </c>
      <c r="I108" s="20" t="str" cm="1">
        <f t="array" ref="I108">Common_InputFunctions.Utility_DisplayArrayInTable(Scope3_SourceData.Scope3_Feed_Data(), Table_SourceData_Scope3_Feed[[#Headers],[Category]], -1, 2)</f>
        <v>at market</v>
      </c>
      <c r="J108" s="20" t="s">
        <v>1190</v>
      </c>
      <c r="O108" s="20" t="str">
        <f>Table_SourceData_Scope3_Feed[[#This Row],[Product]]</f>
        <v>Sorghum grain</v>
      </c>
      <c r="P108" s="20" t="str">
        <f>Table_SourceData_Scope3_Feed[[#This Row],[Region of origin]]</f>
        <v>SA</v>
      </c>
    </row>
    <row r="109" spans="1:17" ht="20" customHeight="1" x14ac:dyDescent="0.25">
      <c r="A109"/>
      <c r="D109" s="20" t="str" cm="1">
        <f t="array" ref="D109">Common_InputFunctions.Utility_DisplayArrayInTable(Scope3_SourceData.Scope3_Feed_Data(), Table_SourceData_Scope3_Feed[[#Headers],[Category]], -1, 2)</f>
        <v>Grain</v>
      </c>
      <c r="E109" s="20" t="str" cm="1">
        <f t="array" ref="E109">Common_InputFunctions.Utility_DisplayArrayInTable(Scope3_SourceData.Scope3_Feed_Data(), Table_SourceData_Scope3_Feed[[#Headers],[Category]], -1, 2)</f>
        <v>Sorghum grain</v>
      </c>
      <c r="F109" s="20" t="str" cm="1">
        <f t="array" ref="F109">Common_InputFunctions.Utility_DisplayArrayInTable(Scope3_SourceData.Scope3_Feed_Data(), Table_SourceData_Scope3_Feed[[#Headers],[Category]], -1, 2)</f>
        <v>VIC</v>
      </c>
      <c r="G109" s="20" t="str" cm="1">
        <f t="array" ref="G109">Common_InputFunctions.Utility_DisplayArrayInTable(Scope3_SourceData.Scope3_Feed_Data(), Table_SourceData_Scope3_Feed[[#Headers],[Category]], -1, 2)</f>
        <v>kg</v>
      </c>
      <c r="H109" s="20" cm="1">
        <f t="array" ref="H109">Common_InputFunctions.Utility_DisplayArrayInTable(Scope3_SourceData.Scope3_Feed_Data(), Table_SourceData_Scope3_Feed[[#Headers],[Category]], -1, 2)</f>
        <v>0.246</v>
      </c>
      <c r="I109" s="20" t="str" cm="1">
        <f t="array" ref="I109">Common_InputFunctions.Utility_DisplayArrayInTable(Scope3_SourceData.Scope3_Feed_Data(), Table_SourceData_Scope3_Feed[[#Headers],[Category]], -1, 2)</f>
        <v>at market</v>
      </c>
      <c r="J109" s="20" t="s">
        <v>1190</v>
      </c>
      <c r="L109" s="20" t="s">
        <v>139</v>
      </c>
      <c r="M109" s="20" t="s">
        <v>490</v>
      </c>
      <c r="N109" s="1" t="str">
        <f>"Table_ProductRegions_" &amp; SUBSTITUTE(SUBSTITUTE(SUBSTITUTE(SUBSTITUTE(L110, " ", ""), ",", ""), "(", ""), ")", "")</f>
        <v>Table_ProductRegions_Wheatgrain</v>
      </c>
      <c r="O109" s="20" t="str">
        <f>Table_SourceData_Scope3_Feed[[#This Row],[Product]]</f>
        <v>Sorghum grain</v>
      </c>
      <c r="P109" s="20" t="str">
        <f>Table_SourceData_Scope3_Feed[[#This Row],[Region of origin]]</f>
        <v>VIC</v>
      </c>
    </row>
    <row r="110" spans="1:17" ht="20" customHeight="1" x14ac:dyDescent="0.25">
      <c r="A110"/>
      <c r="D110" s="20" t="str" cm="1">
        <f t="array" ref="D110">Common_InputFunctions.Utility_DisplayArrayInTable(Scope3_SourceData.Scope3_Feed_Data(), Table_SourceData_Scope3_Feed[[#Headers],[Category]], -1, 2)</f>
        <v>Grain</v>
      </c>
      <c r="E110" s="20" t="str" cm="1">
        <f t="array" ref="E110">Common_InputFunctions.Utility_DisplayArrayInTable(Scope3_SourceData.Scope3_Feed_Data(), Table_SourceData_Scope3_Feed[[#Headers],[Category]], -1, 2)</f>
        <v>Wheat grain</v>
      </c>
      <c r="F110" s="20" t="str" cm="1">
        <f t="array" ref="F110">Common_InputFunctions.Utility_DisplayArrayInTable(Scope3_SourceData.Scope3_Feed_Data(), Table_SourceData_Scope3_Feed[[#Headers],[Category]], -1, 2)</f>
        <v>Australia</v>
      </c>
      <c r="G110" s="20" t="str" cm="1">
        <f t="array" ref="G110">Common_InputFunctions.Utility_DisplayArrayInTable(Scope3_SourceData.Scope3_Feed_Data(), Table_SourceData_Scope3_Feed[[#Headers],[Category]], -1, 2)</f>
        <v>kg</v>
      </c>
      <c r="H110" s="20" cm="1">
        <f t="array" ref="H110">Common_InputFunctions.Utility_DisplayArrayInTable(Scope3_SourceData.Scope3_Feed_Data(), Table_SourceData_Scope3_Feed[[#Headers],[Category]], -1, 2)</f>
        <v>0.26800000000000002</v>
      </c>
      <c r="I110" s="20" t="str" cm="1">
        <f t="array" ref="I110">Common_InputFunctions.Utility_DisplayArrayInTable(Scope3_SourceData.Scope3_Feed_Data(), Table_SourceData_Scope3_Feed[[#Headers],[Category]], -1, 2)</f>
        <v>at market</v>
      </c>
      <c r="J110" s="20" t="s">
        <v>1190</v>
      </c>
      <c r="L110" s="20" t="str">
        <f>Table_SourceData_Scope3_Feed[[#This Row],[Product]]</f>
        <v>Wheat grain</v>
      </c>
      <c r="M110" s="20" t="str">
        <f>Table_SourceData_Scope3_Feed[[#This Row],[Region of origin]]</f>
        <v>Australia</v>
      </c>
    </row>
    <row r="111" spans="1:17" ht="20" customHeight="1" x14ac:dyDescent="0.25">
      <c r="A111"/>
      <c r="D111" s="20" t="str" cm="1">
        <f t="array" ref="D111">Common_InputFunctions.Utility_DisplayArrayInTable(Scope3_SourceData.Scope3_Feed_Data(), Table_SourceData_Scope3_Feed[[#Headers],[Category]], -1, 2)</f>
        <v>Grain</v>
      </c>
      <c r="E111" s="20" t="str" cm="1">
        <f t="array" ref="E111">Common_InputFunctions.Utility_DisplayArrayInTable(Scope3_SourceData.Scope3_Feed_Data(), Table_SourceData_Scope3_Feed[[#Headers],[Category]], -1, 2)</f>
        <v>Wheat grain</v>
      </c>
      <c r="F111" s="20" t="str" cm="1">
        <f t="array" ref="F111">Common_InputFunctions.Utility_DisplayArrayInTable(Scope3_SourceData.Scope3_Feed_Data(), Table_SourceData_Scope3_Feed[[#Headers],[Category]], -1, 2)</f>
        <v>NSW</v>
      </c>
      <c r="G111" s="20" t="str" cm="1">
        <f t="array" ref="G111">Common_InputFunctions.Utility_DisplayArrayInTable(Scope3_SourceData.Scope3_Feed_Data(), Table_SourceData_Scope3_Feed[[#Headers],[Category]], -1, 2)</f>
        <v>kg</v>
      </c>
      <c r="H111" s="20" cm="1">
        <f t="array" ref="H111">Common_InputFunctions.Utility_DisplayArrayInTable(Scope3_SourceData.Scope3_Feed_Data(), Table_SourceData_Scope3_Feed[[#Headers],[Category]], -1, 2)</f>
        <v>0.28199999999999997</v>
      </c>
      <c r="I111" s="20" t="str" cm="1">
        <f t="array" ref="I111">Common_InputFunctions.Utility_DisplayArrayInTable(Scope3_SourceData.Scope3_Feed_Data(), Table_SourceData_Scope3_Feed[[#Headers],[Category]], -1, 2)</f>
        <v>at market</v>
      </c>
      <c r="J111" s="20" t="s">
        <v>1190</v>
      </c>
      <c r="L111" s="20" t="str">
        <f>Table_SourceData_Scope3_Feed[[#This Row],[Product]]</f>
        <v>Wheat grain</v>
      </c>
      <c r="M111" s="20" t="str">
        <f>Table_SourceData_Scope3_Feed[[#This Row],[Region of origin]]</f>
        <v>NSW</v>
      </c>
    </row>
    <row r="112" spans="1:17" ht="20" customHeight="1" x14ac:dyDescent="0.25">
      <c r="A112"/>
      <c r="D112" s="20" t="str" cm="1">
        <f t="array" ref="D112">Common_InputFunctions.Utility_DisplayArrayInTable(Scope3_SourceData.Scope3_Feed_Data(), Table_SourceData_Scope3_Feed[[#Headers],[Category]], -1, 2)</f>
        <v>Grain</v>
      </c>
      <c r="E112" s="20" t="str" cm="1">
        <f t="array" ref="E112">Common_InputFunctions.Utility_DisplayArrayInTable(Scope3_SourceData.Scope3_Feed_Data(), Table_SourceData_Scope3_Feed[[#Headers],[Category]], -1, 2)</f>
        <v>Wheat grain</v>
      </c>
      <c r="F112" s="20" t="str" cm="1">
        <f t="array" ref="F112">Common_InputFunctions.Utility_DisplayArrayInTable(Scope3_SourceData.Scope3_Feed_Data(), Table_SourceData_Scope3_Feed[[#Headers],[Category]], -1, 2)</f>
        <v>NT</v>
      </c>
      <c r="G112" s="20" t="str" cm="1">
        <f t="array" ref="G112">Common_InputFunctions.Utility_DisplayArrayInTable(Scope3_SourceData.Scope3_Feed_Data(), Table_SourceData_Scope3_Feed[[#Headers],[Category]], -1, 2)</f>
        <v>kg</v>
      </c>
      <c r="H112" s="20" cm="1">
        <f t="array" ref="H112">Common_InputFunctions.Utility_DisplayArrayInTable(Scope3_SourceData.Scope3_Feed_Data(), Table_SourceData_Scope3_Feed[[#Headers],[Category]], -1, 2)</f>
        <v>0.38500000000000001</v>
      </c>
      <c r="I112" s="20" t="str" cm="1">
        <f t="array" ref="I112">Common_InputFunctions.Utility_DisplayArrayInTable(Scope3_SourceData.Scope3_Feed_Data(), Table_SourceData_Scope3_Feed[[#Headers],[Category]], -1, 2)</f>
        <v>at market</v>
      </c>
      <c r="J112" s="20" t="s">
        <v>1190</v>
      </c>
      <c r="L112" s="20" t="str">
        <f>Table_SourceData_Scope3_Feed[[#This Row],[Product]]</f>
        <v>Wheat grain</v>
      </c>
      <c r="M112" s="20" t="str">
        <f>Table_SourceData_Scope3_Feed[[#This Row],[Region of origin]]</f>
        <v>NT</v>
      </c>
    </row>
    <row r="113" spans="1:17" ht="20" customHeight="1" x14ac:dyDescent="0.25">
      <c r="A113"/>
      <c r="D113" s="20" t="str" cm="1">
        <f t="array" ref="D113">Common_InputFunctions.Utility_DisplayArrayInTable(Scope3_SourceData.Scope3_Feed_Data(), Table_SourceData_Scope3_Feed[[#Headers],[Category]], -1, 2)</f>
        <v>Grain</v>
      </c>
      <c r="E113" s="20" t="str" cm="1">
        <f t="array" ref="E113">Common_InputFunctions.Utility_DisplayArrayInTable(Scope3_SourceData.Scope3_Feed_Data(), Table_SourceData_Scope3_Feed[[#Headers],[Category]], -1, 2)</f>
        <v>Wheat grain</v>
      </c>
      <c r="F113" s="20" t="str" cm="1">
        <f t="array" ref="F113">Common_InputFunctions.Utility_DisplayArrayInTable(Scope3_SourceData.Scope3_Feed_Data(), Table_SourceData_Scope3_Feed[[#Headers],[Category]], -1, 2)</f>
        <v>QLD</v>
      </c>
      <c r="G113" s="20" t="str" cm="1">
        <f t="array" ref="G113">Common_InputFunctions.Utility_DisplayArrayInTable(Scope3_SourceData.Scope3_Feed_Data(), Table_SourceData_Scope3_Feed[[#Headers],[Category]], -1, 2)</f>
        <v>kg</v>
      </c>
      <c r="H113" s="20" cm="1">
        <f t="array" ref="H113">Common_InputFunctions.Utility_DisplayArrayInTable(Scope3_SourceData.Scope3_Feed_Data(), Table_SourceData_Scope3_Feed[[#Headers],[Category]], -1, 2)</f>
        <v>0.29599999999999999</v>
      </c>
      <c r="I113" s="20" t="str" cm="1">
        <f t="array" ref="I113">Common_InputFunctions.Utility_DisplayArrayInTable(Scope3_SourceData.Scope3_Feed_Data(), Table_SourceData_Scope3_Feed[[#Headers],[Category]], -1, 2)</f>
        <v>at market</v>
      </c>
      <c r="J113" s="20" t="s">
        <v>1190</v>
      </c>
      <c r="L113" s="20" t="str">
        <f>Table_SourceData_Scope3_Feed[[#This Row],[Product]]</f>
        <v>Wheat grain</v>
      </c>
      <c r="M113" s="20" t="str">
        <f>Table_SourceData_Scope3_Feed[[#This Row],[Region of origin]]</f>
        <v>QLD</v>
      </c>
    </row>
    <row r="114" spans="1:17" ht="20" customHeight="1" x14ac:dyDescent="0.25">
      <c r="A114"/>
      <c r="D114" s="20" t="str" cm="1">
        <f t="array" ref="D114">Common_InputFunctions.Utility_DisplayArrayInTable(Scope3_SourceData.Scope3_Feed_Data(), Table_SourceData_Scope3_Feed[[#Headers],[Category]], -1, 2)</f>
        <v>Grain</v>
      </c>
      <c r="E114" s="20" t="str" cm="1">
        <f t="array" ref="E114">Common_InputFunctions.Utility_DisplayArrayInTable(Scope3_SourceData.Scope3_Feed_Data(), Table_SourceData_Scope3_Feed[[#Headers],[Category]], -1, 2)</f>
        <v>Wheat grain</v>
      </c>
      <c r="F114" s="20" t="str" cm="1">
        <f t="array" ref="F114">Common_InputFunctions.Utility_DisplayArrayInTable(Scope3_SourceData.Scope3_Feed_Data(), Table_SourceData_Scope3_Feed[[#Headers],[Category]], -1, 2)</f>
        <v>SA</v>
      </c>
      <c r="G114" s="20" t="str" cm="1">
        <f t="array" ref="G114">Common_InputFunctions.Utility_DisplayArrayInTable(Scope3_SourceData.Scope3_Feed_Data(), Table_SourceData_Scope3_Feed[[#Headers],[Category]], -1, 2)</f>
        <v>kg</v>
      </c>
      <c r="H114" s="20" cm="1">
        <f t="array" ref="H114">Common_InputFunctions.Utility_DisplayArrayInTable(Scope3_SourceData.Scope3_Feed_Data(), Table_SourceData_Scope3_Feed[[#Headers],[Category]], -1, 2)</f>
        <v>0.24099999999999999</v>
      </c>
      <c r="I114" s="20" t="str" cm="1">
        <f t="array" ref="I114">Common_InputFunctions.Utility_DisplayArrayInTable(Scope3_SourceData.Scope3_Feed_Data(), Table_SourceData_Scope3_Feed[[#Headers],[Category]], -1, 2)</f>
        <v>at market</v>
      </c>
      <c r="J114" s="20" t="s">
        <v>1190</v>
      </c>
      <c r="L114" s="20" t="str">
        <f>Table_SourceData_Scope3_Feed[[#This Row],[Product]]</f>
        <v>Wheat grain</v>
      </c>
      <c r="M114" s="20" t="str">
        <f>Table_SourceData_Scope3_Feed[[#This Row],[Region of origin]]</f>
        <v>SA</v>
      </c>
    </row>
    <row r="115" spans="1:17" ht="20" customHeight="1" x14ac:dyDescent="0.25">
      <c r="A115"/>
      <c r="D115" s="20" t="str" cm="1">
        <f t="array" ref="D115">Common_InputFunctions.Utility_DisplayArrayInTable(Scope3_SourceData.Scope3_Feed_Data(), Table_SourceData_Scope3_Feed[[#Headers],[Category]], -1, 2)</f>
        <v>Grain</v>
      </c>
      <c r="E115" s="20" t="str" cm="1">
        <f t="array" ref="E115">Common_InputFunctions.Utility_DisplayArrayInTable(Scope3_SourceData.Scope3_Feed_Data(), Table_SourceData_Scope3_Feed[[#Headers],[Category]], -1, 2)</f>
        <v>Wheat grain</v>
      </c>
      <c r="F115" s="20" t="str" cm="1">
        <f t="array" ref="F115">Common_InputFunctions.Utility_DisplayArrayInTable(Scope3_SourceData.Scope3_Feed_Data(), Table_SourceData_Scope3_Feed[[#Headers],[Category]], -1, 2)</f>
        <v>TAS</v>
      </c>
      <c r="G115" s="20" t="str" cm="1">
        <f t="array" ref="G115">Common_InputFunctions.Utility_DisplayArrayInTable(Scope3_SourceData.Scope3_Feed_Data(), Table_SourceData_Scope3_Feed[[#Headers],[Category]], -1, 2)</f>
        <v>kg</v>
      </c>
      <c r="H115" s="20" cm="1">
        <f t="array" ref="H115">Common_InputFunctions.Utility_DisplayArrayInTable(Scope3_SourceData.Scope3_Feed_Data(), Table_SourceData_Scope3_Feed[[#Headers],[Category]], -1, 2)</f>
        <v>0.33800000000000002</v>
      </c>
      <c r="I115" s="20" t="str" cm="1">
        <f t="array" ref="I115">Common_InputFunctions.Utility_DisplayArrayInTable(Scope3_SourceData.Scope3_Feed_Data(), Table_SourceData_Scope3_Feed[[#Headers],[Category]], -1, 2)</f>
        <v>at market</v>
      </c>
      <c r="J115" s="20" t="s">
        <v>1190</v>
      </c>
      <c r="L115" s="20" t="str">
        <f>Table_SourceData_Scope3_Feed[[#This Row],[Product]]</f>
        <v>Wheat grain</v>
      </c>
      <c r="M115" s="20" t="str">
        <f>Table_SourceData_Scope3_Feed[[#This Row],[Region of origin]]</f>
        <v>TAS</v>
      </c>
    </row>
    <row r="116" spans="1:17" ht="20" customHeight="1" x14ac:dyDescent="0.25">
      <c r="A116"/>
      <c r="D116" s="20" t="str" cm="1">
        <f t="array" ref="D116">Common_InputFunctions.Utility_DisplayArrayInTable(Scope3_SourceData.Scope3_Feed_Data(), Table_SourceData_Scope3_Feed[[#Headers],[Category]], -1, 2)</f>
        <v>Grain</v>
      </c>
      <c r="E116" s="20" t="str" cm="1">
        <f t="array" ref="E116">Common_InputFunctions.Utility_DisplayArrayInTable(Scope3_SourceData.Scope3_Feed_Data(), Table_SourceData_Scope3_Feed[[#Headers],[Category]], -1, 2)</f>
        <v>Wheat grain</v>
      </c>
      <c r="F116" s="20" t="str" cm="1">
        <f t="array" ref="F116">Common_InputFunctions.Utility_DisplayArrayInTable(Scope3_SourceData.Scope3_Feed_Data(), Table_SourceData_Scope3_Feed[[#Headers],[Category]], -1, 2)</f>
        <v>VIC</v>
      </c>
      <c r="G116" s="20" t="str" cm="1">
        <f t="array" ref="G116">Common_InputFunctions.Utility_DisplayArrayInTable(Scope3_SourceData.Scope3_Feed_Data(), Table_SourceData_Scope3_Feed[[#Headers],[Category]], -1, 2)</f>
        <v>kg</v>
      </c>
      <c r="H116" s="20" cm="1">
        <f t="array" ref="H116">Common_InputFunctions.Utility_DisplayArrayInTable(Scope3_SourceData.Scope3_Feed_Data(), Table_SourceData_Scope3_Feed[[#Headers],[Category]], -1, 2)</f>
        <v>0.26600000000000001</v>
      </c>
      <c r="I116" s="20" t="str" cm="1">
        <f t="array" ref="I116">Common_InputFunctions.Utility_DisplayArrayInTable(Scope3_SourceData.Scope3_Feed_Data(), Table_SourceData_Scope3_Feed[[#Headers],[Category]], -1, 2)</f>
        <v>at market</v>
      </c>
      <c r="J116" s="20" t="s">
        <v>1190</v>
      </c>
      <c r="L116" s="20" t="str">
        <f>Table_SourceData_Scope3_Feed[[#This Row],[Product]]</f>
        <v>Wheat grain</v>
      </c>
      <c r="M116" s="20" t="str">
        <f>Table_SourceData_Scope3_Feed[[#This Row],[Region of origin]]</f>
        <v>VIC</v>
      </c>
    </row>
    <row r="117" spans="1:17" ht="20" customHeight="1" x14ac:dyDescent="0.25">
      <c r="A117"/>
      <c r="D117" s="20" t="str" cm="1">
        <f t="array" ref="D117">Common_InputFunctions.Utility_DisplayArrayInTable(Scope3_SourceData.Scope3_Feed_Data(), Table_SourceData_Scope3_Feed[[#Headers],[Category]], -1, 2)</f>
        <v>Grain</v>
      </c>
      <c r="E117" s="20" t="str" cm="1">
        <f t="array" ref="E117">Common_InputFunctions.Utility_DisplayArrayInTable(Scope3_SourceData.Scope3_Feed_Data(), Table_SourceData_Scope3_Feed[[#Headers],[Category]], -1, 2)</f>
        <v>Wheat grain</v>
      </c>
      <c r="F117" s="20" t="str" cm="1">
        <f t="array" ref="F117">Common_InputFunctions.Utility_DisplayArrayInTable(Scope3_SourceData.Scope3_Feed_Data(), Table_SourceData_Scope3_Feed[[#Headers],[Category]], -1, 2)</f>
        <v>WA</v>
      </c>
      <c r="G117" s="20" t="str" cm="1">
        <f t="array" ref="G117">Common_InputFunctions.Utility_DisplayArrayInTable(Scope3_SourceData.Scope3_Feed_Data(), Table_SourceData_Scope3_Feed[[#Headers],[Category]], -1, 2)</f>
        <v>kg</v>
      </c>
      <c r="H117" s="20" cm="1">
        <f t="array" ref="H117">Common_InputFunctions.Utility_DisplayArrayInTable(Scope3_SourceData.Scope3_Feed_Data(), Table_SourceData_Scope3_Feed[[#Headers],[Category]], -1, 2)</f>
        <v>0.26100000000000001</v>
      </c>
      <c r="I117" s="20" t="str" cm="1">
        <f t="array" ref="I117">Common_InputFunctions.Utility_DisplayArrayInTable(Scope3_SourceData.Scope3_Feed_Data(), Table_SourceData_Scope3_Feed[[#Headers],[Category]], -1, 2)</f>
        <v>at market</v>
      </c>
      <c r="J117" s="20" t="s">
        <v>1190</v>
      </c>
      <c r="L117" s="20" t="str">
        <f>Table_SourceData_Scope3_Feed[[#This Row],[Product]]</f>
        <v>Wheat grain</v>
      </c>
      <c r="M117" s="20" t="str">
        <f>Table_SourceData_Scope3_Feed[[#This Row],[Region of origin]]</f>
        <v>WA</v>
      </c>
      <c r="O117" s="20" t="s">
        <v>139</v>
      </c>
      <c r="P117" s="20" t="s">
        <v>490</v>
      </c>
      <c r="Q117" s="1" t="str">
        <f>"Table_ProductRegions_" &amp; SUBSTITUTE(SUBSTITUTE(SUBSTITUTE(SUBSTITUTE(O118, " ", ""), ",", ""), "(", ""), ")", "")</f>
        <v>Table_ProductRegions_Cerealhay</v>
      </c>
    </row>
    <row r="118" spans="1:17" ht="20" customHeight="1" x14ac:dyDescent="0.25">
      <c r="A118"/>
      <c r="D118" s="20" t="str" cm="1">
        <f t="array" ref="D118">Common_InputFunctions.Utility_DisplayArrayInTable(Scope3_SourceData.Scope3_Feed_Data(), Table_SourceData_Scope3_Feed[[#Headers],[Category]], -1, 2)</f>
        <v>Hay</v>
      </c>
      <c r="E118" s="20" t="str" cm="1">
        <f t="array" ref="E118">Common_InputFunctions.Utility_DisplayArrayInTable(Scope3_SourceData.Scope3_Feed_Data(), Table_SourceData_Scope3_Feed[[#Headers],[Category]], -1, 2)</f>
        <v>Cereal hay</v>
      </c>
      <c r="F118" s="20" t="str" cm="1">
        <f t="array" ref="F118">Common_InputFunctions.Utility_DisplayArrayInTable(Scope3_SourceData.Scope3_Feed_Data(), Table_SourceData_Scope3_Feed[[#Headers],[Category]], -1, 2)</f>
        <v>Australia</v>
      </c>
      <c r="G118" s="20" t="str" cm="1">
        <f t="array" ref="G118">Common_InputFunctions.Utility_DisplayArrayInTable(Scope3_SourceData.Scope3_Feed_Data(), Table_SourceData_Scope3_Feed[[#Headers],[Category]], -1, 2)</f>
        <v>kg</v>
      </c>
      <c r="H118" s="20" cm="1">
        <f t="array" ref="H118">Common_InputFunctions.Utility_DisplayArrayInTable(Scope3_SourceData.Scope3_Feed_Data(), Table_SourceData_Scope3_Feed[[#Headers],[Category]], -1, 2)</f>
        <v>0.11700000000000001</v>
      </c>
      <c r="I118" s="20" t="str" cm="1">
        <f t="array" ref="I118">Common_InputFunctions.Utility_DisplayArrayInTable(Scope3_SourceData.Scope3_Feed_Data(), Table_SourceData_Scope3_Feed[[#Headers],[Category]], -1, 2)</f>
        <v>at market</v>
      </c>
      <c r="J118" s="20" t="s">
        <v>1190</v>
      </c>
      <c r="O118" s="20" t="str">
        <f>Table_SourceData_Scope3_Feed[[#This Row],[Product]]</f>
        <v>Cereal hay</v>
      </c>
      <c r="P118" s="20" t="str">
        <f>Table_SourceData_Scope3_Feed[[#This Row],[Region of origin]]</f>
        <v>Australia</v>
      </c>
    </row>
    <row r="119" spans="1:17" ht="20" customHeight="1" x14ac:dyDescent="0.25">
      <c r="A119"/>
      <c r="D119" s="20" t="str" cm="1">
        <f t="array" ref="D119">Common_InputFunctions.Utility_DisplayArrayInTable(Scope3_SourceData.Scope3_Feed_Data(), Table_SourceData_Scope3_Feed[[#Headers],[Category]], -1, 2)</f>
        <v>Hay</v>
      </c>
      <c r="E119" s="20" t="str" cm="1">
        <f t="array" ref="E119">Common_InputFunctions.Utility_DisplayArrayInTable(Scope3_SourceData.Scope3_Feed_Data(), Table_SourceData_Scope3_Feed[[#Headers],[Category]], -1, 2)</f>
        <v>Cereal hay</v>
      </c>
      <c r="F119" s="20" t="str" cm="1">
        <f t="array" ref="F119">Common_InputFunctions.Utility_DisplayArrayInTable(Scope3_SourceData.Scope3_Feed_Data(), Table_SourceData_Scope3_Feed[[#Headers],[Category]], -1, 2)</f>
        <v>NSW</v>
      </c>
      <c r="G119" s="20" t="str" cm="1">
        <f t="array" ref="G119">Common_InputFunctions.Utility_DisplayArrayInTable(Scope3_SourceData.Scope3_Feed_Data(), Table_SourceData_Scope3_Feed[[#Headers],[Category]], -1, 2)</f>
        <v>kg</v>
      </c>
      <c r="H119" s="20" cm="1">
        <f t="array" ref="H119">Common_InputFunctions.Utility_DisplayArrayInTable(Scope3_SourceData.Scope3_Feed_Data(), Table_SourceData_Scope3_Feed[[#Headers],[Category]], -1, 2)</f>
        <v>0.11600000000000001</v>
      </c>
      <c r="I119" s="20" t="str" cm="1">
        <f t="array" ref="I119">Common_InputFunctions.Utility_DisplayArrayInTable(Scope3_SourceData.Scope3_Feed_Data(), Table_SourceData_Scope3_Feed[[#Headers],[Category]], -1, 2)</f>
        <v>at market</v>
      </c>
      <c r="J119" s="20" t="s">
        <v>1190</v>
      </c>
      <c r="O119" s="20" t="str">
        <f>Table_SourceData_Scope3_Feed[[#This Row],[Product]]</f>
        <v>Cereal hay</v>
      </c>
      <c r="P119" s="20" t="str">
        <f>Table_SourceData_Scope3_Feed[[#This Row],[Region of origin]]</f>
        <v>NSW</v>
      </c>
    </row>
    <row r="120" spans="1:17" ht="20" customHeight="1" x14ac:dyDescent="0.25">
      <c r="A120"/>
      <c r="D120" s="20" t="str" cm="1">
        <f t="array" ref="D120">Common_InputFunctions.Utility_DisplayArrayInTable(Scope3_SourceData.Scope3_Feed_Data(), Table_SourceData_Scope3_Feed[[#Headers],[Category]], -1, 2)</f>
        <v>Hay</v>
      </c>
      <c r="E120" s="20" t="str" cm="1">
        <f t="array" ref="E120">Common_InputFunctions.Utility_DisplayArrayInTable(Scope3_SourceData.Scope3_Feed_Data(), Table_SourceData_Scope3_Feed[[#Headers],[Category]], -1, 2)</f>
        <v>Cereal hay</v>
      </c>
      <c r="F120" s="20" t="str" cm="1">
        <f t="array" ref="F120">Common_InputFunctions.Utility_DisplayArrayInTable(Scope3_SourceData.Scope3_Feed_Data(), Table_SourceData_Scope3_Feed[[#Headers],[Category]], -1, 2)</f>
        <v>QLD</v>
      </c>
      <c r="G120" s="20" t="str" cm="1">
        <f t="array" ref="G120">Common_InputFunctions.Utility_DisplayArrayInTable(Scope3_SourceData.Scope3_Feed_Data(), Table_SourceData_Scope3_Feed[[#Headers],[Category]], -1, 2)</f>
        <v>kg</v>
      </c>
      <c r="H120" s="20" cm="1">
        <f t="array" ref="H120">Common_InputFunctions.Utility_DisplayArrayInTable(Scope3_SourceData.Scope3_Feed_Data(), Table_SourceData_Scope3_Feed[[#Headers],[Category]], -1, 2)</f>
        <v>0.11799999999999999</v>
      </c>
      <c r="I120" s="20" t="str" cm="1">
        <f t="array" ref="I120">Common_InputFunctions.Utility_DisplayArrayInTable(Scope3_SourceData.Scope3_Feed_Data(), Table_SourceData_Scope3_Feed[[#Headers],[Category]], -1, 2)</f>
        <v>at market</v>
      </c>
      <c r="J120" s="20" t="s">
        <v>1190</v>
      </c>
      <c r="O120" s="20" t="str">
        <f>Table_SourceData_Scope3_Feed[[#This Row],[Product]]</f>
        <v>Cereal hay</v>
      </c>
      <c r="P120" s="20" t="str">
        <f>Table_SourceData_Scope3_Feed[[#This Row],[Region of origin]]</f>
        <v>QLD</v>
      </c>
    </row>
    <row r="121" spans="1:17" ht="20" customHeight="1" x14ac:dyDescent="0.25">
      <c r="A121"/>
      <c r="D121" s="20" t="str" cm="1">
        <f t="array" ref="D121">Common_InputFunctions.Utility_DisplayArrayInTable(Scope3_SourceData.Scope3_Feed_Data(), Table_SourceData_Scope3_Feed[[#Headers],[Category]], -1, 2)</f>
        <v>Hay</v>
      </c>
      <c r="E121" s="20" t="str" cm="1">
        <f t="array" ref="E121">Common_InputFunctions.Utility_DisplayArrayInTable(Scope3_SourceData.Scope3_Feed_Data(), Table_SourceData_Scope3_Feed[[#Headers],[Category]], -1, 2)</f>
        <v>Cereal hay</v>
      </c>
      <c r="F121" s="20" t="str" cm="1">
        <f t="array" ref="F121">Common_InputFunctions.Utility_DisplayArrayInTable(Scope3_SourceData.Scope3_Feed_Data(), Table_SourceData_Scope3_Feed[[#Headers],[Category]], -1, 2)</f>
        <v>SA</v>
      </c>
      <c r="G121" s="20" t="str" cm="1">
        <f t="array" ref="G121">Common_InputFunctions.Utility_DisplayArrayInTable(Scope3_SourceData.Scope3_Feed_Data(), Table_SourceData_Scope3_Feed[[#Headers],[Category]], -1, 2)</f>
        <v>kg</v>
      </c>
      <c r="H121" s="20" cm="1">
        <f t="array" ref="H121">Common_InputFunctions.Utility_DisplayArrayInTable(Scope3_SourceData.Scope3_Feed_Data(), Table_SourceData_Scope3_Feed[[#Headers],[Category]], -1, 2)</f>
        <v>0.111</v>
      </c>
      <c r="I121" s="20" t="str" cm="1">
        <f t="array" ref="I121">Common_InputFunctions.Utility_DisplayArrayInTable(Scope3_SourceData.Scope3_Feed_Data(), Table_SourceData_Scope3_Feed[[#Headers],[Category]], -1, 2)</f>
        <v>at market</v>
      </c>
      <c r="J121" s="20" t="s">
        <v>1190</v>
      </c>
      <c r="O121" s="20" t="str">
        <f>Table_SourceData_Scope3_Feed[[#This Row],[Product]]</f>
        <v>Cereal hay</v>
      </c>
      <c r="P121" s="20" t="str">
        <f>Table_SourceData_Scope3_Feed[[#This Row],[Region of origin]]</f>
        <v>SA</v>
      </c>
    </row>
    <row r="122" spans="1:17" ht="20" customHeight="1" x14ac:dyDescent="0.25">
      <c r="A122"/>
      <c r="D122" s="20" t="str" cm="1">
        <f t="array" ref="D122">Common_InputFunctions.Utility_DisplayArrayInTable(Scope3_SourceData.Scope3_Feed_Data(), Table_SourceData_Scope3_Feed[[#Headers],[Category]], -1, 2)</f>
        <v>Hay</v>
      </c>
      <c r="E122" s="20" t="str" cm="1">
        <f t="array" ref="E122">Common_InputFunctions.Utility_DisplayArrayInTable(Scope3_SourceData.Scope3_Feed_Data(), Table_SourceData_Scope3_Feed[[#Headers],[Category]], -1, 2)</f>
        <v>Cereal hay</v>
      </c>
      <c r="F122" s="20" t="str" cm="1">
        <f t="array" ref="F122">Common_InputFunctions.Utility_DisplayArrayInTable(Scope3_SourceData.Scope3_Feed_Data(), Table_SourceData_Scope3_Feed[[#Headers],[Category]], -1, 2)</f>
        <v>TAS</v>
      </c>
      <c r="G122" s="20" t="str" cm="1">
        <f t="array" ref="G122">Common_InputFunctions.Utility_DisplayArrayInTable(Scope3_SourceData.Scope3_Feed_Data(), Table_SourceData_Scope3_Feed[[#Headers],[Category]], -1, 2)</f>
        <v>kg</v>
      </c>
      <c r="H122" s="20" cm="1">
        <f t="array" ref="H122">Common_InputFunctions.Utility_DisplayArrayInTable(Scope3_SourceData.Scope3_Feed_Data(), Table_SourceData_Scope3_Feed[[#Headers],[Category]], -1, 2)</f>
        <v>0.13900000000000001</v>
      </c>
      <c r="I122" s="20" t="str" cm="1">
        <f t="array" ref="I122">Common_InputFunctions.Utility_DisplayArrayInTable(Scope3_SourceData.Scope3_Feed_Data(), Table_SourceData_Scope3_Feed[[#Headers],[Category]], -1, 2)</f>
        <v>at market</v>
      </c>
      <c r="J122" s="20" t="s">
        <v>1190</v>
      </c>
      <c r="O122" s="20" t="str">
        <f>Table_SourceData_Scope3_Feed[[#This Row],[Product]]</f>
        <v>Cereal hay</v>
      </c>
      <c r="P122" s="20" t="str">
        <f>Table_SourceData_Scope3_Feed[[#This Row],[Region of origin]]</f>
        <v>TAS</v>
      </c>
    </row>
    <row r="123" spans="1:17" ht="20" customHeight="1" x14ac:dyDescent="0.25">
      <c r="A123"/>
      <c r="D123" s="20" t="str" cm="1">
        <f t="array" ref="D123">Common_InputFunctions.Utility_DisplayArrayInTable(Scope3_SourceData.Scope3_Feed_Data(), Table_SourceData_Scope3_Feed[[#Headers],[Category]], -1, 2)</f>
        <v>Hay</v>
      </c>
      <c r="E123" s="20" t="str" cm="1">
        <f t="array" ref="E123">Common_InputFunctions.Utility_DisplayArrayInTable(Scope3_SourceData.Scope3_Feed_Data(), Table_SourceData_Scope3_Feed[[#Headers],[Category]], -1, 2)</f>
        <v>Cereal hay</v>
      </c>
      <c r="F123" s="20" t="str" cm="1">
        <f t="array" ref="F123">Common_InputFunctions.Utility_DisplayArrayInTable(Scope3_SourceData.Scope3_Feed_Data(), Table_SourceData_Scope3_Feed[[#Headers],[Category]], -1, 2)</f>
        <v>VIC</v>
      </c>
      <c r="G123" s="20" t="str" cm="1">
        <f t="array" ref="G123">Common_InputFunctions.Utility_DisplayArrayInTable(Scope3_SourceData.Scope3_Feed_Data(), Table_SourceData_Scope3_Feed[[#Headers],[Category]], -1, 2)</f>
        <v>kg</v>
      </c>
      <c r="H123" s="20" cm="1">
        <f t="array" ref="H123">Common_InputFunctions.Utility_DisplayArrayInTable(Scope3_SourceData.Scope3_Feed_Data(), Table_SourceData_Scope3_Feed[[#Headers],[Category]], -1, 2)</f>
        <v>0.11600000000000001</v>
      </c>
      <c r="I123" s="20" t="str" cm="1">
        <f t="array" ref="I123">Common_InputFunctions.Utility_DisplayArrayInTable(Scope3_SourceData.Scope3_Feed_Data(), Table_SourceData_Scope3_Feed[[#Headers],[Category]], -1, 2)</f>
        <v>at market</v>
      </c>
      <c r="J123" s="20" t="s">
        <v>1190</v>
      </c>
      <c r="O123" s="20" t="str">
        <f>Table_SourceData_Scope3_Feed[[#This Row],[Product]]</f>
        <v>Cereal hay</v>
      </c>
      <c r="P123" s="20" t="str">
        <f>Table_SourceData_Scope3_Feed[[#This Row],[Region of origin]]</f>
        <v>VIC</v>
      </c>
    </row>
    <row r="124" spans="1:17" ht="20" customHeight="1" x14ac:dyDescent="0.25">
      <c r="A124"/>
      <c r="D124" s="20" t="str" cm="1">
        <f t="array" ref="D124">Common_InputFunctions.Utility_DisplayArrayInTable(Scope3_SourceData.Scope3_Feed_Data(), Table_SourceData_Scope3_Feed[[#Headers],[Category]], -1, 2)</f>
        <v>Hay</v>
      </c>
      <c r="E124" s="20" t="str" cm="1">
        <f t="array" ref="E124">Common_InputFunctions.Utility_DisplayArrayInTable(Scope3_SourceData.Scope3_Feed_Data(), Table_SourceData_Scope3_Feed[[#Headers],[Category]], -1, 2)</f>
        <v>Cereal hay</v>
      </c>
      <c r="F124" s="20" t="str" cm="1">
        <f t="array" ref="F124">Common_InputFunctions.Utility_DisplayArrayInTable(Scope3_SourceData.Scope3_Feed_Data(), Table_SourceData_Scope3_Feed[[#Headers],[Category]], -1, 2)</f>
        <v>WA</v>
      </c>
      <c r="G124" s="20" t="str" cm="1">
        <f t="array" ref="G124">Common_InputFunctions.Utility_DisplayArrayInTable(Scope3_SourceData.Scope3_Feed_Data(), Table_SourceData_Scope3_Feed[[#Headers],[Category]], -1, 2)</f>
        <v>kg</v>
      </c>
      <c r="H124" s="20" cm="1">
        <f t="array" ref="H124">Common_InputFunctions.Utility_DisplayArrayInTable(Scope3_SourceData.Scope3_Feed_Data(), Table_SourceData_Scope3_Feed[[#Headers],[Category]], -1, 2)</f>
        <v>0.122</v>
      </c>
      <c r="I124" s="20" t="str" cm="1">
        <f t="array" ref="I124">Common_InputFunctions.Utility_DisplayArrayInTable(Scope3_SourceData.Scope3_Feed_Data(), Table_SourceData_Scope3_Feed[[#Headers],[Category]], -1, 2)</f>
        <v>at market</v>
      </c>
      <c r="J124" s="20" t="s">
        <v>1190</v>
      </c>
      <c r="L124" s="20" t="s">
        <v>139</v>
      </c>
      <c r="M124" s="20" t="s">
        <v>490</v>
      </c>
      <c r="N124" s="1" t="str">
        <f>"Table_ProductRegions_" &amp; SUBSTITUTE(SUBSTITUTE(SUBSTITUTE(SUBSTITUTE(L125, " ", ""), ",", ""), "(", ""), ")", "")</f>
        <v>Table_ProductRegions_Cerealsilage</v>
      </c>
      <c r="O124" s="20" t="str">
        <f>Table_SourceData_Scope3_Feed[[#This Row],[Product]]</f>
        <v>Cereal hay</v>
      </c>
      <c r="P124" s="20" t="str">
        <f>Table_SourceData_Scope3_Feed[[#This Row],[Region of origin]]</f>
        <v>WA</v>
      </c>
    </row>
    <row r="125" spans="1:17" ht="20" customHeight="1" x14ac:dyDescent="0.25">
      <c r="A125"/>
      <c r="D125" s="20" t="str" cm="1">
        <f t="array" ref="D125">Common_InputFunctions.Utility_DisplayArrayInTable(Scope3_SourceData.Scope3_Feed_Data(), Table_SourceData_Scope3_Feed[[#Headers],[Category]], -1, 2)</f>
        <v>Hay</v>
      </c>
      <c r="E125" s="20" t="str" cm="1">
        <f t="array" ref="E125">Common_InputFunctions.Utility_DisplayArrayInTable(Scope3_SourceData.Scope3_Feed_Data(), Table_SourceData_Scope3_Feed[[#Headers],[Category]], -1, 2)</f>
        <v>Cereal silage</v>
      </c>
      <c r="F125" s="20" t="str" cm="1">
        <f t="array" ref="F125">Common_InputFunctions.Utility_DisplayArrayInTable(Scope3_SourceData.Scope3_Feed_Data(), Table_SourceData_Scope3_Feed[[#Headers],[Category]], -1, 2)</f>
        <v>Australia</v>
      </c>
      <c r="G125" s="20" t="str" cm="1">
        <f t="array" ref="G125">Common_InputFunctions.Utility_DisplayArrayInTable(Scope3_SourceData.Scope3_Feed_Data(), Table_SourceData_Scope3_Feed[[#Headers],[Category]], -1, 2)</f>
        <v>kg</v>
      </c>
      <c r="H125" s="20" cm="1">
        <f t="array" ref="H125">Common_InputFunctions.Utility_DisplayArrayInTable(Scope3_SourceData.Scope3_Feed_Data(), Table_SourceData_Scope3_Feed[[#Headers],[Category]], -1, 2)</f>
        <v>7.4399999999999994E-2</v>
      </c>
      <c r="I125" s="20" t="str" cm="1">
        <f t="array" ref="I125">Common_InputFunctions.Utility_DisplayArrayInTable(Scope3_SourceData.Scope3_Feed_Data(), Table_SourceData_Scope3_Feed[[#Headers],[Category]], -1, 2)</f>
        <v>at market</v>
      </c>
      <c r="J125" s="20" t="s">
        <v>1190</v>
      </c>
      <c r="L125" s="20" t="str">
        <f>Table_SourceData_Scope3_Feed[[#This Row],[Product]]</f>
        <v>Cereal silage</v>
      </c>
      <c r="M125" s="20" t="str">
        <f>Table_SourceData_Scope3_Feed[[#This Row],[Region of origin]]</f>
        <v>Australia</v>
      </c>
    </row>
    <row r="126" spans="1:17" ht="20" customHeight="1" x14ac:dyDescent="0.25">
      <c r="A126"/>
      <c r="D126" s="20" t="str" cm="1">
        <f t="array" ref="D126">Common_InputFunctions.Utility_DisplayArrayInTable(Scope3_SourceData.Scope3_Feed_Data(), Table_SourceData_Scope3_Feed[[#Headers],[Category]], -1, 2)</f>
        <v>Hay</v>
      </c>
      <c r="E126" s="20" t="str" cm="1">
        <f t="array" ref="E126">Common_InputFunctions.Utility_DisplayArrayInTable(Scope3_SourceData.Scope3_Feed_Data(), Table_SourceData_Scope3_Feed[[#Headers],[Category]], -1, 2)</f>
        <v>Cereal silage</v>
      </c>
      <c r="F126" s="20" t="str" cm="1">
        <f t="array" ref="F126">Common_InputFunctions.Utility_DisplayArrayInTable(Scope3_SourceData.Scope3_Feed_Data(), Table_SourceData_Scope3_Feed[[#Headers],[Category]], -1, 2)</f>
        <v>NSW</v>
      </c>
      <c r="G126" s="20" t="str" cm="1">
        <f t="array" ref="G126">Common_InputFunctions.Utility_DisplayArrayInTable(Scope3_SourceData.Scope3_Feed_Data(), Table_SourceData_Scope3_Feed[[#Headers],[Category]], -1, 2)</f>
        <v>kg</v>
      </c>
      <c r="H126" s="20" cm="1">
        <f t="array" ref="H126">Common_InputFunctions.Utility_DisplayArrayInTable(Scope3_SourceData.Scope3_Feed_Data(), Table_SourceData_Scope3_Feed[[#Headers],[Category]], -1, 2)</f>
        <v>7.3899999999999993E-2</v>
      </c>
      <c r="I126" s="20" t="str" cm="1">
        <f t="array" ref="I126">Common_InputFunctions.Utility_DisplayArrayInTable(Scope3_SourceData.Scope3_Feed_Data(), Table_SourceData_Scope3_Feed[[#Headers],[Category]], -1, 2)</f>
        <v>at market</v>
      </c>
      <c r="J126" s="20" t="s">
        <v>1190</v>
      </c>
      <c r="L126" s="20" t="str">
        <f>Table_SourceData_Scope3_Feed[[#This Row],[Product]]</f>
        <v>Cereal silage</v>
      </c>
      <c r="M126" s="20" t="str">
        <f>Table_SourceData_Scope3_Feed[[#This Row],[Region of origin]]</f>
        <v>NSW</v>
      </c>
    </row>
    <row r="127" spans="1:17" ht="20" customHeight="1" x14ac:dyDescent="0.25">
      <c r="A127"/>
      <c r="D127" s="20" t="str" cm="1">
        <f t="array" ref="D127">Common_InputFunctions.Utility_DisplayArrayInTable(Scope3_SourceData.Scope3_Feed_Data(), Table_SourceData_Scope3_Feed[[#Headers],[Category]], -1, 2)</f>
        <v>Hay</v>
      </c>
      <c r="E127" s="20" t="str" cm="1">
        <f t="array" ref="E127">Common_InputFunctions.Utility_DisplayArrayInTable(Scope3_SourceData.Scope3_Feed_Data(), Table_SourceData_Scope3_Feed[[#Headers],[Category]], -1, 2)</f>
        <v>Cereal silage</v>
      </c>
      <c r="F127" s="20" t="str" cm="1">
        <f t="array" ref="F127">Common_InputFunctions.Utility_DisplayArrayInTable(Scope3_SourceData.Scope3_Feed_Data(), Table_SourceData_Scope3_Feed[[#Headers],[Category]], -1, 2)</f>
        <v>QLD</v>
      </c>
      <c r="G127" s="20" t="str" cm="1">
        <f t="array" ref="G127">Common_InputFunctions.Utility_DisplayArrayInTable(Scope3_SourceData.Scope3_Feed_Data(), Table_SourceData_Scope3_Feed[[#Headers],[Category]], -1, 2)</f>
        <v>kg</v>
      </c>
      <c r="H127" s="20" cm="1">
        <f t="array" ref="H127">Common_InputFunctions.Utility_DisplayArrayInTable(Scope3_SourceData.Scope3_Feed_Data(), Table_SourceData_Scope3_Feed[[#Headers],[Category]], -1, 2)</f>
        <v>7.9000000000000001E-2</v>
      </c>
      <c r="I127" s="20" t="str" cm="1">
        <f t="array" ref="I127">Common_InputFunctions.Utility_DisplayArrayInTable(Scope3_SourceData.Scope3_Feed_Data(), Table_SourceData_Scope3_Feed[[#Headers],[Category]], -1, 2)</f>
        <v>at market</v>
      </c>
      <c r="J127" s="20" t="s">
        <v>1190</v>
      </c>
      <c r="L127" s="20" t="str">
        <f>Table_SourceData_Scope3_Feed[[#This Row],[Product]]</f>
        <v>Cereal silage</v>
      </c>
      <c r="M127" s="20" t="str">
        <f>Table_SourceData_Scope3_Feed[[#This Row],[Region of origin]]</f>
        <v>QLD</v>
      </c>
    </row>
    <row r="128" spans="1:17" ht="20" customHeight="1" x14ac:dyDescent="0.25">
      <c r="A128"/>
      <c r="D128" s="20" t="str" cm="1">
        <f t="array" ref="D128">Common_InputFunctions.Utility_DisplayArrayInTable(Scope3_SourceData.Scope3_Feed_Data(), Table_SourceData_Scope3_Feed[[#Headers],[Category]], -1, 2)</f>
        <v>Hay</v>
      </c>
      <c r="E128" s="20" t="str" cm="1">
        <f t="array" ref="E128">Common_InputFunctions.Utility_DisplayArrayInTable(Scope3_SourceData.Scope3_Feed_Data(), Table_SourceData_Scope3_Feed[[#Headers],[Category]], -1, 2)</f>
        <v>Cereal silage</v>
      </c>
      <c r="F128" s="20" t="str" cm="1">
        <f t="array" ref="F128">Common_InputFunctions.Utility_DisplayArrayInTable(Scope3_SourceData.Scope3_Feed_Data(), Table_SourceData_Scope3_Feed[[#Headers],[Category]], -1, 2)</f>
        <v>SA</v>
      </c>
      <c r="G128" s="20" t="str" cm="1">
        <f t="array" ref="G128">Common_InputFunctions.Utility_DisplayArrayInTable(Scope3_SourceData.Scope3_Feed_Data(), Table_SourceData_Scope3_Feed[[#Headers],[Category]], -1, 2)</f>
        <v>kg</v>
      </c>
      <c r="H128" s="20" cm="1">
        <f t="array" ref="H128">Common_InputFunctions.Utility_DisplayArrayInTable(Scope3_SourceData.Scope3_Feed_Data(), Table_SourceData_Scope3_Feed[[#Headers],[Category]], -1, 2)</f>
        <v>7.0599999999999996E-2</v>
      </c>
      <c r="I128" s="20" t="str" cm="1">
        <f t="array" ref="I128">Common_InputFunctions.Utility_DisplayArrayInTable(Scope3_SourceData.Scope3_Feed_Data(), Table_SourceData_Scope3_Feed[[#Headers],[Category]], -1, 2)</f>
        <v>at market</v>
      </c>
      <c r="J128" s="20" t="s">
        <v>1190</v>
      </c>
      <c r="L128" s="20" t="str">
        <f>Table_SourceData_Scope3_Feed[[#This Row],[Product]]</f>
        <v>Cereal silage</v>
      </c>
      <c r="M128" s="20" t="str">
        <f>Table_SourceData_Scope3_Feed[[#This Row],[Region of origin]]</f>
        <v>SA</v>
      </c>
    </row>
    <row r="129" spans="1:17" ht="20" customHeight="1" x14ac:dyDescent="0.25">
      <c r="A129"/>
      <c r="D129" s="20" t="str" cm="1">
        <f t="array" ref="D129">Common_InputFunctions.Utility_DisplayArrayInTable(Scope3_SourceData.Scope3_Feed_Data(), Table_SourceData_Scope3_Feed[[#Headers],[Category]], -1, 2)</f>
        <v>Hay</v>
      </c>
      <c r="E129" s="20" t="str" cm="1">
        <f t="array" ref="E129">Common_InputFunctions.Utility_DisplayArrayInTable(Scope3_SourceData.Scope3_Feed_Data(), Table_SourceData_Scope3_Feed[[#Headers],[Category]], -1, 2)</f>
        <v>Cereal silage</v>
      </c>
      <c r="F129" s="20" t="str" cm="1">
        <f t="array" ref="F129">Common_InputFunctions.Utility_DisplayArrayInTable(Scope3_SourceData.Scope3_Feed_Data(), Table_SourceData_Scope3_Feed[[#Headers],[Category]], -1, 2)</f>
        <v>TAS</v>
      </c>
      <c r="G129" s="20" t="str" cm="1">
        <f t="array" ref="G129">Common_InputFunctions.Utility_DisplayArrayInTable(Scope3_SourceData.Scope3_Feed_Data(), Table_SourceData_Scope3_Feed[[#Headers],[Category]], -1, 2)</f>
        <v>kg</v>
      </c>
      <c r="H129" s="20" cm="1">
        <f t="array" ref="H129">Common_InputFunctions.Utility_DisplayArrayInTable(Scope3_SourceData.Scope3_Feed_Data(), Table_SourceData_Scope3_Feed[[#Headers],[Category]], -1, 2)</f>
        <v>8.0799999999999997E-2</v>
      </c>
      <c r="I129" s="20" t="str" cm="1">
        <f t="array" ref="I129">Common_InputFunctions.Utility_DisplayArrayInTable(Scope3_SourceData.Scope3_Feed_Data(), Table_SourceData_Scope3_Feed[[#Headers],[Category]], -1, 2)</f>
        <v>at market</v>
      </c>
      <c r="J129" s="20" t="s">
        <v>1190</v>
      </c>
      <c r="L129" s="20" t="str">
        <f>Table_SourceData_Scope3_Feed[[#This Row],[Product]]</f>
        <v>Cereal silage</v>
      </c>
      <c r="M129" s="20" t="str">
        <f>Table_SourceData_Scope3_Feed[[#This Row],[Region of origin]]</f>
        <v>TAS</v>
      </c>
    </row>
    <row r="130" spans="1:17" ht="20" customHeight="1" x14ac:dyDescent="0.25">
      <c r="A130"/>
      <c r="D130" s="20" t="str" cm="1">
        <f t="array" ref="D130">Common_InputFunctions.Utility_DisplayArrayInTable(Scope3_SourceData.Scope3_Feed_Data(), Table_SourceData_Scope3_Feed[[#Headers],[Category]], -1, 2)</f>
        <v>Hay</v>
      </c>
      <c r="E130" s="20" t="str" cm="1">
        <f t="array" ref="E130">Common_InputFunctions.Utility_DisplayArrayInTable(Scope3_SourceData.Scope3_Feed_Data(), Table_SourceData_Scope3_Feed[[#Headers],[Category]], -1, 2)</f>
        <v>Cereal silage</v>
      </c>
      <c r="F130" s="20" t="str" cm="1">
        <f t="array" ref="F130">Common_InputFunctions.Utility_DisplayArrayInTable(Scope3_SourceData.Scope3_Feed_Data(), Table_SourceData_Scope3_Feed[[#Headers],[Category]], -1, 2)</f>
        <v>VIC</v>
      </c>
      <c r="G130" s="20" t="str" cm="1">
        <f t="array" ref="G130">Common_InputFunctions.Utility_DisplayArrayInTable(Scope3_SourceData.Scope3_Feed_Data(), Table_SourceData_Scope3_Feed[[#Headers],[Category]], -1, 2)</f>
        <v>kg</v>
      </c>
      <c r="H130" s="20" cm="1">
        <f t="array" ref="H130">Common_InputFunctions.Utility_DisplayArrayInTable(Scope3_SourceData.Scope3_Feed_Data(), Table_SourceData_Scope3_Feed[[#Headers],[Category]], -1, 2)</f>
        <v>7.3599999999999999E-2</v>
      </c>
      <c r="I130" s="20" t="str" cm="1">
        <f t="array" ref="I130">Common_InputFunctions.Utility_DisplayArrayInTable(Scope3_SourceData.Scope3_Feed_Data(), Table_SourceData_Scope3_Feed[[#Headers],[Category]], -1, 2)</f>
        <v>at market</v>
      </c>
      <c r="J130" s="20" t="s">
        <v>1190</v>
      </c>
      <c r="L130" s="20" t="str">
        <f>Table_SourceData_Scope3_Feed[[#This Row],[Product]]</f>
        <v>Cereal silage</v>
      </c>
      <c r="M130" s="20" t="str">
        <f>Table_SourceData_Scope3_Feed[[#This Row],[Region of origin]]</f>
        <v>VIC</v>
      </c>
      <c r="O130" s="20" t="s">
        <v>139</v>
      </c>
      <c r="P130" s="20" t="s">
        <v>490</v>
      </c>
      <c r="Q130" s="1" t="str">
        <f>"Table_ProductRegions_" &amp; SUBSTITUTE(SUBSTITUTE(SUBSTITUTE(SUBSTITUTE(O131, " ", ""), ",", ""), "(", ""), ")", "")</f>
        <v>Table_ProductRegions_Lucernehay</v>
      </c>
    </row>
    <row r="131" spans="1:17" ht="20" customHeight="1" x14ac:dyDescent="0.25">
      <c r="A131"/>
      <c r="D131" s="20" t="str" cm="1">
        <f t="array" ref="D131">Common_InputFunctions.Utility_DisplayArrayInTable(Scope3_SourceData.Scope3_Feed_Data(), Table_SourceData_Scope3_Feed[[#Headers],[Category]], -1, 2)</f>
        <v>Hay</v>
      </c>
      <c r="E131" s="20" t="str" cm="1">
        <f t="array" ref="E131">Common_InputFunctions.Utility_DisplayArrayInTable(Scope3_SourceData.Scope3_Feed_Data(), Table_SourceData_Scope3_Feed[[#Headers],[Category]], -1, 2)</f>
        <v>Lucerne hay</v>
      </c>
      <c r="F131" s="20" t="str" cm="1">
        <f t="array" ref="F131">Common_InputFunctions.Utility_DisplayArrayInTable(Scope3_SourceData.Scope3_Feed_Data(), Table_SourceData_Scope3_Feed[[#Headers],[Category]], -1, 2)</f>
        <v>Australia</v>
      </c>
      <c r="G131" s="20" t="str" cm="1">
        <f t="array" ref="G131">Common_InputFunctions.Utility_DisplayArrayInTable(Scope3_SourceData.Scope3_Feed_Data(), Table_SourceData_Scope3_Feed[[#Headers],[Category]], -1, 2)</f>
        <v>kg</v>
      </c>
      <c r="H131" s="20" cm="1">
        <f t="array" ref="H131">Common_InputFunctions.Utility_DisplayArrayInTable(Scope3_SourceData.Scope3_Feed_Data(), Table_SourceData_Scope3_Feed[[#Headers],[Category]], -1, 2)</f>
        <v>0.11700000000000001</v>
      </c>
      <c r="I131" s="20" t="str" cm="1">
        <f t="array" ref="I131">Common_InputFunctions.Utility_DisplayArrayInTable(Scope3_SourceData.Scope3_Feed_Data(), Table_SourceData_Scope3_Feed[[#Headers],[Category]], -1, 2)</f>
        <v>at market</v>
      </c>
      <c r="J131" s="20" t="s">
        <v>1190</v>
      </c>
      <c r="O131" s="20" t="str">
        <f>Table_SourceData_Scope3_Feed[[#This Row],[Product]]</f>
        <v>Lucerne hay</v>
      </c>
      <c r="P131" s="20" t="str">
        <f>Table_SourceData_Scope3_Feed[[#This Row],[Region of origin]]</f>
        <v>Australia</v>
      </c>
    </row>
    <row r="132" spans="1:17" ht="20" customHeight="1" x14ac:dyDescent="0.25">
      <c r="A132"/>
      <c r="D132" s="20" t="str" cm="1">
        <f t="array" ref="D132">Common_InputFunctions.Utility_DisplayArrayInTable(Scope3_SourceData.Scope3_Feed_Data(), Table_SourceData_Scope3_Feed[[#Headers],[Category]], -1, 2)</f>
        <v>Hay</v>
      </c>
      <c r="E132" s="20" t="str" cm="1">
        <f t="array" ref="E132">Common_InputFunctions.Utility_DisplayArrayInTable(Scope3_SourceData.Scope3_Feed_Data(), Table_SourceData_Scope3_Feed[[#Headers],[Category]], -1, 2)</f>
        <v>Lucerne hay</v>
      </c>
      <c r="F132" s="20" t="str" cm="1">
        <f t="array" ref="F132">Common_InputFunctions.Utility_DisplayArrayInTable(Scope3_SourceData.Scope3_Feed_Data(), Table_SourceData_Scope3_Feed[[#Headers],[Category]], -1, 2)</f>
        <v>NSW</v>
      </c>
      <c r="G132" s="20" t="str" cm="1">
        <f t="array" ref="G132">Common_InputFunctions.Utility_DisplayArrayInTable(Scope3_SourceData.Scope3_Feed_Data(), Table_SourceData_Scope3_Feed[[#Headers],[Category]], -1, 2)</f>
        <v>kg</v>
      </c>
      <c r="H132" s="20" cm="1">
        <f t="array" ref="H132">Common_InputFunctions.Utility_DisplayArrayInTable(Scope3_SourceData.Scope3_Feed_Data(), Table_SourceData_Scope3_Feed[[#Headers],[Category]], -1, 2)</f>
        <v>0.113</v>
      </c>
      <c r="I132" s="20" t="str" cm="1">
        <f t="array" ref="I132">Common_InputFunctions.Utility_DisplayArrayInTable(Scope3_SourceData.Scope3_Feed_Data(), Table_SourceData_Scope3_Feed[[#Headers],[Category]], -1, 2)</f>
        <v>at market</v>
      </c>
      <c r="J132" s="20" t="s">
        <v>1190</v>
      </c>
      <c r="O132" s="20" t="str">
        <f>Table_SourceData_Scope3_Feed[[#This Row],[Product]]</f>
        <v>Lucerne hay</v>
      </c>
      <c r="P132" s="20" t="str">
        <f>Table_SourceData_Scope3_Feed[[#This Row],[Region of origin]]</f>
        <v>NSW</v>
      </c>
    </row>
    <row r="133" spans="1:17" ht="20" customHeight="1" x14ac:dyDescent="0.25">
      <c r="A133"/>
      <c r="D133" s="20" t="str" cm="1">
        <f t="array" ref="D133">Common_InputFunctions.Utility_DisplayArrayInTable(Scope3_SourceData.Scope3_Feed_Data(), Table_SourceData_Scope3_Feed[[#Headers],[Category]], -1, 2)</f>
        <v>Hay</v>
      </c>
      <c r="E133" s="20" t="str" cm="1">
        <f t="array" ref="E133">Common_InputFunctions.Utility_DisplayArrayInTable(Scope3_SourceData.Scope3_Feed_Data(), Table_SourceData_Scope3_Feed[[#Headers],[Category]], -1, 2)</f>
        <v>Lucerne hay</v>
      </c>
      <c r="F133" s="20" t="str" cm="1">
        <f t="array" ref="F133">Common_InputFunctions.Utility_DisplayArrayInTable(Scope3_SourceData.Scope3_Feed_Data(), Table_SourceData_Scope3_Feed[[#Headers],[Category]], -1, 2)</f>
        <v>QLD</v>
      </c>
      <c r="G133" s="20" t="str" cm="1">
        <f t="array" ref="G133">Common_InputFunctions.Utility_DisplayArrayInTable(Scope3_SourceData.Scope3_Feed_Data(), Table_SourceData_Scope3_Feed[[#Headers],[Category]], -1, 2)</f>
        <v>kg</v>
      </c>
      <c r="H133" s="20" cm="1">
        <f t="array" ref="H133">Common_InputFunctions.Utility_DisplayArrayInTable(Scope3_SourceData.Scope3_Feed_Data(), Table_SourceData_Scope3_Feed[[#Headers],[Category]], -1, 2)</f>
        <v>0.14299999999999999</v>
      </c>
      <c r="I133" s="20" t="str" cm="1">
        <f t="array" ref="I133">Common_InputFunctions.Utility_DisplayArrayInTable(Scope3_SourceData.Scope3_Feed_Data(), Table_SourceData_Scope3_Feed[[#Headers],[Category]], -1, 2)</f>
        <v>at market</v>
      </c>
      <c r="J133" s="20" t="s">
        <v>1190</v>
      </c>
      <c r="O133" s="20" t="str">
        <f>Table_SourceData_Scope3_Feed[[#This Row],[Product]]</f>
        <v>Lucerne hay</v>
      </c>
      <c r="P133" s="20" t="str">
        <f>Table_SourceData_Scope3_Feed[[#This Row],[Region of origin]]</f>
        <v>QLD</v>
      </c>
    </row>
    <row r="134" spans="1:17" ht="20" customHeight="1" x14ac:dyDescent="0.25">
      <c r="A134"/>
      <c r="D134" s="20" t="str" cm="1">
        <f t="array" ref="D134">Common_InputFunctions.Utility_DisplayArrayInTable(Scope3_SourceData.Scope3_Feed_Data(), Table_SourceData_Scope3_Feed[[#Headers],[Category]], -1, 2)</f>
        <v>Hay</v>
      </c>
      <c r="E134" s="20" t="str" cm="1">
        <f t="array" ref="E134">Common_InputFunctions.Utility_DisplayArrayInTable(Scope3_SourceData.Scope3_Feed_Data(), Table_SourceData_Scope3_Feed[[#Headers],[Category]], -1, 2)</f>
        <v>Lucerne hay</v>
      </c>
      <c r="F134" s="20" t="str" cm="1">
        <f t="array" ref="F134">Common_InputFunctions.Utility_DisplayArrayInTable(Scope3_SourceData.Scope3_Feed_Data(), Table_SourceData_Scope3_Feed[[#Headers],[Category]], -1, 2)</f>
        <v>SA</v>
      </c>
      <c r="G134" s="20" t="str" cm="1">
        <f t="array" ref="G134">Common_InputFunctions.Utility_DisplayArrayInTable(Scope3_SourceData.Scope3_Feed_Data(), Table_SourceData_Scope3_Feed[[#Headers],[Category]], -1, 2)</f>
        <v>kg</v>
      </c>
      <c r="H134" s="20" cm="1">
        <f t="array" ref="H134">Common_InputFunctions.Utility_DisplayArrayInTable(Scope3_SourceData.Scope3_Feed_Data(), Table_SourceData_Scope3_Feed[[#Headers],[Category]], -1, 2)</f>
        <v>0.106</v>
      </c>
      <c r="I134" s="20" t="str" cm="1">
        <f t="array" ref="I134">Common_InputFunctions.Utility_DisplayArrayInTable(Scope3_SourceData.Scope3_Feed_Data(), Table_SourceData_Scope3_Feed[[#Headers],[Category]], -1, 2)</f>
        <v>at market</v>
      </c>
      <c r="J134" s="20" t="s">
        <v>1190</v>
      </c>
      <c r="O134" s="20" t="str">
        <f>Table_SourceData_Scope3_Feed[[#This Row],[Product]]</f>
        <v>Lucerne hay</v>
      </c>
      <c r="P134" s="20" t="str">
        <f>Table_SourceData_Scope3_Feed[[#This Row],[Region of origin]]</f>
        <v>SA</v>
      </c>
    </row>
    <row r="135" spans="1:17" ht="20" customHeight="1" x14ac:dyDescent="0.25">
      <c r="A135"/>
      <c r="D135" s="20" t="str" cm="1">
        <f t="array" ref="D135">Common_InputFunctions.Utility_DisplayArrayInTable(Scope3_SourceData.Scope3_Feed_Data(), Table_SourceData_Scope3_Feed[[#Headers],[Category]], -1, 2)</f>
        <v>Hay</v>
      </c>
      <c r="E135" s="20" t="str" cm="1">
        <f t="array" ref="E135">Common_InputFunctions.Utility_DisplayArrayInTable(Scope3_SourceData.Scope3_Feed_Data(), Table_SourceData_Scope3_Feed[[#Headers],[Category]], -1, 2)</f>
        <v>Lucerne hay</v>
      </c>
      <c r="F135" s="20" t="str" cm="1">
        <f t="array" ref="F135">Common_InputFunctions.Utility_DisplayArrayInTable(Scope3_SourceData.Scope3_Feed_Data(), Table_SourceData_Scope3_Feed[[#Headers],[Category]], -1, 2)</f>
        <v>TAS</v>
      </c>
      <c r="G135" s="20" t="str" cm="1">
        <f t="array" ref="G135">Common_InputFunctions.Utility_DisplayArrayInTable(Scope3_SourceData.Scope3_Feed_Data(), Table_SourceData_Scope3_Feed[[#Headers],[Category]], -1, 2)</f>
        <v>kg</v>
      </c>
      <c r="H135" s="20" cm="1">
        <f t="array" ref="H135">Common_InputFunctions.Utility_DisplayArrayInTable(Scope3_SourceData.Scope3_Feed_Data(), Table_SourceData_Scope3_Feed[[#Headers],[Category]], -1, 2)</f>
        <v>0.113</v>
      </c>
      <c r="I135" s="20" t="str" cm="1">
        <f t="array" ref="I135">Common_InputFunctions.Utility_DisplayArrayInTable(Scope3_SourceData.Scope3_Feed_Data(), Table_SourceData_Scope3_Feed[[#Headers],[Category]], -1, 2)</f>
        <v>at market</v>
      </c>
      <c r="J135" s="20" t="s">
        <v>1190</v>
      </c>
      <c r="O135" s="20" t="str">
        <f>Table_SourceData_Scope3_Feed[[#This Row],[Product]]</f>
        <v>Lucerne hay</v>
      </c>
      <c r="P135" s="20" t="str">
        <f>Table_SourceData_Scope3_Feed[[#This Row],[Region of origin]]</f>
        <v>TAS</v>
      </c>
    </row>
    <row r="136" spans="1:17" ht="20" customHeight="1" x14ac:dyDescent="0.25">
      <c r="A136"/>
      <c r="D136" s="20" t="str" cm="1">
        <f t="array" ref="D136">Common_InputFunctions.Utility_DisplayArrayInTable(Scope3_SourceData.Scope3_Feed_Data(), Table_SourceData_Scope3_Feed[[#Headers],[Category]], -1, 2)</f>
        <v>Hay</v>
      </c>
      <c r="E136" s="20" t="str" cm="1">
        <f t="array" ref="E136">Common_InputFunctions.Utility_DisplayArrayInTable(Scope3_SourceData.Scope3_Feed_Data(), Table_SourceData_Scope3_Feed[[#Headers],[Category]], -1, 2)</f>
        <v>Lucerne hay</v>
      </c>
      <c r="F136" s="20" t="str" cm="1">
        <f t="array" ref="F136">Common_InputFunctions.Utility_DisplayArrayInTable(Scope3_SourceData.Scope3_Feed_Data(), Table_SourceData_Scope3_Feed[[#Headers],[Category]], -1, 2)</f>
        <v>VIC</v>
      </c>
      <c r="G136" s="20" t="str" cm="1">
        <f t="array" ref="G136">Common_InputFunctions.Utility_DisplayArrayInTable(Scope3_SourceData.Scope3_Feed_Data(), Table_SourceData_Scope3_Feed[[#Headers],[Category]], -1, 2)</f>
        <v>kg</v>
      </c>
      <c r="H136" s="20" cm="1">
        <f t="array" ref="H136">Common_InputFunctions.Utility_DisplayArrayInTable(Scope3_SourceData.Scope3_Feed_Data(), Table_SourceData_Scope3_Feed[[#Headers],[Category]], -1, 2)</f>
        <v>0.106</v>
      </c>
      <c r="I136" s="20" t="str" cm="1">
        <f t="array" ref="I136">Common_InputFunctions.Utility_DisplayArrayInTable(Scope3_SourceData.Scope3_Feed_Data(), Table_SourceData_Scope3_Feed[[#Headers],[Category]], -1, 2)</f>
        <v>at market</v>
      </c>
      <c r="J136" s="20" t="s">
        <v>1190</v>
      </c>
      <c r="O136" s="20" t="str">
        <f>Table_SourceData_Scope3_Feed[[#This Row],[Product]]</f>
        <v>Lucerne hay</v>
      </c>
      <c r="P136" s="20" t="str">
        <f>Table_SourceData_Scope3_Feed[[#This Row],[Region of origin]]</f>
        <v>VIC</v>
      </c>
    </row>
    <row r="137" spans="1:17" ht="20" customHeight="1" x14ac:dyDescent="0.25">
      <c r="A137"/>
      <c r="D137" s="20" t="str" cm="1">
        <f t="array" ref="D137">Common_InputFunctions.Utility_DisplayArrayInTable(Scope3_SourceData.Scope3_Feed_Data(), Table_SourceData_Scope3_Feed[[#Headers],[Category]], -1, 2)</f>
        <v>Hay</v>
      </c>
      <c r="E137" s="20" t="str" cm="1">
        <f t="array" ref="E137">Common_InputFunctions.Utility_DisplayArrayInTable(Scope3_SourceData.Scope3_Feed_Data(), Table_SourceData_Scope3_Feed[[#Headers],[Category]], -1, 2)</f>
        <v>Maize silage</v>
      </c>
      <c r="F137" s="20" t="str" cm="1">
        <f t="array" ref="F137">Common_InputFunctions.Utility_DisplayArrayInTable(Scope3_SourceData.Scope3_Feed_Data(), Table_SourceData_Scope3_Feed[[#Headers],[Category]], -1, 2)</f>
        <v>VIC</v>
      </c>
      <c r="G137" s="20" t="str" cm="1">
        <f t="array" ref="G137">Common_InputFunctions.Utility_DisplayArrayInTable(Scope3_SourceData.Scope3_Feed_Data(), Table_SourceData_Scope3_Feed[[#Headers],[Category]], -1, 2)</f>
        <v>kg</v>
      </c>
      <c r="H137" s="20" cm="1">
        <f t="array" ref="H137">Common_InputFunctions.Utility_DisplayArrayInTable(Scope3_SourceData.Scope3_Feed_Data(), Table_SourceData_Scope3_Feed[[#Headers],[Category]], -1, 2)</f>
        <v>0.16300000000000001</v>
      </c>
      <c r="I137" s="20" t="str" cm="1">
        <f t="array" ref="I137">Common_InputFunctions.Utility_DisplayArrayInTable(Scope3_SourceData.Scope3_Feed_Data(), Table_SourceData_Scope3_Feed[[#Headers],[Category]], -1, 2)</f>
        <v>at market</v>
      </c>
      <c r="J137" s="20" t="s">
        <v>1190</v>
      </c>
      <c r="L137" s="20" t="s">
        <v>139</v>
      </c>
      <c r="M137" s="20" t="s">
        <v>490</v>
      </c>
      <c r="N137" s="1" t="str">
        <f>"Table_ProductRegions_" &amp; SUBSTITUTE(SUBSTITUTE(SUBSTITUTE(SUBSTITUTE(L138, " ", ""), ",", ""), "(", ""), ")", "")</f>
        <v>Table_ProductRegions_Oatenhay</v>
      </c>
      <c r="O137" s="20" t="str">
        <f>Table_SourceData_Scope3_Feed[[#This Row],[Product]]</f>
        <v>Maize silage</v>
      </c>
      <c r="P137" s="20" t="str">
        <f>Table_SourceData_Scope3_Feed[[#This Row],[Region of origin]]</f>
        <v>VIC</v>
      </c>
    </row>
    <row r="138" spans="1:17" ht="20" customHeight="1" x14ac:dyDescent="0.25">
      <c r="A138"/>
      <c r="D138" s="20" t="str" cm="1">
        <f t="array" ref="D138">Common_InputFunctions.Utility_DisplayArrayInTable(Scope3_SourceData.Scope3_Feed_Data(), Table_SourceData_Scope3_Feed[[#Headers],[Category]], -1, 2)</f>
        <v>Hay</v>
      </c>
      <c r="E138" s="20" t="str" cm="1">
        <f t="array" ref="E138">Common_InputFunctions.Utility_DisplayArrayInTable(Scope3_SourceData.Scope3_Feed_Data(), Table_SourceData_Scope3_Feed[[#Headers],[Category]], -1, 2)</f>
        <v>Oaten hay</v>
      </c>
      <c r="F138" s="20" t="str" cm="1">
        <f t="array" ref="F138">Common_InputFunctions.Utility_DisplayArrayInTable(Scope3_SourceData.Scope3_Feed_Data(), Table_SourceData_Scope3_Feed[[#Headers],[Category]], -1, 2)</f>
        <v>Australia</v>
      </c>
      <c r="G138" s="20" t="str" cm="1">
        <f t="array" ref="G138">Common_InputFunctions.Utility_DisplayArrayInTable(Scope3_SourceData.Scope3_Feed_Data(), Table_SourceData_Scope3_Feed[[#Headers],[Category]], -1, 2)</f>
        <v>kg</v>
      </c>
      <c r="H138" s="20" cm="1">
        <f t="array" ref="H138">Common_InputFunctions.Utility_DisplayArrayInTable(Scope3_SourceData.Scope3_Feed_Data(), Table_SourceData_Scope3_Feed[[#Headers],[Category]], -1, 2)</f>
        <v>0.12</v>
      </c>
      <c r="I138" s="20" t="str" cm="1">
        <f t="array" ref="I138">Common_InputFunctions.Utility_DisplayArrayInTable(Scope3_SourceData.Scope3_Feed_Data(), Table_SourceData_Scope3_Feed[[#Headers],[Category]], -1, 2)</f>
        <v>at market</v>
      </c>
      <c r="J138" s="20" t="s">
        <v>1190</v>
      </c>
      <c r="L138" s="20" t="str">
        <f>Table_SourceData_Scope3_Feed[[#This Row],[Product]]</f>
        <v>Oaten hay</v>
      </c>
      <c r="M138" s="20" t="str">
        <f>Table_SourceData_Scope3_Feed[[#This Row],[Region of origin]]</f>
        <v>Australia</v>
      </c>
    </row>
    <row r="139" spans="1:17" ht="20" customHeight="1" x14ac:dyDescent="0.25">
      <c r="A139"/>
      <c r="D139" s="20" t="str" cm="1">
        <f t="array" ref="D139">Common_InputFunctions.Utility_DisplayArrayInTable(Scope3_SourceData.Scope3_Feed_Data(), Table_SourceData_Scope3_Feed[[#Headers],[Category]], -1, 2)</f>
        <v>Hay</v>
      </c>
      <c r="E139" s="20" t="str" cm="1">
        <f t="array" ref="E139">Common_InputFunctions.Utility_DisplayArrayInTable(Scope3_SourceData.Scope3_Feed_Data(), Table_SourceData_Scope3_Feed[[#Headers],[Category]], -1, 2)</f>
        <v>Oaten hay</v>
      </c>
      <c r="F139" s="20" t="str" cm="1">
        <f t="array" ref="F139">Common_InputFunctions.Utility_DisplayArrayInTable(Scope3_SourceData.Scope3_Feed_Data(), Table_SourceData_Scope3_Feed[[#Headers],[Category]], -1, 2)</f>
        <v>NSW</v>
      </c>
      <c r="G139" s="20" t="str" cm="1">
        <f t="array" ref="G139">Common_InputFunctions.Utility_DisplayArrayInTable(Scope3_SourceData.Scope3_Feed_Data(), Table_SourceData_Scope3_Feed[[#Headers],[Category]], -1, 2)</f>
        <v>kg</v>
      </c>
      <c r="H139" s="20" cm="1">
        <f t="array" ref="H139">Common_InputFunctions.Utility_DisplayArrayInTable(Scope3_SourceData.Scope3_Feed_Data(), Table_SourceData_Scope3_Feed[[#Headers],[Category]], -1, 2)</f>
        <v>0.11899999999999999</v>
      </c>
      <c r="I139" s="20" t="str" cm="1">
        <f t="array" ref="I139">Common_InputFunctions.Utility_DisplayArrayInTable(Scope3_SourceData.Scope3_Feed_Data(), Table_SourceData_Scope3_Feed[[#Headers],[Category]], -1, 2)</f>
        <v>at market</v>
      </c>
      <c r="J139" s="20" t="s">
        <v>1190</v>
      </c>
      <c r="L139" s="20" t="str">
        <f>Table_SourceData_Scope3_Feed[[#This Row],[Product]]</f>
        <v>Oaten hay</v>
      </c>
      <c r="M139" s="20" t="str">
        <f>Table_SourceData_Scope3_Feed[[#This Row],[Region of origin]]</f>
        <v>NSW</v>
      </c>
    </row>
    <row r="140" spans="1:17" ht="20" customHeight="1" x14ac:dyDescent="0.25">
      <c r="A140"/>
      <c r="D140" s="20" t="str" cm="1">
        <f t="array" ref="D140">Common_InputFunctions.Utility_DisplayArrayInTable(Scope3_SourceData.Scope3_Feed_Data(), Table_SourceData_Scope3_Feed[[#Headers],[Category]], -1, 2)</f>
        <v>Hay</v>
      </c>
      <c r="E140" s="20" t="str" cm="1">
        <f t="array" ref="E140">Common_InputFunctions.Utility_DisplayArrayInTable(Scope3_SourceData.Scope3_Feed_Data(), Table_SourceData_Scope3_Feed[[#Headers],[Category]], -1, 2)</f>
        <v>Oaten hay</v>
      </c>
      <c r="F140" s="20" t="str" cm="1">
        <f t="array" ref="F140">Common_InputFunctions.Utility_DisplayArrayInTable(Scope3_SourceData.Scope3_Feed_Data(), Table_SourceData_Scope3_Feed[[#Headers],[Category]], -1, 2)</f>
        <v>QLD</v>
      </c>
      <c r="G140" s="20" t="str" cm="1">
        <f t="array" ref="G140">Common_InputFunctions.Utility_DisplayArrayInTable(Scope3_SourceData.Scope3_Feed_Data(), Table_SourceData_Scope3_Feed[[#Headers],[Category]], -1, 2)</f>
        <v>kg</v>
      </c>
      <c r="H140" s="20" cm="1">
        <f t="array" ref="H140">Common_InputFunctions.Utility_DisplayArrayInTable(Scope3_SourceData.Scope3_Feed_Data(), Table_SourceData_Scope3_Feed[[#Headers],[Category]], -1, 2)</f>
        <v>0.11700000000000001</v>
      </c>
      <c r="I140" s="20" t="str" cm="1">
        <f t="array" ref="I140">Common_InputFunctions.Utility_DisplayArrayInTable(Scope3_SourceData.Scope3_Feed_Data(), Table_SourceData_Scope3_Feed[[#Headers],[Category]], -1, 2)</f>
        <v>at market</v>
      </c>
      <c r="J140" s="20" t="s">
        <v>1190</v>
      </c>
      <c r="L140" s="20" t="str">
        <f>Table_SourceData_Scope3_Feed[[#This Row],[Product]]</f>
        <v>Oaten hay</v>
      </c>
      <c r="M140" s="20" t="str">
        <f>Table_SourceData_Scope3_Feed[[#This Row],[Region of origin]]</f>
        <v>QLD</v>
      </c>
    </row>
    <row r="141" spans="1:17" ht="20" customHeight="1" x14ac:dyDescent="0.25">
      <c r="A141"/>
      <c r="D141" s="20" t="str" cm="1">
        <f t="array" ref="D141">Common_InputFunctions.Utility_DisplayArrayInTable(Scope3_SourceData.Scope3_Feed_Data(), Table_SourceData_Scope3_Feed[[#Headers],[Category]], -1, 2)</f>
        <v>Hay</v>
      </c>
      <c r="E141" s="20" t="str" cm="1">
        <f t="array" ref="E141">Common_InputFunctions.Utility_DisplayArrayInTable(Scope3_SourceData.Scope3_Feed_Data(), Table_SourceData_Scope3_Feed[[#Headers],[Category]], -1, 2)</f>
        <v>Oaten hay</v>
      </c>
      <c r="F141" s="20" t="str" cm="1">
        <f t="array" ref="F141">Common_InputFunctions.Utility_DisplayArrayInTable(Scope3_SourceData.Scope3_Feed_Data(), Table_SourceData_Scope3_Feed[[#Headers],[Category]], -1, 2)</f>
        <v>SA</v>
      </c>
      <c r="G141" s="20" t="str" cm="1">
        <f t="array" ref="G141">Common_InputFunctions.Utility_DisplayArrayInTable(Scope3_SourceData.Scope3_Feed_Data(), Table_SourceData_Scope3_Feed[[#Headers],[Category]], -1, 2)</f>
        <v>kg</v>
      </c>
      <c r="H141" s="20" cm="1">
        <f t="array" ref="H141">Common_InputFunctions.Utility_DisplayArrayInTable(Scope3_SourceData.Scope3_Feed_Data(), Table_SourceData_Scope3_Feed[[#Headers],[Category]], -1, 2)</f>
        <v>0.114</v>
      </c>
      <c r="I141" s="20" t="str" cm="1">
        <f t="array" ref="I141">Common_InputFunctions.Utility_DisplayArrayInTable(Scope3_SourceData.Scope3_Feed_Data(), Table_SourceData_Scope3_Feed[[#Headers],[Category]], -1, 2)</f>
        <v>at market</v>
      </c>
      <c r="J141" s="20" t="s">
        <v>1190</v>
      </c>
      <c r="L141" s="20" t="str">
        <f>Table_SourceData_Scope3_Feed[[#This Row],[Product]]</f>
        <v>Oaten hay</v>
      </c>
      <c r="M141" s="20" t="str">
        <f>Table_SourceData_Scope3_Feed[[#This Row],[Region of origin]]</f>
        <v>SA</v>
      </c>
    </row>
    <row r="142" spans="1:17" ht="20" customHeight="1" x14ac:dyDescent="0.25">
      <c r="A142"/>
      <c r="D142" s="20" t="str" cm="1">
        <f t="array" ref="D142">Common_InputFunctions.Utility_DisplayArrayInTable(Scope3_SourceData.Scope3_Feed_Data(), Table_SourceData_Scope3_Feed[[#Headers],[Category]], -1, 2)</f>
        <v>Hay</v>
      </c>
      <c r="E142" s="20" t="str" cm="1">
        <f t="array" ref="E142">Common_InputFunctions.Utility_DisplayArrayInTable(Scope3_SourceData.Scope3_Feed_Data(), Table_SourceData_Scope3_Feed[[#Headers],[Category]], -1, 2)</f>
        <v>Oaten hay</v>
      </c>
      <c r="F142" s="20" t="str" cm="1">
        <f t="array" ref="F142">Common_InputFunctions.Utility_DisplayArrayInTable(Scope3_SourceData.Scope3_Feed_Data(), Table_SourceData_Scope3_Feed[[#Headers],[Category]], -1, 2)</f>
        <v>VIC</v>
      </c>
      <c r="G142" s="20" t="str" cm="1">
        <f t="array" ref="G142">Common_InputFunctions.Utility_DisplayArrayInTable(Scope3_SourceData.Scope3_Feed_Data(), Table_SourceData_Scope3_Feed[[#Headers],[Category]], -1, 2)</f>
        <v>kg</v>
      </c>
      <c r="H142" s="20" cm="1">
        <f t="array" ref="H142">Common_InputFunctions.Utility_DisplayArrayInTable(Scope3_SourceData.Scope3_Feed_Data(), Table_SourceData_Scope3_Feed[[#Headers],[Category]], -1, 2)</f>
        <v>0.11799999999999999</v>
      </c>
      <c r="I142" s="20" t="str" cm="1">
        <f t="array" ref="I142">Common_InputFunctions.Utility_DisplayArrayInTable(Scope3_SourceData.Scope3_Feed_Data(), Table_SourceData_Scope3_Feed[[#Headers],[Category]], -1, 2)</f>
        <v>at market</v>
      </c>
      <c r="J142" s="20" t="s">
        <v>1190</v>
      </c>
      <c r="L142" s="20" t="str">
        <f>Table_SourceData_Scope3_Feed[[#This Row],[Product]]</f>
        <v>Oaten hay</v>
      </c>
      <c r="M142" s="20" t="str">
        <f>Table_SourceData_Scope3_Feed[[#This Row],[Region of origin]]</f>
        <v>VIC</v>
      </c>
    </row>
    <row r="143" spans="1:17" ht="20" customHeight="1" x14ac:dyDescent="0.25">
      <c r="A143"/>
      <c r="D143" s="20" t="str" cm="1">
        <f t="array" ref="D143">Common_InputFunctions.Utility_DisplayArrayInTable(Scope3_SourceData.Scope3_Feed_Data(), Table_SourceData_Scope3_Feed[[#Headers],[Category]], -1, 2)</f>
        <v>Hay</v>
      </c>
      <c r="E143" s="20" t="str" cm="1">
        <f t="array" ref="E143">Common_InputFunctions.Utility_DisplayArrayInTable(Scope3_SourceData.Scope3_Feed_Data(), Table_SourceData_Scope3_Feed[[#Headers],[Category]], -1, 2)</f>
        <v>Oaten hay</v>
      </c>
      <c r="F143" s="20" t="str" cm="1">
        <f t="array" ref="F143">Common_InputFunctions.Utility_DisplayArrayInTable(Scope3_SourceData.Scope3_Feed_Data(), Table_SourceData_Scope3_Feed[[#Headers],[Category]], -1, 2)</f>
        <v>WA</v>
      </c>
      <c r="G143" s="20" t="str" cm="1">
        <f t="array" ref="G143">Common_InputFunctions.Utility_DisplayArrayInTable(Scope3_SourceData.Scope3_Feed_Data(), Table_SourceData_Scope3_Feed[[#Headers],[Category]], -1, 2)</f>
        <v>kg</v>
      </c>
      <c r="H143" s="20" cm="1">
        <f t="array" ref="H143">Common_InputFunctions.Utility_DisplayArrayInTable(Scope3_SourceData.Scope3_Feed_Data(), Table_SourceData_Scope3_Feed[[#Headers],[Category]], -1, 2)</f>
        <v>0.124</v>
      </c>
      <c r="I143" s="20" t="str" cm="1">
        <f t="array" ref="I143">Common_InputFunctions.Utility_DisplayArrayInTable(Scope3_SourceData.Scope3_Feed_Data(), Table_SourceData_Scope3_Feed[[#Headers],[Category]], -1, 2)</f>
        <v>at market</v>
      </c>
      <c r="J143" s="20" t="s">
        <v>1190</v>
      </c>
      <c r="L143" s="20" t="str">
        <f>Table_SourceData_Scope3_Feed[[#This Row],[Product]]</f>
        <v>Oaten hay</v>
      </c>
      <c r="M143" s="20" t="str">
        <f>Table_SourceData_Scope3_Feed[[#This Row],[Region of origin]]</f>
        <v>WA</v>
      </c>
      <c r="O143" s="20" t="s">
        <v>139</v>
      </c>
      <c r="P143" s="20" t="s">
        <v>490</v>
      </c>
      <c r="Q143" s="1" t="str">
        <f>"Table_ProductRegions_" &amp; SUBSTITUTE(SUBSTITUTE(SUBSTITUTE(SUBSTITUTE(O144, " ", ""), ",", ""), "(", ""), ")", "")</f>
        <v>Table_ProductRegions_Pasturehay</v>
      </c>
    </row>
    <row r="144" spans="1:17" ht="20" customHeight="1" x14ac:dyDescent="0.25">
      <c r="A144"/>
      <c r="D144" s="20" t="str" cm="1">
        <f t="array" ref="D144">Common_InputFunctions.Utility_DisplayArrayInTable(Scope3_SourceData.Scope3_Feed_Data(), Table_SourceData_Scope3_Feed[[#Headers],[Category]], -1, 2)</f>
        <v>Hay</v>
      </c>
      <c r="E144" s="20" t="str" cm="1">
        <f t="array" ref="E144">Common_InputFunctions.Utility_DisplayArrayInTable(Scope3_SourceData.Scope3_Feed_Data(), Table_SourceData_Scope3_Feed[[#Headers],[Category]], -1, 2)</f>
        <v>Pasture hay</v>
      </c>
      <c r="F144" s="20" t="str" cm="1">
        <f t="array" ref="F144">Common_InputFunctions.Utility_DisplayArrayInTable(Scope3_SourceData.Scope3_Feed_Data(), Table_SourceData_Scope3_Feed[[#Headers],[Category]], -1, 2)</f>
        <v>Australia</v>
      </c>
      <c r="G144" s="20" t="str" cm="1">
        <f t="array" ref="G144">Common_InputFunctions.Utility_DisplayArrayInTable(Scope3_SourceData.Scope3_Feed_Data(), Table_SourceData_Scope3_Feed[[#Headers],[Category]], -1, 2)</f>
        <v>kg</v>
      </c>
      <c r="H144" s="20" cm="1">
        <f t="array" ref="H144">Common_InputFunctions.Utility_DisplayArrayInTable(Scope3_SourceData.Scope3_Feed_Data(), Table_SourceData_Scope3_Feed[[#Headers],[Category]], -1, 2)</f>
        <v>0.33900000000000002</v>
      </c>
      <c r="I144" s="20" t="str" cm="1">
        <f t="array" ref="I144">Common_InputFunctions.Utility_DisplayArrayInTable(Scope3_SourceData.Scope3_Feed_Data(), Table_SourceData_Scope3_Feed[[#Headers],[Category]], -1, 2)</f>
        <v>at market</v>
      </c>
      <c r="J144" s="20" t="s">
        <v>1190</v>
      </c>
      <c r="O144" s="20" t="str">
        <f>Table_SourceData_Scope3_Feed[[#This Row],[Product]]</f>
        <v>Pasture hay</v>
      </c>
      <c r="P144" s="20" t="str">
        <f>Table_SourceData_Scope3_Feed[[#This Row],[Region of origin]]</f>
        <v>Australia</v>
      </c>
    </row>
    <row r="145" spans="1:17" ht="20" customHeight="1" x14ac:dyDescent="0.25">
      <c r="A145"/>
      <c r="D145" s="20" t="str" cm="1">
        <f t="array" ref="D145">Common_InputFunctions.Utility_DisplayArrayInTable(Scope3_SourceData.Scope3_Feed_Data(), Table_SourceData_Scope3_Feed[[#Headers],[Category]], -1, 2)</f>
        <v>Hay</v>
      </c>
      <c r="E145" s="20" t="str" cm="1">
        <f t="array" ref="E145">Common_InputFunctions.Utility_DisplayArrayInTable(Scope3_SourceData.Scope3_Feed_Data(), Table_SourceData_Scope3_Feed[[#Headers],[Category]], -1, 2)</f>
        <v>Pasture hay</v>
      </c>
      <c r="F145" s="20" t="str" cm="1">
        <f t="array" ref="F145">Common_InputFunctions.Utility_DisplayArrayInTable(Scope3_SourceData.Scope3_Feed_Data(), Table_SourceData_Scope3_Feed[[#Headers],[Category]], -1, 2)</f>
        <v>NSW</v>
      </c>
      <c r="G145" s="20" t="str" cm="1">
        <f t="array" ref="G145">Common_InputFunctions.Utility_DisplayArrayInTable(Scope3_SourceData.Scope3_Feed_Data(), Table_SourceData_Scope3_Feed[[#Headers],[Category]], -1, 2)</f>
        <v>kg</v>
      </c>
      <c r="H145" s="20" cm="1">
        <f t="array" ref="H145">Common_InputFunctions.Utility_DisplayArrayInTable(Scope3_SourceData.Scope3_Feed_Data(), Table_SourceData_Scope3_Feed[[#Headers],[Category]], -1, 2)</f>
        <v>0.311</v>
      </c>
      <c r="I145" s="20" t="str" cm="1">
        <f t="array" ref="I145">Common_InputFunctions.Utility_DisplayArrayInTable(Scope3_SourceData.Scope3_Feed_Data(), Table_SourceData_Scope3_Feed[[#Headers],[Category]], -1, 2)</f>
        <v>at market</v>
      </c>
      <c r="J145" s="20" t="s">
        <v>1190</v>
      </c>
      <c r="O145" s="20" t="str">
        <f>Table_SourceData_Scope3_Feed[[#This Row],[Product]]</f>
        <v>Pasture hay</v>
      </c>
      <c r="P145" s="20" t="str">
        <f>Table_SourceData_Scope3_Feed[[#This Row],[Region of origin]]</f>
        <v>NSW</v>
      </c>
    </row>
    <row r="146" spans="1:17" ht="20" customHeight="1" x14ac:dyDescent="0.25">
      <c r="A146"/>
      <c r="D146" s="20" t="str" cm="1">
        <f t="array" ref="D146">Common_InputFunctions.Utility_DisplayArrayInTable(Scope3_SourceData.Scope3_Feed_Data(), Table_SourceData_Scope3_Feed[[#Headers],[Category]], -1, 2)</f>
        <v>Hay</v>
      </c>
      <c r="E146" s="20" t="str" cm="1">
        <f t="array" ref="E146">Common_InputFunctions.Utility_DisplayArrayInTable(Scope3_SourceData.Scope3_Feed_Data(), Table_SourceData_Scope3_Feed[[#Headers],[Category]], -1, 2)</f>
        <v>Pasture hay</v>
      </c>
      <c r="F146" s="20" t="str" cm="1">
        <f t="array" ref="F146">Common_InputFunctions.Utility_DisplayArrayInTable(Scope3_SourceData.Scope3_Feed_Data(), Table_SourceData_Scope3_Feed[[#Headers],[Category]], -1, 2)</f>
        <v>QLD</v>
      </c>
      <c r="G146" s="20" t="str" cm="1">
        <f t="array" ref="G146">Common_InputFunctions.Utility_DisplayArrayInTable(Scope3_SourceData.Scope3_Feed_Data(), Table_SourceData_Scope3_Feed[[#Headers],[Category]], -1, 2)</f>
        <v>kg</v>
      </c>
      <c r="H146" s="20" cm="1">
        <f t="array" ref="H146">Common_InputFunctions.Utility_DisplayArrayInTable(Scope3_SourceData.Scope3_Feed_Data(), Table_SourceData_Scope3_Feed[[#Headers],[Category]], -1, 2)</f>
        <v>0.254</v>
      </c>
      <c r="I146" s="20" t="str" cm="1">
        <f t="array" ref="I146">Common_InputFunctions.Utility_DisplayArrayInTable(Scope3_SourceData.Scope3_Feed_Data(), Table_SourceData_Scope3_Feed[[#Headers],[Category]], -1, 2)</f>
        <v>at market</v>
      </c>
      <c r="J146" s="20" t="s">
        <v>1190</v>
      </c>
      <c r="O146" s="20" t="str">
        <f>Table_SourceData_Scope3_Feed[[#This Row],[Product]]</f>
        <v>Pasture hay</v>
      </c>
      <c r="P146" s="20" t="str">
        <f>Table_SourceData_Scope3_Feed[[#This Row],[Region of origin]]</f>
        <v>QLD</v>
      </c>
    </row>
    <row r="147" spans="1:17" ht="20" customHeight="1" x14ac:dyDescent="0.25">
      <c r="A147"/>
      <c r="D147" s="20" t="str" cm="1">
        <f t="array" ref="D147">Common_InputFunctions.Utility_DisplayArrayInTable(Scope3_SourceData.Scope3_Feed_Data(), Table_SourceData_Scope3_Feed[[#Headers],[Category]], -1, 2)</f>
        <v>Hay</v>
      </c>
      <c r="E147" s="20" t="str" cm="1">
        <f t="array" ref="E147">Common_InputFunctions.Utility_DisplayArrayInTable(Scope3_SourceData.Scope3_Feed_Data(), Table_SourceData_Scope3_Feed[[#Headers],[Category]], -1, 2)</f>
        <v>Pasture hay</v>
      </c>
      <c r="F147" s="20" t="str" cm="1">
        <f t="array" ref="F147">Common_InputFunctions.Utility_DisplayArrayInTable(Scope3_SourceData.Scope3_Feed_Data(), Table_SourceData_Scope3_Feed[[#Headers],[Category]], -1, 2)</f>
        <v>SA</v>
      </c>
      <c r="G147" s="20" t="str" cm="1">
        <f t="array" ref="G147">Common_InputFunctions.Utility_DisplayArrayInTable(Scope3_SourceData.Scope3_Feed_Data(), Table_SourceData_Scope3_Feed[[#Headers],[Category]], -1, 2)</f>
        <v>kg</v>
      </c>
      <c r="H147" s="20" cm="1">
        <f t="array" ref="H147">Common_InputFunctions.Utility_DisplayArrayInTable(Scope3_SourceData.Scope3_Feed_Data(), Table_SourceData_Scope3_Feed[[#Headers],[Category]], -1, 2)</f>
        <v>0.313</v>
      </c>
      <c r="I147" s="20" t="str" cm="1">
        <f t="array" ref="I147">Common_InputFunctions.Utility_DisplayArrayInTable(Scope3_SourceData.Scope3_Feed_Data(), Table_SourceData_Scope3_Feed[[#Headers],[Category]], -1, 2)</f>
        <v>at market</v>
      </c>
      <c r="J147" s="20" t="s">
        <v>1190</v>
      </c>
      <c r="O147" s="20" t="str">
        <f>Table_SourceData_Scope3_Feed[[#This Row],[Product]]</f>
        <v>Pasture hay</v>
      </c>
      <c r="P147" s="20" t="str">
        <f>Table_SourceData_Scope3_Feed[[#This Row],[Region of origin]]</f>
        <v>SA</v>
      </c>
    </row>
    <row r="148" spans="1:17" ht="20" customHeight="1" x14ac:dyDescent="0.25">
      <c r="A148"/>
      <c r="D148" s="20" t="str" cm="1">
        <f t="array" ref="D148">Common_InputFunctions.Utility_DisplayArrayInTable(Scope3_SourceData.Scope3_Feed_Data(), Table_SourceData_Scope3_Feed[[#Headers],[Category]], -1, 2)</f>
        <v>Hay</v>
      </c>
      <c r="E148" s="20" t="str" cm="1">
        <f t="array" ref="E148">Common_InputFunctions.Utility_DisplayArrayInTable(Scope3_SourceData.Scope3_Feed_Data(), Table_SourceData_Scope3_Feed[[#Headers],[Category]], -1, 2)</f>
        <v>Pasture hay</v>
      </c>
      <c r="F148" s="20" t="str" cm="1">
        <f t="array" ref="F148">Common_InputFunctions.Utility_DisplayArrayInTable(Scope3_SourceData.Scope3_Feed_Data(), Table_SourceData_Scope3_Feed[[#Headers],[Category]], -1, 2)</f>
        <v>TAS</v>
      </c>
      <c r="G148" s="20" t="str" cm="1">
        <f t="array" ref="G148">Common_InputFunctions.Utility_DisplayArrayInTable(Scope3_SourceData.Scope3_Feed_Data(), Table_SourceData_Scope3_Feed[[#Headers],[Category]], -1, 2)</f>
        <v>kg</v>
      </c>
      <c r="H148" s="20" cm="1">
        <f t="array" ref="H148">Common_InputFunctions.Utility_DisplayArrayInTable(Scope3_SourceData.Scope3_Feed_Data(), Table_SourceData_Scope3_Feed[[#Headers],[Category]], -1, 2)</f>
        <v>0.39800000000000002</v>
      </c>
      <c r="I148" s="20" t="str" cm="1">
        <f t="array" ref="I148">Common_InputFunctions.Utility_DisplayArrayInTable(Scope3_SourceData.Scope3_Feed_Data(), Table_SourceData_Scope3_Feed[[#Headers],[Category]], -1, 2)</f>
        <v>at market</v>
      </c>
      <c r="J148" s="20" t="s">
        <v>1190</v>
      </c>
      <c r="O148" s="20" t="str">
        <f>Table_SourceData_Scope3_Feed[[#This Row],[Product]]</f>
        <v>Pasture hay</v>
      </c>
      <c r="P148" s="20" t="str">
        <f>Table_SourceData_Scope3_Feed[[#This Row],[Region of origin]]</f>
        <v>TAS</v>
      </c>
    </row>
    <row r="149" spans="1:17" ht="20" customHeight="1" x14ac:dyDescent="0.25">
      <c r="A149"/>
      <c r="D149" s="20" t="str" cm="1">
        <f t="array" ref="D149">Common_InputFunctions.Utility_DisplayArrayInTable(Scope3_SourceData.Scope3_Feed_Data(), Table_SourceData_Scope3_Feed[[#Headers],[Category]], -1, 2)</f>
        <v>Hay</v>
      </c>
      <c r="E149" s="20" t="str" cm="1">
        <f t="array" ref="E149">Common_InputFunctions.Utility_DisplayArrayInTable(Scope3_SourceData.Scope3_Feed_Data(), Table_SourceData_Scope3_Feed[[#Headers],[Category]], -1, 2)</f>
        <v>Pasture hay</v>
      </c>
      <c r="F149" s="20" t="str" cm="1">
        <f t="array" ref="F149">Common_InputFunctions.Utility_DisplayArrayInTable(Scope3_SourceData.Scope3_Feed_Data(), Table_SourceData_Scope3_Feed[[#Headers],[Category]], -1, 2)</f>
        <v>VIC</v>
      </c>
      <c r="G149" s="20" t="str" cm="1">
        <f t="array" ref="G149">Common_InputFunctions.Utility_DisplayArrayInTable(Scope3_SourceData.Scope3_Feed_Data(), Table_SourceData_Scope3_Feed[[#Headers],[Category]], -1, 2)</f>
        <v>kg</v>
      </c>
      <c r="H149" s="20" cm="1">
        <f t="array" ref="H149">Common_InputFunctions.Utility_DisplayArrayInTable(Scope3_SourceData.Scope3_Feed_Data(), Table_SourceData_Scope3_Feed[[#Headers],[Category]], -1, 2)</f>
        <v>0.34499999999999997</v>
      </c>
      <c r="I149" s="20" t="str" cm="1">
        <f t="array" ref="I149">Common_InputFunctions.Utility_DisplayArrayInTable(Scope3_SourceData.Scope3_Feed_Data(), Table_SourceData_Scope3_Feed[[#Headers],[Category]], -1, 2)</f>
        <v>at market</v>
      </c>
      <c r="J149" s="20" t="s">
        <v>1190</v>
      </c>
      <c r="O149" s="20" t="str">
        <f>Table_SourceData_Scope3_Feed[[#This Row],[Product]]</f>
        <v>Pasture hay</v>
      </c>
      <c r="P149" s="20" t="str">
        <f>Table_SourceData_Scope3_Feed[[#This Row],[Region of origin]]</f>
        <v>VIC</v>
      </c>
    </row>
    <row r="150" spans="1:17" ht="20" customHeight="1" x14ac:dyDescent="0.25">
      <c r="A150"/>
      <c r="D150" s="20" t="str" cm="1">
        <f t="array" ref="D150">Common_InputFunctions.Utility_DisplayArrayInTable(Scope3_SourceData.Scope3_Feed_Data(), Table_SourceData_Scope3_Feed[[#Headers],[Category]], -1, 2)</f>
        <v>Hay</v>
      </c>
      <c r="E150" s="20" t="str" cm="1">
        <f t="array" ref="E150">Common_InputFunctions.Utility_DisplayArrayInTable(Scope3_SourceData.Scope3_Feed_Data(), Table_SourceData_Scope3_Feed[[#Headers],[Category]], -1, 2)</f>
        <v>Pasture hay</v>
      </c>
      <c r="F150" s="20" t="str" cm="1">
        <f t="array" ref="F150">Common_InputFunctions.Utility_DisplayArrayInTable(Scope3_SourceData.Scope3_Feed_Data(), Table_SourceData_Scope3_Feed[[#Headers],[Category]], -1, 2)</f>
        <v>WA</v>
      </c>
      <c r="G150" s="20" t="str" cm="1">
        <f t="array" ref="G150">Common_InputFunctions.Utility_DisplayArrayInTable(Scope3_SourceData.Scope3_Feed_Data(), Table_SourceData_Scope3_Feed[[#Headers],[Category]], -1, 2)</f>
        <v>kg</v>
      </c>
      <c r="H150" s="20" cm="1">
        <f t="array" ref="H150">Common_InputFunctions.Utility_DisplayArrayInTable(Scope3_SourceData.Scope3_Feed_Data(), Table_SourceData_Scope3_Feed[[#Headers],[Category]], -1, 2)</f>
        <v>0.36799999999999999</v>
      </c>
      <c r="I150" s="20" t="str" cm="1">
        <f t="array" ref="I150">Common_InputFunctions.Utility_DisplayArrayInTable(Scope3_SourceData.Scope3_Feed_Data(), Table_SourceData_Scope3_Feed[[#Headers],[Category]], -1, 2)</f>
        <v>at market</v>
      </c>
      <c r="J150" s="20" t="s">
        <v>1190</v>
      </c>
      <c r="L150" s="261" t="s">
        <v>139</v>
      </c>
      <c r="M150" s="261" t="s">
        <v>490</v>
      </c>
      <c r="N150" s="1" t="str">
        <f>"Table_ProductRegions_" &amp; SUBSTITUTE(SUBSTITUTE(SUBSTITUTE(SUBSTITUTE(L151, " ", ""), ",", ""), "(", ""), ")", "")</f>
        <v>Table_ProductRegions_Canolameal</v>
      </c>
      <c r="O150" s="20" t="str">
        <f>Table_SourceData_Scope3_Feed[[#This Row],[Product]]</f>
        <v>Pasture hay</v>
      </c>
      <c r="P150" s="20" t="str">
        <f>Table_SourceData_Scope3_Feed[[#This Row],[Region of origin]]</f>
        <v>WA</v>
      </c>
    </row>
    <row r="151" spans="1:17" ht="20" customHeight="1" x14ac:dyDescent="0.25">
      <c r="A151"/>
      <c r="D151" s="20" t="str" cm="1">
        <f t="array" ref="D151">Common_InputFunctions.Utility_DisplayArrayInTable(Scope3_SourceData.Scope3_Feed_Data(), Table_SourceData_Scope3_Feed[[#Headers],[Category]], -1, 2)</f>
        <v>Meal</v>
      </c>
      <c r="E151" s="20" t="str" cm="1">
        <f t="array" ref="E151">Common_InputFunctions.Utility_DisplayArrayInTable(Scope3_SourceData.Scope3_Feed_Data(), Table_SourceData_Scope3_Feed[[#Headers],[Category]], -1, 2)</f>
        <v>Canola meal</v>
      </c>
      <c r="F151" s="20" t="str" cm="1">
        <f t="array" ref="F151">Common_InputFunctions.Utility_DisplayArrayInTable(Scope3_SourceData.Scope3_Feed_Data(), Table_SourceData_Scope3_Feed[[#Headers],[Category]], -1, 2)</f>
        <v>Australia</v>
      </c>
      <c r="G151" s="20" t="str" cm="1">
        <f t="array" ref="G151">Common_InputFunctions.Utility_DisplayArrayInTable(Scope3_SourceData.Scope3_Feed_Data(), Table_SourceData_Scope3_Feed[[#Headers],[Category]], -1, 2)</f>
        <v>kg</v>
      </c>
      <c r="H151" s="20" cm="1">
        <f t="array" ref="H151">Common_InputFunctions.Utility_DisplayArrayInTable(Scope3_SourceData.Scope3_Feed_Data(), Table_SourceData_Scope3_Feed[[#Headers],[Category]], -1, 2)</f>
        <v>0.24399999999999999</v>
      </c>
      <c r="I151" s="20" t="str" cm="1">
        <f t="array" ref="I151">Common_InputFunctions.Utility_DisplayArrayInTable(Scope3_SourceData.Scope3_Feed_Data(), Table_SourceData_Scope3_Feed[[#Headers],[Category]], -1, 2)</f>
        <v>at market</v>
      </c>
      <c r="J151" s="20" t="s">
        <v>1190</v>
      </c>
      <c r="L151" s="1" t="str">
        <f>Table_SourceData_Scope3_Feed[[#This Row],[Product]]</f>
        <v>Canola meal</v>
      </c>
      <c r="M151" s="1" t="str">
        <f>Table_SourceData_Scope3_Feed[[#This Row],[Region of origin]]</f>
        <v>Australia</v>
      </c>
      <c r="O151" s="20" t="s">
        <v>139</v>
      </c>
      <c r="P151" s="20" t="s">
        <v>490</v>
      </c>
      <c r="Q151" s="1" t="str">
        <f>"Table_ProductRegions_" &amp; SUBSTITUTE(SUBSTITUTE(SUBSTITUTE(SUBSTITUTE(O152, " ", ""), ",", ""), "(", ""), ")", "")</f>
        <v>Table_ProductRegions_Meatmeal</v>
      </c>
    </row>
    <row r="152" spans="1:17" ht="20" customHeight="1" x14ac:dyDescent="0.25">
      <c r="A152"/>
      <c r="D152" s="20" t="str" cm="1">
        <f t="array" ref="D152">Common_InputFunctions.Utility_DisplayArrayInTable(Scope3_SourceData.Scope3_Feed_Data(), Table_SourceData_Scope3_Feed[[#Headers],[Category]], -1, 2)</f>
        <v>Meal</v>
      </c>
      <c r="E152" s="20" t="str" cm="1">
        <f t="array" ref="E152">Common_InputFunctions.Utility_DisplayArrayInTable(Scope3_SourceData.Scope3_Feed_Data(), Table_SourceData_Scope3_Feed[[#Headers],[Category]], -1, 2)</f>
        <v>Meat meal</v>
      </c>
      <c r="F152" s="20" t="str" cm="1">
        <f t="array" ref="F152">Common_InputFunctions.Utility_DisplayArrayInTable(Scope3_SourceData.Scope3_Feed_Data(), Table_SourceData_Scope3_Feed[[#Headers],[Category]], -1, 2)</f>
        <v>Australia</v>
      </c>
      <c r="G152" s="20" t="str" cm="1">
        <f t="array" ref="G152">Common_InputFunctions.Utility_DisplayArrayInTable(Scope3_SourceData.Scope3_Feed_Data(), Table_SourceData_Scope3_Feed[[#Headers],[Category]], -1, 2)</f>
        <v>kg</v>
      </c>
      <c r="H152" s="20" cm="1">
        <f t="array" ref="H152">Common_InputFunctions.Utility_DisplayArrayInTable(Scope3_SourceData.Scope3_Feed_Data(), Table_SourceData_Scope3_Feed[[#Headers],[Category]], -1, 2)</f>
        <v>0.40799999999999997</v>
      </c>
      <c r="I152" s="20" t="str" cm="1">
        <f t="array" ref="I152">Common_InputFunctions.Utility_DisplayArrayInTable(Scope3_SourceData.Scope3_Feed_Data(), Table_SourceData_Scope3_Feed[[#Headers],[Category]], -1, 2)</f>
        <v>at market</v>
      </c>
      <c r="J152" s="20" t="s">
        <v>1190</v>
      </c>
      <c r="L152" s="20" t="s">
        <v>139</v>
      </c>
      <c r="M152" s="20" t="s">
        <v>490</v>
      </c>
      <c r="N152" s="1" t="str">
        <f>"Table_ProductRegions_" &amp; SUBSTITUTE(SUBSTITUTE(SUBSTITUTE(SUBSTITUTE(L153, " ", ""), ",", ""), "(", ""), ")", "")</f>
        <v>Table_ProductRegions_Soybeanmeal</v>
      </c>
      <c r="O152" s="20" t="str">
        <f>Table_SourceData_Scope3_Feed[[#This Row],[Product]]</f>
        <v>Meat meal</v>
      </c>
      <c r="P152" s="20" t="str">
        <f>Table_SourceData_Scope3_Feed[[#This Row],[Region of origin]]</f>
        <v>Australia</v>
      </c>
    </row>
    <row r="153" spans="1:17" ht="20" customHeight="1" x14ac:dyDescent="0.25">
      <c r="A153"/>
      <c r="D153" s="20" t="str" cm="1">
        <f t="array" ref="D153">Common_InputFunctions.Utility_DisplayArrayInTable(Scope3_SourceData.Scope3_Feed_Data(), Table_SourceData_Scope3_Feed[[#Headers],[Category]], -1, 2)</f>
        <v>Meal</v>
      </c>
      <c r="E153" s="20" t="str" cm="1">
        <f t="array" ref="E153">Common_InputFunctions.Utility_DisplayArrayInTable(Scope3_SourceData.Scope3_Feed_Data(), Table_SourceData_Scope3_Feed[[#Headers],[Category]], -1, 2)</f>
        <v>Soybean meal</v>
      </c>
      <c r="F153" s="20" t="str" cm="1">
        <f t="array" ref="F153">Common_InputFunctions.Utility_DisplayArrayInTable(Scope3_SourceData.Scope3_Feed_Data(), Table_SourceData_Scope3_Feed[[#Headers],[Category]], -1, 2)</f>
        <v>Brazil</v>
      </c>
      <c r="G153" s="20" t="str" cm="1">
        <f t="array" ref="G153">Common_InputFunctions.Utility_DisplayArrayInTable(Scope3_SourceData.Scope3_Feed_Data(), Table_SourceData_Scope3_Feed[[#Headers],[Category]], -1, 2)</f>
        <v>kg</v>
      </c>
      <c r="H153" s="20" cm="1">
        <f t="array" ref="H153">Common_InputFunctions.Utility_DisplayArrayInTable(Scope3_SourceData.Scope3_Feed_Data(), Table_SourceData_Scope3_Feed[[#Headers],[Category]], -1, 2)</f>
        <v>0.42599999999999999</v>
      </c>
      <c r="I153" s="20" t="str" cm="1">
        <f t="array" ref="I153">Common_InputFunctions.Utility_DisplayArrayInTable(Scope3_SourceData.Scope3_Feed_Data(), Table_SourceData_Scope3_Feed[[#Headers],[Category]], -1, 2)</f>
        <v>at market</v>
      </c>
      <c r="J153" s="20" t="s">
        <v>1190</v>
      </c>
      <c r="L153" s="20" t="str">
        <f>Table_SourceData_Scope3_Feed[[#This Row],[Product]]</f>
        <v>Soybean meal</v>
      </c>
      <c r="M153" s="20" t="str">
        <f>Table_SourceData_Scope3_Feed[[#This Row],[Region of origin]]</f>
        <v>Brazil</v>
      </c>
      <c r="O153" s="20" t="s">
        <v>139</v>
      </c>
      <c r="P153" s="20" t="s">
        <v>490</v>
      </c>
      <c r="Q153" s="1" t="str">
        <f>"Table_ProductRegions_" &amp; SUBSTITUTE(SUBSTITUTE(SUBSTITUTE(SUBSTITUTE(O154, " ", ""), ",", ""), "(", ""), ")", "")</f>
        <v>Table_ProductRegions_Wheatbran</v>
      </c>
    </row>
    <row r="154" spans="1:17" ht="20" customHeight="1" x14ac:dyDescent="0.25">
      <c r="A154"/>
      <c r="D154" s="20" t="str" cm="1">
        <f t="array" ref="D154">Common_InputFunctions.Utility_DisplayArrayInTable(Scope3_SourceData.Scope3_Feed_Data(), Table_SourceData_Scope3_Feed[[#Headers],[Category]], -1, 2)</f>
        <v>Meal</v>
      </c>
      <c r="E154" s="20" t="str" cm="1">
        <f t="array" ref="E154">Common_InputFunctions.Utility_DisplayArrayInTable(Scope3_SourceData.Scope3_Feed_Data(), Table_SourceData_Scope3_Feed[[#Headers],[Category]], -1, 2)</f>
        <v>Wheat bran</v>
      </c>
      <c r="F154" s="20" t="str" cm="1">
        <f t="array" ref="F154">Common_InputFunctions.Utility_DisplayArrayInTable(Scope3_SourceData.Scope3_Feed_Data(), Table_SourceData_Scope3_Feed[[#Headers],[Category]], -1, 2)</f>
        <v>Australia</v>
      </c>
      <c r="G154" s="20" t="str" cm="1">
        <f t="array" ref="G154">Common_InputFunctions.Utility_DisplayArrayInTable(Scope3_SourceData.Scope3_Feed_Data(), Table_SourceData_Scope3_Feed[[#Headers],[Category]], -1, 2)</f>
        <v>kg</v>
      </c>
      <c r="H154" s="20" cm="1">
        <f t="array" ref="H154">Common_InputFunctions.Utility_DisplayArrayInTable(Scope3_SourceData.Scope3_Feed_Data(), Table_SourceData_Scope3_Feed[[#Headers],[Category]], -1, 2)</f>
        <v>0.19600000000000001</v>
      </c>
      <c r="I154" s="20" t="str" cm="1">
        <f t="array" ref="I154">Common_InputFunctions.Utility_DisplayArrayInTable(Scope3_SourceData.Scope3_Feed_Data(), Table_SourceData_Scope3_Feed[[#Headers],[Category]], -1, 2)</f>
        <v>at market</v>
      </c>
      <c r="J154" s="20" t="s">
        <v>1190</v>
      </c>
      <c r="L154" s="20" t="s">
        <v>139</v>
      </c>
      <c r="M154" s="20" t="s">
        <v>490</v>
      </c>
      <c r="N154" s="1" t="str">
        <f>"Table_ProductRegions_" &amp; SUBSTITUTE(SUBSTITUTE(SUBSTITUTE(SUBSTITUTE(L155, " ", ""), ",", ""), "(", ""), ")", "")</f>
        <v>Table_ProductRegions_Bentonite</v>
      </c>
      <c r="O154" s="20" t="str">
        <f>Table_SourceData_Scope3_Feed[[#This Row],[Product]]</f>
        <v>Wheat bran</v>
      </c>
      <c r="P154" s="20" t="str">
        <f>Table_SourceData_Scope3_Feed[[#This Row],[Region of origin]]</f>
        <v>Australia</v>
      </c>
    </row>
    <row r="155" spans="1:17" ht="20" customHeight="1" x14ac:dyDescent="0.25">
      <c r="A155"/>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20" t="s">
        <v>1190</v>
      </c>
      <c r="L155" s="20" t="str">
        <f>Table_SourceData_Scope3_Feed[[#This Row],[Product]]</f>
        <v>Bentonite</v>
      </c>
      <c r="M155" s="20" t="str">
        <f>Table_SourceData_Scope3_Feed[[#This Row],[Region of origin]]</f>
        <v>Australia</v>
      </c>
      <c r="O155" s="20" t="s">
        <v>139</v>
      </c>
      <c r="P155" s="20" t="s">
        <v>490</v>
      </c>
      <c r="Q155" s="1" t="str">
        <f>"Table_ProductRegions_" &amp; SUBSTITUTE(SUBSTITUTE(SUBSTITUTE(SUBSTITUTE(O156, " ", ""), ",", ""), "(", ""), ")", "")</f>
        <v>Table_ProductRegions_Canolaoil</v>
      </c>
    </row>
    <row r="156" spans="1:17" ht="20" customHeight="1" x14ac:dyDescent="0.25">
      <c r="A156"/>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20" t="s">
        <v>1190</v>
      </c>
      <c r="L156" s="20" t="s">
        <v>139</v>
      </c>
      <c r="M156" s="20" t="s">
        <v>490</v>
      </c>
      <c r="N156" s="1" t="str">
        <f>"Table_ProductRegions_" &amp; SUBSTITUTE(SUBSTITUTE(SUBSTITUTE(SUBSTITUTE(L157, " ", ""), ",", ""), "(", ""), ")", "")</f>
        <v>Table_ProductRegions_Cottonseed</v>
      </c>
      <c r="O156" s="20" t="str">
        <f>Table_SourceData_Scope3_Feed[[#This Row],[Product]]</f>
        <v>Canola oil</v>
      </c>
      <c r="P156" s="20" t="str">
        <f>Table_SourceData_Scope3_Feed[[#This Row],[Region of origin]]</f>
        <v>Australia</v>
      </c>
    </row>
    <row r="157" spans="1:17" ht="20" customHeight="1" x14ac:dyDescent="0.25">
      <c r="A157"/>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20" t="s">
        <v>1190</v>
      </c>
      <c r="L157" s="20" t="str">
        <f>Table_SourceData_Scope3_Feed[[#This Row],[Product]]</f>
        <v>Cotton seed</v>
      </c>
      <c r="M157" s="20" t="str">
        <f>Table_SourceData_Scope3_Feed[[#This Row],[Region of origin]]</f>
        <v>Australia</v>
      </c>
      <c r="O157" s="20" t="s">
        <v>139</v>
      </c>
      <c r="P157" s="20" t="s">
        <v>490</v>
      </c>
      <c r="Q157" s="1" t="str">
        <f>"Table_ProductRegions_" &amp; SUBSTITUTE(SUBSTITUTE(SUBSTITUTE(SUBSTITUTE(O158, " ", ""), ",", ""), "(", ""), ")", "")</f>
        <v>Table_ProductRegions_Molasses</v>
      </c>
    </row>
    <row r="158" spans="1:17" ht="20" customHeight="1" x14ac:dyDescent="0.25">
      <c r="A158"/>
      <c r="D158" s="20" t="str" cm="1">
        <f t="array" ref="D158">Common_InputFunctions.Utility_DisplayArrayInTable(Scope3_SourceData.Scope3_Feed_Data(), Table_SourceData_Scope3_Feed[[#Headers],[Category]], -8, 2)</f>
        <v>Other</v>
      </c>
      <c r="E158" s="20" t="str" cm="1">
        <f t="array" ref="E158">Common_InputFunctions.Utility_DisplayArrayInTable(Scope3_SourceData.Scope3_Feed_Data(), Table_SourceData_Scope3_Feed[[#Headers],[Category]], -8, 2)</f>
        <v>Molasses</v>
      </c>
      <c r="F158" s="20" t="str" cm="1">
        <f t="array" ref="F158">Common_InputFunctions.Utility_DisplayArrayInTable(Scope3_SourceData.Scope3_Feed_Data(), Table_SourceData_Scope3_Feed[[#Headers],[Category]], -8, 2)</f>
        <v>QLD</v>
      </c>
      <c r="G158" s="20" t="str" cm="1">
        <f t="array" ref="G158">Common_InputFunctions.Utility_DisplayArrayInTable(Scope3_SourceData.Scope3_Feed_Data(), Table_SourceData_Scope3_Feed[[#Headers],[Category]], -8, 2)</f>
        <v>kg</v>
      </c>
      <c r="H158" s="20" cm="1">
        <f t="array" ref="H158">Common_InputFunctions.Utility_DisplayArrayInTable(Scope3_SourceData.Scope3_Feed_Data(), Table_SourceData_Scope3_Feed[[#Headers],[Category]], -8, 2)</f>
        <v>0.184</v>
      </c>
      <c r="I158" s="20" t="str" cm="1">
        <f t="array" ref="I158">Common_InputFunctions.Utility_DisplayArrayInTable(Scope3_SourceData.Scope3_Feed_Data(), Table_SourceData_Scope3_Feed[[#Headers],[Category]], -8, 2)</f>
        <v>at market</v>
      </c>
      <c r="J158" s="20"/>
      <c r="O158" s="20" t="str">
        <f>Table_SourceData_Scope3_Feed[[#This Row],[Product]]</f>
        <v>Molasses</v>
      </c>
      <c r="P158" s="20" t="str">
        <f>Table_SourceData_Scope3_Feed[[#This Row],[Region of origin]]</f>
        <v>QLD</v>
      </c>
    </row>
    <row r="159" spans="1:17" ht="20" customHeight="1" x14ac:dyDescent="0.25">
      <c r="A159"/>
    </row>
    <row r="160" spans="1:17" ht="20" customHeight="1" x14ac:dyDescent="0.25">
      <c r="A160"/>
    </row>
    <row r="161" spans="4:14" ht="20" customHeight="1" x14ac:dyDescent="0.25">
      <c r="D161" s="20" t="s">
        <v>565</v>
      </c>
      <c r="E161" s="20" t="s">
        <v>139</v>
      </c>
      <c r="F161" s="20" t="s">
        <v>566</v>
      </c>
      <c r="G161" s="20" t="s">
        <v>567</v>
      </c>
      <c r="H161" s="20" t="s">
        <v>1189</v>
      </c>
      <c r="I161" s="20" t="s">
        <v>569</v>
      </c>
      <c r="J161" s="20" t="s">
        <v>728</v>
      </c>
    </row>
    <row r="162" spans="4:14" ht="20" customHeight="1" x14ac:dyDescent="0.25">
      <c r="D162" s="20" t="str" cm="1">
        <f t="array" ref="D162">Common_InputFunctions.Utility_DisplayArrayInTable(Scope3_SourceData.Scope3_Feed_Data(), Table_SourceData_Scope3_MixedRations[[#Headers],[Category]], -66, 2)</f>
        <v>Mixed rations</v>
      </c>
      <c r="E162" s="20" t="str" cm="1">
        <f t="array" ref="E162">Common_InputFunctions.Utility_DisplayArrayInTable(Scope3_SourceData.Scope3_Feed_Data(), Table_SourceData_Scope3_MixedRations[[#Headers],[Category]], -66, 2)</f>
        <v>Feed for chickens</v>
      </c>
      <c r="F162" s="20" t="str" cm="1">
        <f t="array" ref="F162">Common_InputFunctions.Utility_DisplayArrayInTable(Scope3_SourceData.Scope3_Feed_Data(), Table_SourceData_Scope3_MixedRations[[#Headers],[Category]], -66, 2)</f>
        <v>Australia</v>
      </c>
      <c r="G162" s="20" t="str" cm="1">
        <f t="array" ref="G162">Common_InputFunctions.Utility_DisplayArrayInTable(Scope3_SourceData.Scope3_Feed_Data(), Table_SourceData_Scope3_MixedRations[[#Headers],[Category]], -66, 2)</f>
        <v>kg</v>
      </c>
      <c r="H162" s="20" cm="1">
        <f t="array" ref="H162">Common_InputFunctions.Utility_DisplayArrayInTable(Scope3_SourceData.Scope3_Feed_Data(), Table_SourceData_Scope3_MixedRations[[#Headers],[Category]], -66, 2)</f>
        <v>0.59399999999999997</v>
      </c>
      <c r="I162" s="20" t="str" cm="1">
        <f t="array" ref="I162">Common_InputFunctions.Utility_DisplayArrayInTable(Scope3_SourceData.Scope3_Feed_Data(), Table_SourceData_Scope3_MixedRations[[#Headers],[Category]], -66, 2)</f>
        <v>at market</v>
      </c>
      <c r="J162" s="20" t="s">
        <v>1190</v>
      </c>
    </row>
    <row r="163" spans="4:14" ht="20" customHeight="1" x14ac:dyDescent="0.25">
      <c r="D163" s="20" t="str" cm="1">
        <f t="array" ref="D163">Common_InputFunctions.Utility_DisplayArrayInTable(Scope3_SourceData.Scope3_Feed_Data(), Table_SourceData_Scope3_MixedRations[[#Headers],[Category]], -66, 2)</f>
        <v>Mixed rations</v>
      </c>
      <c r="E163" s="20" t="str" cm="1">
        <f t="array" ref="E163">Common_InputFunctions.Utility_DisplayArrayInTable(Scope3_SourceData.Scope3_Feed_Data(), Table_SourceData_Scope3_MixedRations[[#Headers],[Category]], -66, 2)</f>
        <v>Feed for dairy calves</v>
      </c>
      <c r="F163" s="20" t="str" cm="1">
        <f t="array" ref="F163">Common_InputFunctions.Utility_DisplayArrayInTable(Scope3_SourceData.Scope3_Feed_Data(), Table_SourceData_Scope3_MixedRations[[#Headers],[Category]], -66, 2)</f>
        <v>Australia</v>
      </c>
      <c r="G163" s="20" t="str" cm="1">
        <f t="array" ref="G163">Common_InputFunctions.Utility_DisplayArrayInTable(Scope3_SourceData.Scope3_Feed_Data(), Table_SourceData_Scope3_MixedRations[[#Headers],[Category]], -66, 2)</f>
        <v>kg</v>
      </c>
      <c r="H163" s="20" cm="1">
        <f t="array" ref="H163">Common_InputFunctions.Utility_DisplayArrayInTable(Scope3_SourceData.Scope3_Feed_Data(), Table_SourceData_Scope3_MixedRations[[#Headers],[Category]], -66, 2)</f>
        <v>0.41899999999999998</v>
      </c>
      <c r="I163" s="20" t="str" cm="1">
        <f t="array" ref="I163">Common_InputFunctions.Utility_DisplayArrayInTable(Scope3_SourceData.Scope3_Feed_Data(), Table_SourceData_Scope3_MixedRations[[#Headers],[Category]], -66, 2)</f>
        <v>at market</v>
      </c>
      <c r="J163" s="20" t="s">
        <v>1190</v>
      </c>
    </row>
    <row r="164" spans="4:14" ht="20" customHeight="1" x14ac:dyDescent="0.25">
      <c r="D164" s="20" t="str" cm="1">
        <f t="array" ref="D164">Common_InputFunctions.Utility_DisplayArrayInTable(Scope3_SourceData.Scope3_Feed_Data(), Table_SourceData_Scope3_MixedRations[[#Headers],[Category]], -66, 2)</f>
        <v>Mixed rations</v>
      </c>
      <c r="E164" s="20" t="str" cm="1">
        <f t="array" ref="E164">Common_InputFunctions.Utility_DisplayArrayInTable(Scope3_SourceData.Scope3_Feed_Data(), Table_SourceData_Scope3_MixedRations[[#Headers],[Category]], -66, 2)</f>
        <v>Feed for dairy cows</v>
      </c>
      <c r="F164" s="20" t="str" cm="1">
        <f t="array" ref="F164">Common_InputFunctions.Utility_DisplayArrayInTable(Scope3_SourceData.Scope3_Feed_Data(), Table_SourceData_Scope3_MixedRations[[#Headers],[Category]], -66, 2)</f>
        <v>Australia</v>
      </c>
      <c r="G164" s="20" t="str" cm="1">
        <f t="array" ref="G164">Common_InputFunctions.Utility_DisplayArrayInTable(Scope3_SourceData.Scope3_Feed_Data(), Table_SourceData_Scope3_MixedRations[[#Headers],[Category]], -66, 2)</f>
        <v>kg</v>
      </c>
      <c r="H164" s="20" cm="1">
        <f t="array" ref="H164">Common_InputFunctions.Utility_DisplayArrayInTable(Scope3_SourceData.Scope3_Feed_Data(), Table_SourceData_Scope3_MixedRations[[#Headers],[Category]], -66, 2)</f>
        <v>0.33300000000000002</v>
      </c>
      <c r="I164" s="20" t="str" cm="1">
        <f t="array" ref="I164">Common_InputFunctions.Utility_DisplayArrayInTable(Scope3_SourceData.Scope3_Feed_Data(), Table_SourceData_Scope3_MixedRations[[#Headers],[Category]], -66, 2)</f>
        <v>at market</v>
      </c>
      <c r="J164" s="20" t="s">
        <v>1190</v>
      </c>
    </row>
    <row r="165" spans="4:14" ht="20" customHeight="1" x14ac:dyDescent="0.25">
      <c r="D165" s="20" t="str" cm="1">
        <f t="array" ref="D165">Common_InputFunctions.Utility_DisplayArrayInTable(Scope3_SourceData.Scope3_Feed_Data(), Table_SourceData_Scope3_MixedRations[[#Headers],[Category]], -66, 2)</f>
        <v>Mixed rations</v>
      </c>
      <c r="E165" s="20" t="str" cm="1">
        <f t="array" ref="E165">Common_InputFunctions.Utility_DisplayArrayInTable(Scope3_SourceData.Scope3_Feed_Data(), Table_SourceData_Scope3_MixedRations[[#Headers],[Category]], -66, 2)</f>
        <v>Feed for pigs</v>
      </c>
      <c r="F165" s="20" t="str" cm="1">
        <f t="array" ref="F165">Common_InputFunctions.Utility_DisplayArrayInTable(Scope3_SourceData.Scope3_Feed_Data(), Table_SourceData_Scope3_MixedRations[[#Headers],[Category]], -66, 2)</f>
        <v>Australia</v>
      </c>
      <c r="G165" s="20" t="str" cm="1">
        <f t="array" ref="G165">Common_InputFunctions.Utility_DisplayArrayInTable(Scope3_SourceData.Scope3_Feed_Data(), Table_SourceData_Scope3_MixedRations[[#Headers],[Category]], -66, 2)</f>
        <v>kg</v>
      </c>
      <c r="H165" s="20" cm="1">
        <f t="array" ref="H165">Common_InputFunctions.Utility_DisplayArrayInTable(Scope3_SourceData.Scope3_Feed_Data(), Table_SourceData_Scope3_MixedRations[[#Headers],[Category]], -66, 2)</f>
        <v>0.40300000000000002</v>
      </c>
      <c r="I165" s="20" t="str" cm="1">
        <f t="array" ref="I165">Common_InputFunctions.Utility_DisplayArrayInTable(Scope3_SourceData.Scope3_Feed_Data(), Table_SourceData_Scope3_MixedRations[[#Headers],[Category]], -66, 2)</f>
        <v>at market</v>
      </c>
      <c r="J165" s="20" t="s">
        <v>1190</v>
      </c>
    </row>
    <row r="166" spans="4:14" ht="20" customHeight="1" x14ac:dyDescent="0.25"/>
    <row r="167" spans="4:14" ht="20" customHeight="1" x14ac:dyDescent="0.25">
      <c r="D167" s="20" t="s">
        <v>565</v>
      </c>
      <c r="E167" s="20" t="s">
        <v>139</v>
      </c>
      <c r="F167" s="20" t="s">
        <v>566</v>
      </c>
      <c r="G167" s="20" t="s">
        <v>567</v>
      </c>
      <c r="H167" s="20" t="s">
        <v>1189</v>
      </c>
      <c r="I167" s="20" t="s">
        <v>569</v>
      </c>
      <c r="J167" s="20" t="s">
        <v>728</v>
      </c>
    </row>
    <row r="168" spans="4:14" ht="20" customHeight="1" x14ac:dyDescent="0.25">
      <c r="D168" s="20" t="str" cm="1">
        <f t="array" ref="D168">Common_InputFunctions.Utility_DisplayArrayInTable(Scope3_SourceData.Scope3_Feed_Data(), Table_SourceData_Scope3_LickBlocks[[#Headers],[Category]], -73, 2)</f>
        <v>Other</v>
      </c>
      <c r="E168" s="20" t="str" cm="1">
        <f t="array" ref="E168">Common_InputFunctions.Utility_DisplayArrayInTable(Scope3_SourceData.Scope3_Feed_Data(), Table_SourceData_Scope3_LickBlocks[[#Headers],[Category]], -73, 2)</f>
        <v>Lick block, dry season mix</v>
      </c>
      <c r="F168" s="20" t="str" cm="1">
        <f t="array" ref="F168">Common_InputFunctions.Utility_DisplayArrayInTable(Scope3_SourceData.Scope3_Feed_Data(), Table_SourceData_Scope3_LickBlocks[[#Headers],[Category]], -73, 2)</f>
        <v>Australia</v>
      </c>
      <c r="G168" s="20" t="str" cm="1">
        <f t="array" ref="G168">Common_InputFunctions.Utility_DisplayArrayInTable(Scope3_SourceData.Scope3_Feed_Data(), Table_SourceData_Scope3_LickBlocks[[#Headers],[Category]], -73, 2)</f>
        <v>kg</v>
      </c>
      <c r="H168" s="20" cm="1">
        <f t="array" ref="H168">Common_InputFunctions.Utility_DisplayArrayInTable(Scope3_SourceData.Scope3_Feed_Data(), Table_SourceData_Scope3_LickBlocks[[#Headers],[Category]], -73, 2)</f>
        <v>0.88100000000000001</v>
      </c>
      <c r="I168" s="20" t="str" cm="1">
        <f t="array" ref="I168">Common_InputFunctions.Utility_DisplayArrayInTable(Scope3_SourceData.Scope3_Feed_Data(), Table_SourceData_Scope3_LickBlocks[[#Headers],[Category]], -73, 2)</f>
        <v>at market</v>
      </c>
      <c r="J168" s="20" t="s">
        <v>1190</v>
      </c>
    </row>
    <row r="169" spans="4:14" ht="20" customHeight="1" x14ac:dyDescent="0.25">
      <c r="D169" s="20" t="str" cm="1">
        <f t="array" ref="D169">Common_InputFunctions.Utility_DisplayArrayInTable(Scope3_SourceData.Scope3_Feed_Data(), Table_SourceData_Scope3_LickBlocks[[#Headers],[Category]], -73, 2)</f>
        <v>Other</v>
      </c>
      <c r="E169" s="20" t="str" cm="1">
        <f t="array" ref="E169">Common_InputFunctions.Utility_DisplayArrayInTable(Scope3_SourceData.Scope3_Feed_Data(), Table_SourceData_Scope3_LickBlocks[[#Headers],[Category]], -73, 2)</f>
        <v>Lick block, mineral</v>
      </c>
      <c r="F169" s="20" t="str" cm="1">
        <f t="array" ref="F169">Common_InputFunctions.Utility_DisplayArrayInTable(Scope3_SourceData.Scope3_Feed_Data(), Table_SourceData_Scope3_LickBlocks[[#Headers],[Category]], -73, 2)</f>
        <v>Australia</v>
      </c>
      <c r="G169" s="20" t="str" cm="1">
        <f t="array" ref="G169">Common_InputFunctions.Utility_DisplayArrayInTable(Scope3_SourceData.Scope3_Feed_Data(), Table_SourceData_Scope3_LickBlocks[[#Headers],[Category]], -73, 2)</f>
        <v>kg</v>
      </c>
      <c r="H169" s="20" cm="1">
        <f t="array" ref="H169">Common_InputFunctions.Utility_DisplayArrayInTable(Scope3_SourceData.Scope3_Feed_Data(), Table_SourceData_Scope3_LickBlocks[[#Headers],[Category]], -73, 2)</f>
        <v>0.67700000000000005</v>
      </c>
      <c r="I169" s="20" t="str" cm="1">
        <f t="array" ref="I169">Common_InputFunctions.Utility_DisplayArrayInTable(Scope3_SourceData.Scope3_Feed_Data(), Table_SourceData_Scope3_LickBlocks[[#Headers],[Category]], -73, 2)</f>
        <v>at market</v>
      </c>
      <c r="J169" s="20" t="s">
        <v>1190</v>
      </c>
    </row>
    <row r="170" spans="4:14" ht="20" customHeight="1" x14ac:dyDescent="0.25">
      <c r="D170" s="20" t="str" cm="1">
        <f t="array" ref="D170">Common_InputFunctions.Utility_DisplayArrayInTable(Scope3_SourceData.Scope3_Feed_Data(), Table_SourceData_Scope3_LickBlocks[[#Headers],[Category]], -73, 2)</f>
        <v>Other</v>
      </c>
      <c r="E170" s="20" t="str" cm="1">
        <f t="array" ref="E170">Common_InputFunctions.Utility_DisplayArrayInTable(Scope3_SourceData.Scope3_Feed_Data(), Table_SourceData_Scope3_LickBlocks[[#Headers],[Category]], -73, 2)</f>
        <v>Lick block, weaner</v>
      </c>
      <c r="F170" s="20" t="str" cm="1">
        <f t="array" ref="F170">Common_InputFunctions.Utility_DisplayArrayInTable(Scope3_SourceData.Scope3_Feed_Data(), Table_SourceData_Scope3_LickBlocks[[#Headers],[Category]], -73, 2)</f>
        <v>Australia</v>
      </c>
      <c r="G170" s="20" t="str" cm="1">
        <f t="array" ref="G170">Common_InputFunctions.Utility_DisplayArrayInTable(Scope3_SourceData.Scope3_Feed_Data(), Table_SourceData_Scope3_LickBlocks[[#Headers],[Category]], -73, 2)</f>
        <v>kg</v>
      </c>
      <c r="H170" s="20" cm="1">
        <f t="array" ref="H170">Common_InputFunctions.Utility_DisplayArrayInTable(Scope3_SourceData.Scope3_Feed_Data(), Table_SourceData_Scope3_LickBlocks[[#Headers],[Category]], -73, 2)</f>
        <v>0.23100000000000001</v>
      </c>
      <c r="I170" s="20" t="str" cm="1">
        <f t="array" ref="I170">Common_InputFunctions.Utility_DisplayArrayInTable(Scope3_SourceData.Scope3_Feed_Data(), Table_SourceData_Scope3_LickBlocks[[#Headers],[Category]], -73, 2)</f>
        <v>at market</v>
      </c>
      <c r="J170" s="20" t="s">
        <v>1190</v>
      </c>
    </row>
    <row r="171" spans="4:14" ht="20" customHeight="1" x14ac:dyDescent="0.25"/>
    <row r="172" spans="4:14" ht="20" customHeight="1" x14ac:dyDescent="0.25">
      <c r="D172" s="2" t="s">
        <v>1192</v>
      </c>
    </row>
    <row r="173" spans="4:14" ht="20" customHeight="1" x14ac:dyDescent="0.25">
      <c r="D173" s="20" t="s">
        <v>565</v>
      </c>
      <c r="E173" s="20" t="s">
        <v>139</v>
      </c>
      <c r="F173" s="20" t="s">
        <v>566</v>
      </c>
      <c r="G173" s="20" t="s">
        <v>698</v>
      </c>
      <c r="H173" s="20" t="s">
        <v>605</v>
      </c>
      <c r="I173" s="20" t="s">
        <v>606</v>
      </c>
      <c r="J173" s="20" t="s">
        <v>1193</v>
      </c>
      <c r="K173" s="20" t="s">
        <v>567</v>
      </c>
      <c r="L173" s="20" t="s">
        <v>1189</v>
      </c>
      <c r="M173" s="20" t="s">
        <v>569</v>
      </c>
      <c r="N173" s="20" t="s">
        <v>728</v>
      </c>
    </row>
    <row r="174" spans="4:14" ht="20" customHeight="1" x14ac:dyDescent="0.25">
      <c r="D174" s="20" t="str" cm="1">
        <f t="array" ref="D174">Common_InputFunctions.Utility_DisplayArrayInTable(Scope3_SourceData.Scope3_InorganicFertilisers_Data(), Table_SourceData_Scope3_InorganicFertiliser[[#Headers],[Category]], 0, 2)</f>
        <v>Inorganic fertilisers</v>
      </c>
      <c r="E174" s="20" t="str" cm="1">
        <f t="array" ref="E174">Common_InputFunctions.Utility_DisplayArrayInTable(Scope3_SourceData.Scope3_InorganicFertilisers_Data(), Table_SourceData_Scope3_InorganicFertiliser[[#Headers],[Category]], 0, 2)</f>
        <v>Ammonia, AU market mix</v>
      </c>
      <c r="F174" s="20" t="str" cm="1">
        <f t="array" ref="F174">Common_InputFunctions.Utility_DisplayArrayInTable(Scope3_SourceData.Scope3_InorganicFertilisers_Data(), Table_SourceData_Scope3_InorganicFertiliser[[#Headers],[Category]], 0, 2)</f>
        <v>Global</v>
      </c>
      <c r="G174" s="20" t="str">
        <f>'Constants - Fertiliser'!$D$37</f>
        <v>Ammonia</v>
      </c>
      <c r="H174" s="20"/>
      <c r="I174" s="20" t="str">
        <f>'Constants - Fertiliser'!$V$20</f>
        <v>Global</v>
      </c>
      <c r="J174" s="20"/>
      <c r="K174" s="20" t="str" cm="1">
        <f t="array" ref="K174">Common_InputFunctions.Utility_DisplayArrayInTable(Scope3_SourceData.Scope3_InorganicFertilisers_Data(), Table_SourceData_Scope3_InorganicFertiliser[[#Headers],[Category]], 0, -2)</f>
        <v>kg</v>
      </c>
      <c r="L174" s="20" cm="1">
        <f t="array" ref="L174">Common_InputFunctions.Utility_DisplayArrayInTable(Scope3_SourceData.Scope3_InorganicFertilisers_Data(), Table_SourceData_Scope3_InorganicFertiliser[[#Headers],[Category]], 0, -2)</f>
        <v>2.3199999999999998</v>
      </c>
      <c r="M174" s="20" t="str" cm="1">
        <f t="array" ref="M174">Common_InputFunctions.Utility_DisplayArrayInTable(Scope3_SourceData.Scope3_InorganicFertilisers_Data(), Table_SourceData_Scope3_InorganicFertiliser[[#Headers],[Category]], 0, -2)</f>
        <v>at market</v>
      </c>
      <c r="N174" s="20" t="s">
        <v>1190</v>
      </c>
    </row>
    <row r="175" spans="4:14" ht="20" customHeight="1" x14ac:dyDescent="0.25">
      <c r="D175" s="20" t="str" cm="1">
        <f t="array" ref="D175">Common_InputFunctions.Utility_DisplayArrayInTable(Scope3_SourceData.Scope3_InorganicFertilisers_Data(), Table_SourceData_Scope3_InorganicFertiliser[[#Headers],[Category]], 0, 2)</f>
        <v>Inorganic fertilisers</v>
      </c>
      <c r="E175" s="20" t="str" cm="1">
        <f t="array" ref="E175">Common_InputFunctions.Utility_DisplayArrayInTable(Scope3_SourceData.Scope3_InorganicFertilisers_Data(), Table_SourceData_Scope3_InorganicFertiliser[[#Headers],[Category]], 0, 2)</f>
        <v>Ammonia, Canada</v>
      </c>
      <c r="F175" s="20" t="str" cm="1">
        <f t="array" ref="F175">Common_InputFunctions.Utility_DisplayArrayInTable(Scope3_SourceData.Scope3_InorganicFertilisers_Data(), Table_SourceData_Scope3_InorganicFertiliser[[#Headers],[Category]], 0, 2)</f>
        <v>Canada</v>
      </c>
      <c r="G175" s="20" t="str">
        <f>'Constants - Fertiliser'!$D$37</f>
        <v>Ammonia</v>
      </c>
      <c r="H175" s="20"/>
      <c r="I175" s="20" t="str">
        <f>'Constants - Fertiliser'!$V$21</f>
        <v>Canada</v>
      </c>
      <c r="J175" s="20"/>
      <c r="K175" s="20" t="str" cm="1">
        <f t="array" ref="K175">Common_InputFunctions.Utility_DisplayArrayInTable(Scope3_SourceData.Scope3_InorganicFertilisers_Data(), Table_SourceData_Scope3_InorganicFertiliser[[#Headers],[Category]], 0, -2)</f>
        <v>kg</v>
      </c>
      <c r="L175" s="20" cm="1">
        <f t="array" ref="L175">Common_InputFunctions.Utility_DisplayArrayInTable(Scope3_SourceData.Scope3_InorganicFertilisers_Data(), Table_SourceData_Scope3_InorganicFertiliser[[#Headers],[Category]], 0, -2)</f>
        <v>2.12</v>
      </c>
      <c r="M175" s="20" t="str" cm="1">
        <f t="array" ref="M175">Common_InputFunctions.Utility_DisplayArrayInTable(Scope3_SourceData.Scope3_InorganicFertilisers_Data(), Table_SourceData_Scope3_InorganicFertiliser[[#Headers],[Category]], 0, -2)</f>
        <v>at market</v>
      </c>
      <c r="N175" s="20" t="s">
        <v>1190</v>
      </c>
    </row>
    <row r="176" spans="4:14" ht="20" customHeight="1" x14ac:dyDescent="0.25">
      <c r="D176" s="20" t="str" cm="1">
        <f t="array" ref="D176">Common_InputFunctions.Utility_DisplayArrayInTable(Scope3_SourceData.Scope3_InorganicFertilisers_Data(), Table_SourceData_Scope3_InorganicFertiliser[[#Headers],[Category]], 0, 2)</f>
        <v>Inorganic fertilisers</v>
      </c>
      <c r="E176" s="20" t="str" cm="1">
        <f t="array" ref="E176">Common_InputFunctions.Utility_DisplayArrayInTable(Scope3_SourceData.Scope3_InorganicFertilisers_Data(), Table_SourceData_Scope3_InorganicFertiliser[[#Headers],[Category]], 0, 2)</f>
        <v>Ammonia, China</v>
      </c>
      <c r="F176" s="20" t="str" cm="1">
        <f t="array" ref="F176">Common_InputFunctions.Utility_DisplayArrayInTable(Scope3_SourceData.Scope3_InorganicFertilisers_Data(), Table_SourceData_Scope3_InorganicFertiliser[[#Headers],[Category]], 0, 2)</f>
        <v>China</v>
      </c>
      <c r="G176" s="20" t="str">
        <f>'Constants - Fertiliser'!$D$37</f>
        <v>Ammonia</v>
      </c>
      <c r="H176" s="20"/>
      <c r="I176" s="20" t="str">
        <f>'Constants - Fertiliser'!$V$22</f>
        <v>China</v>
      </c>
      <c r="J176" s="20"/>
      <c r="K176" s="20" t="str" cm="1">
        <f t="array" ref="K176">Common_InputFunctions.Utility_DisplayArrayInTable(Scope3_SourceData.Scope3_InorganicFertilisers_Data(), Table_SourceData_Scope3_InorganicFertiliser[[#Headers],[Category]], 0, -2)</f>
        <v>kg</v>
      </c>
      <c r="L176" s="20" cm="1">
        <f t="array" ref="L176">Common_InputFunctions.Utility_DisplayArrayInTable(Scope3_SourceData.Scope3_InorganicFertilisers_Data(), Table_SourceData_Scope3_InorganicFertiliser[[#Headers],[Category]], 0, -2)</f>
        <v>4.17</v>
      </c>
      <c r="M176" s="20" t="str" cm="1">
        <f t="array" ref="M176">Common_InputFunctions.Utility_DisplayArrayInTable(Scope3_SourceData.Scope3_InorganicFertilisers_Data(), Table_SourceData_Scope3_InorganicFertiliser[[#Headers],[Category]], 0, -2)</f>
        <v>at market</v>
      </c>
      <c r="N176" s="20" t="s">
        <v>1190</v>
      </c>
    </row>
    <row r="177" spans="4:14" ht="20" customHeight="1" x14ac:dyDescent="0.25">
      <c r="D177" s="20" t="str" cm="1">
        <f t="array" ref="D177">Common_InputFunctions.Utility_DisplayArrayInTable(Scope3_SourceData.Scope3_InorganicFertilisers_Data(), Table_SourceData_Scope3_InorganicFertiliser[[#Headers],[Category]], 0, 2)</f>
        <v>Inorganic fertilisers</v>
      </c>
      <c r="E177" s="20" t="str" cm="1">
        <f t="array" ref="E177">Common_InputFunctions.Utility_DisplayArrayInTable(Scope3_SourceData.Scope3_InorganicFertilisers_Data(), Table_SourceData_Scope3_InorganicFertiliser[[#Headers],[Category]], 0, 2)</f>
        <v>Ammonia, Yemen</v>
      </c>
      <c r="F177" s="20" t="str" cm="1">
        <f t="array" ref="F177">Common_InputFunctions.Utility_DisplayArrayInTable(Scope3_SourceData.Scope3_InorganicFertilisers_Data(), Table_SourceData_Scope3_InorganicFertiliser[[#Headers],[Category]], 0, 2)</f>
        <v>Yemen</v>
      </c>
      <c r="G177" s="20" t="str">
        <f>'Constants - Fertiliser'!$D$37</f>
        <v>Ammonia</v>
      </c>
      <c r="H177" s="20"/>
      <c r="I177" s="20" t="str">
        <f>'Constants - Fertiliser'!$V$23</f>
        <v>Yemen</v>
      </c>
      <c r="J177" s="20"/>
      <c r="K177" s="20" t="str" cm="1">
        <f t="array" ref="K177">Common_InputFunctions.Utility_DisplayArrayInTable(Scope3_SourceData.Scope3_InorganicFertilisers_Data(), Table_SourceData_Scope3_InorganicFertiliser[[#Headers],[Category]], 0, -2)</f>
        <v>kg</v>
      </c>
      <c r="L177" s="20" cm="1">
        <f t="array" ref="L177">Common_InputFunctions.Utility_DisplayArrayInTable(Scope3_SourceData.Scope3_InorganicFertilisers_Data(), Table_SourceData_Scope3_InorganicFertiliser[[#Headers],[Category]], 0, -2)</f>
        <v>2.2599999999999998</v>
      </c>
      <c r="M177" s="20" t="str" cm="1">
        <f t="array" ref="M177">Common_InputFunctions.Utility_DisplayArrayInTable(Scope3_SourceData.Scope3_InorganicFertilisers_Data(), Table_SourceData_Scope3_InorganicFertiliser[[#Headers],[Category]], 0, -2)</f>
        <v>at market</v>
      </c>
      <c r="N177" s="20" t="s">
        <v>1190</v>
      </c>
    </row>
    <row r="178" spans="4:14" ht="20" customHeight="1" x14ac:dyDescent="0.25">
      <c r="D178" s="20" t="str" cm="1">
        <f t="array" ref="D178">Common_InputFunctions.Utility_DisplayArrayInTable(Scope3_SourceData.Scope3_InorganicFertilisers_Data(), Table_SourceData_Scope3_InorganicFertiliser[[#Headers],[Category]], 0, 2)</f>
        <v>Inorganic fertilisers</v>
      </c>
      <c r="E178" s="20" t="str" cm="1">
        <f t="array" ref="E178">Common_InputFunctions.Utility_DisplayArrayInTable(Scope3_SourceData.Scope3_InorganicFertilisers_Data(), Table_SourceData_Scope3_InorganicFertiliser[[#Headers],[Category]], 0, 2)</f>
        <v>Ammonium nitrate, AU market mix</v>
      </c>
      <c r="F178" s="20" t="str" cm="1">
        <f t="array" ref="F178">Common_InputFunctions.Utility_DisplayArrayInTable(Scope3_SourceData.Scope3_InorganicFertilisers_Data(), Table_SourceData_Scope3_InorganicFertiliser[[#Headers],[Category]], 0, 2)</f>
        <v>Global</v>
      </c>
      <c r="G178" s="20" t="str">
        <f>'Constants - Fertiliser'!$D$25</f>
        <v>Ammonium nitrate (AN)</v>
      </c>
      <c r="H178" s="20"/>
      <c r="I178" s="20"/>
      <c r="J178" s="20"/>
      <c r="K178" s="20" t="str" cm="1">
        <f t="array" ref="K178">Common_InputFunctions.Utility_DisplayArrayInTable(Scope3_SourceData.Scope3_InorganicFertilisers_Data(), Table_SourceData_Scope3_InorganicFertiliser[[#Headers],[Category]], 0, -2)</f>
        <v>kg</v>
      </c>
      <c r="L178" s="20" cm="1">
        <f t="array" ref="L178">Common_InputFunctions.Utility_DisplayArrayInTable(Scope3_SourceData.Scope3_InorganicFertilisers_Data(), Table_SourceData_Scope3_InorganicFertiliser[[#Headers],[Category]], 0, -2)</f>
        <v>2.21</v>
      </c>
      <c r="M178" s="20" t="str" cm="1">
        <f t="array" ref="M178">Common_InputFunctions.Utility_DisplayArrayInTable(Scope3_SourceData.Scope3_InorganicFertilisers_Data(), Table_SourceData_Scope3_InorganicFertiliser[[#Headers],[Category]], 0, -2)</f>
        <v>at market</v>
      </c>
      <c r="N178" s="20" t="s">
        <v>1190</v>
      </c>
    </row>
    <row r="179" spans="4:14" ht="20" customHeight="1" x14ac:dyDescent="0.25">
      <c r="D179" s="20" t="str" cm="1">
        <f t="array" ref="D179">Common_InputFunctions.Utility_DisplayArrayInTable(Scope3_SourceData.Scope3_InorganicFertilisers_Data(), Table_SourceData_Scope3_InorganicFertiliser[[#Headers],[Category]], 0, 2)</f>
        <v>Inorganic fertilisers</v>
      </c>
      <c r="E179" s="20" t="str" cm="1">
        <f t="array" ref="E179">Common_InputFunctions.Utility_DisplayArrayInTable(Scope3_SourceData.Scope3_InorganicFertilisers_Data(), Table_SourceData_Scope3_InorganicFertiliser[[#Headers],[Category]], 0, 2)</f>
        <v>Calcium ammonium nitrate, AU market mix</v>
      </c>
      <c r="F179" s="20" t="str" cm="1">
        <f t="array" ref="F179">Common_InputFunctions.Utility_DisplayArrayInTable(Scope3_SourceData.Scope3_InorganicFertilisers_Data(), Table_SourceData_Scope3_InorganicFertiliser[[#Headers],[Category]], 0, 2)</f>
        <v>Global</v>
      </c>
      <c r="G179" s="20" t="str">
        <f>'Constants - Fertiliser'!$D$26</f>
        <v>Calcium ammonium nitrate (CAN)</v>
      </c>
      <c r="H179" s="20"/>
      <c r="I179" s="20"/>
      <c r="J179" s="20"/>
      <c r="K179" s="20" t="str" cm="1">
        <f t="array" ref="K179">Common_InputFunctions.Utility_DisplayArrayInTable(Scope3_SourceData.Scope3_InorganicFertilisers_Data(), Table_SourceData_Scope3_InorganicFertiliser[[#Headers],[Category]], 0, -2)</f>
        <v>kg</v>
      </c>
      <c r="L179" s="20" cm="1">
        <f t="array" ref="L179">Common_InputFunctions.Utility_DisplayArrayInTable(Scope3_SourceData.Scope3_InorganicFertilisers_Data(), Table_SourceData_Scope3_InorganicFertiliser[[#Headers],[Category]], 0, -2)</f>
        <v>1.1499999999999999</v>
      </c>
      <c r="M179" s="20" t="str" cm="1">
        <f t="array" ref="M179">Common_InputFunctions.Utility_DisplayArrayInTable(Scope3_SourceData.Scope3_InorganicFertilisers_Data(), Table_SourceData_Scope3_InorganicFertiliser[[#Headers],[Category]], 0, -2)</f>
        <v>at market</v>
      </c>
      <c r="N179" s="20" t="s">
        <v>1190</v>
      </c>
    </row>
    <row r="180" spans="4:14" ht="20" customHeight="1" x14ac:dyDescent="0.25">
      <c r="D180" s="20" t="str" cm="1">
        <f t="array" ref="D180">Common_InputFunctions.Utility_DisplayArrayInTable(Scope3_SourceData.Scope3_InorganicFertilisers_Data(), Table_SourceData_Scope3_InorganicFertiliser[[#Headers],[Category]], 0, 2)</f>
        <v>Inorganic fertilisers</v>
      </c>
      <c r="E180" s="20" t="str" cm="1">
        <f t="array" ref="E180">Common_InputFunctions.Utility_DisplayArrayInTable(Scope3_SourceData.Scope3_InorganicFertilisers_Data(), Table_SourceData_Scope3_InorganicFertiliser[[#Headers],[Category]], 0, 2)</f>
        <v>Calcium nitrate</v>
      </c>
      <c r="F180" s="20" t="str" cm="1">
        <f t="array" ref="F180">Common_InputFunctions.Utility_DisplayArrayInTable(Scope3_SourceData.Scope3_InorganicFertilisers_Data(), Table_SourceData_Scope3_InorganicFertiliser[[#Headers],[Category]], 0, 2)</f>
        <v>Global</v>
      </c>
      <c r="G180" s="20" t="str">
        <f>'Constants - Fertiliser'!$D$38</f>
        <v>Calcium nitrate</v>
      </c>
      <c r="H180" s="20"/>
      <c r="I180" s="20"/>
      <c r="J180" s="20"/>
      <c r="K180" s="20" t="str" cm="1">
        <f t="array" ref="K180">Common_InputFunctions.Utility_DisplayArrayInTable(Scope3_SourceData.Scope3_InorganicFertilisers_Data(), Table_SourceData_Scope3_InorganicFertiliser[[#Headers],[Category]], 0, -2)</f>
        <v>kg</v>
      </c>
      <c r="L180" s="20" cm="1">
        <f t="array" ref="L180">Common_InputFunctions.Utility_DisplayArrayInTable(Scope3_SourceData.Scope3_InorganicFertilisers_Data(), Table_SourceData_Scope3_InorganicFertiliser[[#Headers],[Category]], 0, -2)</f>
        <v>0.75</v>
      </c>
      <c r="M180" s="20" t="str" cm="1">
        <f t="array" ref="M180">Common_InputFunctions.Utility_DisplayArrayInTable(Scope3_SourceData.Scope3_InorganicFertilisers_Data(), Table_SourceData_Scope3_InorganicFertiliser[[#Headers],[Category]], 0, -2)</f>
        <v>at market</v>
      </c>
      <c r="N180" s="20" t="s">
        <v>1190</v>
      </c>
    </row>
    <row r="181" spans="4:14" ht="20" customHeight="1" x14ac:dyDescent="0.25">
      <c r="D181" s="20" t="str" cm="1">
        <f t="array" ref="D181">Common_InputFunctions.Utility_DisplayArrayInTable(Scope3_SourceData.Scope3_InorganicFertilisers_Data(), Table_SourceData_Scope3_InorganicFertiliser[[#Headers],[Category]], 0, 2)</f>
        <v>Inorganic fertilisers</v>
      </c>
      <c r="E181" s="20" t="str" cm="1">
        <f t="array" ref="E181">Common_InputFunctions.Utility_DisplayArrayInTable(Scope3_SourceData.Scope3_InorganicFertilisers_Data(), Table_SourceData_Scope3_InorganicFertiliser[[#Headers],[Category]], 0, 2)</f>
        <v>Diammonium phosphate, AU market mix</v>
      </c>
      <c r="F181" s="20" t="str" cm="1">
        <f t="array" ref="F181">Common_InputFunctions.Utility_DisplayArrayInTable(Scope3_SourceData.Scope3_InorganicFertilisers_Data(), Table_SourceData_Scope3_InorganicFertiliser[[#Headers],[Category]], 0, 2)</f>
        <v>Global</v>
      </c>
      <c r="G181" s="20" t="str">
        <f>'Constants - Fertiliser'!$D$21</f>
        <v>Diammonium phosphate (DAP)</v>
      </c>
      <c r="H181" s="20"/>
      <c r="I181" s="20"/>
      <c r="J181" s="20"/>
      <c r="K181" s="20" t="str" cm="1">
        <f t="array" ref="K181">Common_InputFunctions.Utility_DisplayArrayInTable(Scope3_SourceData.Scope3_InorganicFertilisers_Data(), Table_SourceData_Scope3_InorganicFertiliser[[#Headers],[Category]], 0, -2)</f>
        <v>kg</v>
      </c>
      <c r="L181" s="20" cm="1">
        <f t="array" ref="L181">Common_InputFunctions.Utility_DisplayArrayInTable(Scope3_SourceData.Scope3_InorganicFertilisers_Data(), Table_SourceData_Scope3_InorganicFertiliser[[#Headers],[Category]], 0, -2)</f>
        <v>1.34</v>
      </c>
      <c r="M181" s="20" t="str" cm="1">
        <f t="array" ref="M181">Common_InputFunctions.Utility_DisplayArrayInTable(Scope3_SourceData.Scope3_InorganicFertilisers_Data(), Table_SourceData_Scope3_InorganicFertiliser[[#Headers],[Category]], 0, -2)</f>
        <v>at market</v>
      </c>
      <c r="N181" s="20" t="s">
        <v>1190</v>
      </c>
    </row>
    <row r="182" spans="4:14" ht="20" customHeight="1" x14ac:dyDescent="0.25">
      <c r="D182" s="20" t="str" cm="1">
        <f t="array" ref="D182">Common_InputFunctions.Utility_DisplayArrayInTable(Scope3_SourceData.Scope3_InorganicFertilisers_Data(), Table_SourceData_Scope3_InorganicFertiliser[[#Headers],[Category]], 0, 2)</f>
        <v>Inorganic fertilisers</v>
      </c>
      <c r="E182" s="20" t="str" cm="1">
        <f t="array" ref="E182">Common_InputFunctions.Utility_DisplayArrayInTable(Scope3_SourceData.Scope3_InorganicFertilisers_Data(), Table_SourceData_Scope3_InorganicFertiliser[[#Headers],[Category]], 0, 2)</f>
        <v>Double superphosphate, AU market mix</v>
      </c>
      <c r="F182" s="20" t="str" cm="1">
        <f t="array" ref="F182">Common_InputFunctions.Utility_DisplayArrayInTable(Scope3_SourceData.Scope3_InorganicFertilisers_Data(), Table_SourceData_Scope3_InorganicFertiliser[[#Headers],[Category]], 0, 2)</f>
        <v>Global</v>
      </c>
      <c r="G182" s="20" t="str">
        <f>'Constants - Fertiliser'!$D$35</f>
        <v>Double superphosphate</v>
      </c>
      <c r="H182" s="20"/>
      <c r="I182" s="20"/>
      <c r="J182" s="20"/>
      <c r="K182" s="20" t="str" cm="1">
        <f t="array" ref="K182">Common_InputFunctions.Utility_DisplayArrayInTable(Scope3_SourceData.Scope3_InorganicFertilisers_Data(), Table_SourceData_Scope3_InorganicFertiliser[[#Headers],[Category]], 0, -2)</f>
        <v>kg</v>
      </c>
      <c r="L182" s="20" cm="1">
        <f t="array" ref="L182">Common_InputFunctions.Utility_DisplayArrayInTable(Scope3_SourceData.Scope3_InorganicFertilisers_Data(), Table_SourceData_Scope3_InorganicFertiliser[[#Headers],[Category]], 0, -2)</f>
        <v>0.39200000000000002</v>
      </c>
      <c r="M182" s="20" t="str" cm="1">
        <f t="array" ref="M182">Common_InputFunctions.Utility_DisplayArrayInTable(Scope3_SourceData.Scope3_InorganicFertilisers_Data(), Table_SourceData_Scope3_InorganicFertiliser[[#Headers],[Category]], 0, -2)</f>
        <v>at market</v>
      </c>
      <c r="N182" s="20" t="s">
        <v>1190</v>
      </c>
    </row>
    <row r="183" spans="4:14" ht="20" customHeight="1" x14ac:dyDescent="0.25">
      <c r="D183" s="20" t="str" cm="1">
        <f t="array" ref="D183">Common_InputFunctions.Utility_DisplayArrayInTable(Scope3_SourceData.Scope3_InorganicFertilisers_Data(), Table_SourceData_Scope3_InorganicFertiliser[[#Headers],[Category]], 0, 2)</f>
        <v>Inorganic fertilisers</v>
      </c>
      <c r="E183" s="20" t="str" cm="1">
        <f t="array" ref="E183">Common_InputFunctions.Utility_DisplayArrayInTable(Scope3_SourceData.Scope3_InorganicFertilisers_Data(), Table_SourceData_Scope3_InorganicFertiliser[[#Headers],[Category]], 0, 2)</f>
        <v>Monoammonium phosphate, AU market mix</v>
      </c>
      <c r="F183" s="20" t="str" cm="1">
        <f t="array" ref="F183">Common_InputFunctions.Utility_DisplayArrayInTable(Scope3_SourceData.Scope3_InorganicFertilisers_Data(), Table_SourceData_Scope3_InorganicFertiliser[[#Headers],[Category]], 0, 2)</f>
        <v>Global</v>
      </c>
      <c r="G183" s="20" t="str">
        <f>'Constants - Fertiliser'!$D$20</f>
        <v>Monoammonium phosphate (MAP)</v>
      </c>
      <c r="H183" s="20"/>
      <c r="I183" s="20"/>
      <c r="J183" s="20"/>
      <c r="K183" s="20" t="str" cm="1">
        <f t="array" ref="K183">Common_InputFunctions.Utility_DisplayArrayInTable(Scope3_SourceData.Scope3_InorganicFertilisers_Data(), Table_SourceData_Scope3_InorganicFertiliser[[#Headers],[Category]], 0, -2)</f>
        <v>kg</v>
      </c>
      <c r="L183" s="20" cm="1">
        <f t="array" ref="L183">Common_InputFunctions.Utility_DisplayArrayInTable(Scope3_SourceData.Scope3_InorganicFertilisers_Data(), Table_SourceData_Scope3_InorganicFertiliser[[#Headers],[Category]], 0, -2)</f>
        <v>0.82699999999999996</v>
      </c>
      <c r="M183" s="20" t="str" cm="1">
        <f t="array" ref="M183">Common_InputFunctions.Utility_DisplayArrayInTable(Scope3_SourceData.Scope3_InorganicFertilisers_Data(), Table_SourceData_Scope3_InorganicFertiliser[[#Headers],[Category]], 0, -2)</f>
        <v>at market</v>
      </c>
      <c r="N183" s="20" t="s">
        <v>1190</v>
      </c>
    </row>
    <row r="184" spans="4:14" ht="20" customHeight="1" x14ac:dyDescent="0.25">
      <c r="D184" s="20" t="str" cm="1">
        <f t="array" ref="D184">Common_InputFunctions.Utility_DisplayArrayInTable(Scope3_SourceData.Scope3_InorganicFertilisers_Data(), Table_SourceData_Scope3_InorganicFertiliser[[#Headers],[Category]], 0, 2)</f>
        <v>Inorganic fertilisers</v>
      </c>
      <c r="E184" s="20" t="str" cm="1">
        <f t="array" ref="E184">Common_InputFunctions.Utility_DisplayArrayInTable(Scope3_SourceData.Scope3_InorganicFertilisers_Data(), Table_SourceData_Scope3_InorganicFertiliser[[#Headers],[Category]], 0, 2)</f>
        <v>Muriate of potash, AU market mix</v>
      </c>
      <c r="F184" s="20" t="str" cm="1">
        <f t="array" ref="F184">Common_InputFunctions.Utility_DisplayArrayInTable(Scope3_SourceData.Scope3_InorganicFertilisers_Data(), Table_SourceData_Scope3_InorganicFertiliser[[#Headers],[Category]], 0, 2)</f>
        <v>Global</v>
      </c>
      <c r="G184" s="20" t="str">
        <f>'Constants - Fertiliser'!$D$34</f>
        <v>Muriate of potash (MOP)</v>
      </c>
      <c r="H184" s="20"/>
      <c r="I184" s="20"/>
      <c r="J184" s="20"/>
      <c r="K184" s="20" t="str" cm="1">
        <f t="array" ref="K184">Common_InputFunctions.Utility_DisplayArrayInTable(Scope3_SourceData.Scope3_InorganicFertilisers_Data(), Table_SourceData_Scope3_InorganicFertiliser[[#Headers],[Category]], 0, -2)</f>
        <v>kg</v>
      </c>
      <c r="L184" s="20" cm="1">
        <f t="array" ref="L184">Common_InputFunctions.Utility_DisplayArrayInTable(Scope3_SourceData.Scope3_InorganicFertilisers_Data(), Table_SourceData_Scope3_InorganicFertiliser[[#Headers],[Category]], 0, -2)</f>
        <v>0.54900000000000004</v>
      </c>
      <c r="M184" s="20" t="str" cm="1">
        <f t="array" ref="M184">Common_InputFunctions.Utility_DisplayArrayInTable(Scope3_SourceData.Scope3_InorganicFertilisers_Data(), Table_SourceData_Scope3_InorganicFertiliser[[#Headers],[Category]], 0, -2)</f>
        <v>at market</v>
      </c>
      <c r="N184" s="20" t="s">
        <v>1190</v>
      </c>
    </row>
    <row r="185" spans="4:14" ht="20" customHeight="1" x14ac:dyDescent="0.25">
      <c r="D185" s="20" t="str" cm="1">
        <f t="array" ref="D185">Common_InputFunctions.Utility_DisplayArrayInTable(Scope3_SourceData.Scope3_InorganicFertilisers_Data(), Table_SourceData_Scope3_InorganicFertiliser[[#Headers],[Category]], 0, 2)</f>
        <v>Inorganic fertilisers</v>
      </c>
      <c r="E185" s="20" t="str" cm="1">
        <f t="array" ref="E185">Common_InputFunctions.Utility_DisplayArrayInTable(Scope3_SourceData.Scope3_InorganicFertilisers_Data(), Table_SourceData_Scope3_InorganicFertiliser[[#Headers],[Category]], 0, 2)</f>
        <v>Nitrogen from ammonia, AU market mix</v>
      </c>
      <c r="F185" s="20" t="str" cm="1">
        <f t="array" ref="F185">Common_InputFunctions.Utility_DisplayArrayInTable(Scope3_SourceData.Scope3_InorganicFertilisers_Data(), Table_SourceData_Scope3_InorganicFertiliser[[#Headers],[Category]], 0, 2)</f>
        <v>Global</v>
      </c>
      <c r="G185" s="20" t="str">
        <f>'Constants - Fertiliser'!$D$27</f>
        <v>Nitrogen - Ammoniacal</v>
      </c>
      <c r="H185" s="20"/>
      <c r="I185" s="20"/>
      <c r="J185" s="20"/>
      <c r="K185" s="20" t="str" cm="1">
        <f t="array" ref="K185">Common_InputFunctions.Utility_DisplayArrayInTable(Scope3_SourceData.Scope3_InorganicFertilisers_Data(), Table_SourceData_Scope3_InorganicFertiliser[[#Headers],[Category]], 0, -2)</f>
        <v>kg N</v>
      </c>
      <c r="L185" s="20" cm="1">
        <f t="array" ref="L185">Common_InputFunctions.Utility_DisplayArrayInTable(Scope3_SourceData.Scope3_InorganicFertilisers_Data(), Table_SourceData_Scope3_InorganicFertiliser[[#Headers],[Category]], 0, -2)</f>
        <v>2.83</v>
      </c>
      <c r="M185" s="20" t="str" cm="1">
        <f t="array" ref="M185">Common_InputFunctions.Utility_DisplayArrayInTable(Scope3_SourceData.Scope3_InorganicFertilisers_Data(), Table_SourceData_Scope3_InorganicFertiliser[[#Headers],[Category]], 0, -2)</f>
        <v>at market</v>
      </c>
      <c r="N185" s="20" t="s">
        <v>1190</v>
      </c>
    </row>
    <row r="186" spans="4:14" ht="20" customHeight="1" x14ac:dyDescent="0.25">
      <c r="D186" s="20" t="str" cm="1">
        <f t="array" ref="D186">Common_InputFunctions.Utility_DisplayArrayInTable(Scope3_SourceData.Scope3_InorganicFertilisers_Data(), Table_SourceData_Scope3_InorganicFertiliser[[#Headers],[Category]], 0, 2)</f>
        <v>Inorganic fertilisers</v>
      </c>
      <c r="E186" s="20" t="str" cm="1">
        <f t="array" ref="E186">Common_InputFunctions.Utility_DisplayArrayInTable(Scope3_SourceData.Scope3_InorganicFertilisers_Data(), Table_SourceData_Scope3_InorganicFertiliser[[#Headers],[Category]], 0, 2)</f>
        <v>Nitrogen from fertilizer, AU market mix</v>
      </c>
      <c r="F186" s="20" t="str" cm="1">
        <f t="array" ref="F186">Common_InputFunctions.Utility_DisplayArrayInTable(Scope3_SourceData.Scope3_InorganicFertilisers_Data(), Table_SourceData_Scope3_InorganicFertiliser[[#Headers],[Category]], 0, 2)</f>
        <v>Global</v>
      </c>
      <c r="G186" s="20" t="str">
        <f>'Constants - Fertiliser'!$D$29</f>
        <v>Nitrogen - Generic</v>
      </c>
      <c r="H186" s="20"/>
      <c r="I186" s="20"/>
      <c r="J186" s="20"/>
      <c r="K186" s="20" t="str" cm="1">
        <f t="array" ref="K186">Common_InputFunctions.Utility_DisplayArrayInTable(Scope3_SourceData.Scope3_InorganicFertilisers_Data(), Table_SourceData_Scope3_InorganicFertiliser[[#Headers],[Category]], 0, -2)</f>
        <v>kg N</v>
      </c>
      <c r="L186" s="20" cm="1">
        <f t="array" ref="L186">Common_InputFunctions.Utility_DisplayArrayInTable(Scope3_SourceData.Scope3_InorganicFertilisers_Data(), Table_SourceData_Scope3_InorganicFertiliser[[#Headers],[Category]], 0, -2)</f>
        <v>4.2</v>
      </c>
      <c r="M186" s="20" t="str" cm="1">
        <f t="array" ref="M186">Common_InputFunctions.Utility_DisplayArrayInTable(Scope3_SourceData.Scope3_InorganicFertilisers_Data(), Table_SourceData_Scope3_InorganicFertiliser[[#Headers],[Category]], 0, -2)</f>
        <v>at market</v>
      </c>
      <c r="N186" s="20" t="s">
        <v>1190</v>
      </c>
    </row>
    <row r="187" spans="4:14" ht="20" customHeight="1" x14ac:dyDescent="0.25">
      <c r="D187" s="20" t="str" cm="1">
        <f t="array" ref="D187">Common_InputFunctions.Utility_DisplayArrayInTable(Scope3_SourceData.Scope3_InorganicFertilisers_Data(), Table_SourceData_Scope3_InorganicFertiliser[[#Headers],[Category]], 0, 2)</f>
        <v>Inorganic fertilisers</v>
      </c>
      <c r="E187" s="20" t="str" cm="1">
        <f t="array" ref="E187">Common_InputFunctions.Utility_DisplayArrayInTable(Scope3_SourceData.Scope3_InorganicFertilisers_Data(), Table_SourceData_Scope3_InorganicFertiliser[[#Headers],[Category]], 0, 2)</f>
        <v>Nitrogen from nitrate fertilizer, AU market mix</v>
      </c>
      <c r="F187" s="20" t="str" cm="1">
        <f t="array" ref="F187">Common_InputFunctions.Utility_DisplayArrayInTable(Scope3_SourceData.Scope3_InorganicFertilisers_Data(), Table_SourceData_Scope3_InorganicFertiliser[[#Headers],[Category]], 0, 2)</f>
        <v>Global</v>
      </c>
      <c r="G187" s="20" t="str">
        <f>'Constants - Fertiliser'!$D$28</f>
        <v>Nitrogen - Nitrate</v>
      </c>
      <c r="H187" s="20"/>
      <c r="I187" s="20"/>
      <c r="J187" s="20"/>
      <c r="K187" s="20" t="str" cm="1">
        <f t="array" ref="K187">Common_InputFunctions.Utility_DisplayArrayInTable(Scope3_SourceData.Scope3_InorganicFertilisers_Data(), Table_SourceData_Scope3_InorganicFertiliser[[#Headers],[Category]], 0, -2)</f>
        <v>kg N</v>
      </c>
      <c r="L187" s="20" cm="1">
        <f t="array" ref="L187">Common_InputFunctions.Utility_DisplayArrayInTable(Scope3_SourceData.Scope3_InorganicFertilisers_Data(), Table_SourceData_Scope3_InorganicFertiliser[[#Headers],[Category]], 0, -2)</f>
        <v>5.47</v>
      </c>
      <c r="M187" s="20" t="str" cm="1">
        <f t="array" ref="M187">Common_InputFunctions.Utility_DisplayArrayInTable(Scope3_SourceData.Scope3_InorganicFertilisers_Data(), Table_SourceData_Scope3_InorganicFertiliser[[#Headers],[Category]], 0, -2)</f>
        <v>at market</v>
      </c>
      <c r="N187" s="20" t="s">
        <v>1190</v>
      </c>
    </row>
    <row r="188" spans="4:14" ht="20" customHeight="1" x14ac:dyDescent="0.25">
      <c r="D188" s="20" t="str" cm="1">
        <f t="array" ref="D188">Common_InputFunctions.Utility_DisplayArrayInTable(Scope3_SourceData.Scope3_InorganicFertilisers_Data(), Table_SourceData_Scope3_InorganicFertiliser[[#Headers],[Category]], 0, 2)</f>
        <v>Inorganic fertilisers</v>
      </c>
      <c r="E188" s="20" t="str" cm="1">
        <f t="array" ref="E188">Common_InputFunctions.Utility_DisplayArrayInTable(Scope3_SourceData.Scope3_InorganicFertilisers_Data(), Table_SourceData_Scope3_InorganicFertiliser[[#Headers],[Category]], 0, 2)</f>
        <v>Phosphorus from fertilizer, AU market mix</v>
      </c>
      <c r="F188" s="20" t="str" cm="1">
        <f t="array" ref="F188">Common_InputFunctions.Utility_DisplayArrayInTable(Scope3_SourceData.Scope3_InorganicFertilisers_Data(), Table_SourceData_Scope3_InorganicFertiliser[[#Headers],[Category]], 0, 2)</f>
        <v>Global</v>
      </c>
      <c r="G188" s="20" t="str">
        <f>'Constants - Fertiliser'!$D$30</f>
        <v>Phosphorus - Generic</v>
      </c>
      <c r="H188" s="20"/>
      <c r="I188" s="20"/>
      <c r="J188" s="20"/>
      <c r="K188" s="20" t="str" cm="1">
        <f t="array" ref="K188">Common_InputFunctions.Utility_DisplayArrayInTable(Scope3_SourceData.Scope3_InorganicFertilisers_Data(), Table_SourceData_Scope3_InorganicFertiliser[[#Headers],[Category]], 0, -2)</f>
        <v>kg P</v>
      </c>
      <c r="L188" s="20" cm="1">
        <f t="array" ref="L188">Common_InputFunctions.Utility_DisplayArrayInTable(Scope3_SourceData.Scope3_InorganicFertilisers_Data(), Table_SourceData_Scope3_InorganicFertiliser[[#Headers],[Category]], 0, -2)</f>
        <v>3.96</v>
      </c>
      <c r="M188" s="20" t="str" cm="1">
        <f t="array" ref="M188">Common_InputFunctions.Utility_DisplayArrayInTable(Scope3_SourceData.Scope3_InorganicFertilisers_Data(), Table_SourceData_Scope3_InorganicFertiliser[[#Headers],[Category]], 0, -2)</f>
        <v>at market</v>
      </c>
      <c r="N188" s="20" t="s">
        <v>1190</v>
      </c>
    </row>
    <row r="189" spans="4:14" ht="20" customHeight="1" x14ac:dyDescent="0.25">
      <c r="D189" s="20" t="str" cm="1">
        <f t="array" ref="D189">Common_InputFunctions.Utility_DisplayArrayInTable(Scope3_SourceData.Scope3_InorganicFertilisers_Data(), Table_SourceData_Scope3_InorganicFertiliser[[#Headers],[Category]], 0, 2)</f>
        <v>Inorganic fertilisers</v>
      </c>
      <c r="E189" s="20" t="str" cm="1">
        <f t="array" ref="E189">Common_InputFunctions.Utility_DisplayArrayInTable(Scope3_SourceData.Scope3_InorganicFertilisers_Data(), Table_SourceData_Scope3_InorganicFertiliser[[#Headers],[Category]], 0, 2)</f>
        <v>Potassium from fertilizer, AU market mix</v>
      </c>
      <c r="F189" s="20" t="str" cm="1">
        <f t="array" ref="F189">Common_InputFunctions.Utility_DisplayArrayInTable(Scope3_SourceData.Scope3_InorganicFertilisers_Data(), Table_SourceData_Scope3_InorganicFertiliser[[#Headers],[Category]], 0, 2)</f>
        <v>Global</v>
      </c>
      <c r="G189" s="20" t="str">
        <f>'Constants - Fertiliser'!$D$31</f>
        <v>Potassium - Generic</v>
      </c>
      <c r="H189" s="20"/>
      <c r="I189" s="20"/>
      <c r="J189" s="20"/>
      <c r="K189" s="20" t="str" cm="1">
        <f t="array" ref="K189">Common_InputFunctions.Utility_DisplayArrayInTable(Scope3_SourceData.Scope3_InorganicFertilisers_Data(), Table_SourceData_Scope3_InorganicFertiliser[[#Headers],[Category]], 0, -2)</f>
        <v>kg K</v>
      </c>
      <c r="L189" s="20" cm="1">
        <f t="array" ref="L189">Common_InputFunctions.Utility_DisplayArrayInTable(Scope3_SourceData.Scope3_InorganicFertilisers_Data(), Table_SourceData_Scope3_InorganicFertiliser[[#Headers],[Category]], 0, -2)</f>
        <v>0.90900000000000003</v>
      </c>
      <c r="M189" s="20" t="str" cm="1">
        <f t="array" ref="M189">Common_InputFunctions.Utility_DisplayArrayInTable(Scope3_SourceData.Scope3_InorganicFertilisers_Data(), Table_SourceData_Scope3_InorganicFertiliser[[#Headers],[Category]], 0, -2)</f>
        <v>at market</v>
      </c>
      <c r="N189" s="20" t="s">
        <v>1190</v>
      </c>
    </row>
    <row r="190" spans="4:14" ht="20" customHeight="1" x14ac:dyDescent="0.25">
      <c r="D190" s="20" t="str" cm="1">
        <f t="array" ref="D190">Common_InputFunctions.Utility_DisplayArrayInTable(Scope3_SourceData.Scope3_InorganicFertilisers_Data(), Table_SourceData_Scope3_InorganicFertiliser[[#Headers],[Category]], 0, 2)</f>
        <v>Inorganic fertilisers</v>
      </c>
      <c r="E190" s="20" t="str" cm="1">
        <f t="array" ref="E190">Common_InputFunctions.Utility_DisplayArrayInTable(Scope3_SourceData.Scope3_InorganicFertilisers_Data(), Table_SourceData_Scope3_InorganicFertiliser[[#Headers],[Category]], 0, 2)</f>
        <v>Single superphosphate, AU market mix</v>
      </c>
      <c r="F190" s="20" t="str" cm="1">
        <f t="array" ref="F190">Common_InputFunctions.Utility_DisplayArrayInTable(Scope3_SourceData.Scope3_InorganicFertilisers_Data(), Table_SourceData_Scope3_InorganicFertiliser[[#Headers],[Category]], 0, 2)</f>
        <v>Global</v>
      </c>
      <c r="G190" s="20" t="str">
        <f>'Constants - Fertiliser'!$D$36</f>
        <v>Single superphosphate (SSP)</v>
      </c>
      <c r="H190" s="20"/>
      <c r="I190" s="20"/>
      <c r="J190" s="20"/>
      <c r="K190" s="20" t="str" cm="1">
        <f t="array" ref="K190">Common_InputFunctions.Utility_DisplayArrayInTable(Scope3_SourceData.Scope3_InorganicFertilisers_Data(), Table_SourceData_Scope3_InorganicFertiliser[[#Headers],[Category]], 0, -2)</f>
        <v>kg</v>
      </c>
      <c r="L190" s="20" cm="1">
        <f t="array" ref="L190">Common_InputFunctions.Utility_DisplayArrayInTable(Scope3_SourceData.Scope3_InorganicFertilisers_Data(), Table_SourceData_Scope3_InorganicFertiliser[[#Headers],[Category]], 0, -2)</f>
        <v>0.22700000000000001</v>
      </c>
      <c r="M190" s="20" t="str" cm="1">
        <f t="array" ref="M190">Common_InputFunctions.Utility_DisplayArrayInTable(Scope3_SourceData.Scope3_InorganicFertilisers_Data(), Table_SourceData_Scope3_InorganicFertiliser[[#Headers],[Category]], 0, -2)</f>
        <v>at market</v>
      </c>
      <c r="N190" s="20" t="s">
        <v>1190</v>
      </c>
    </row>
    <row r="191" spans="4:14" ht="20" customHeight="1" x14ac:dyDescent="0.25">
      <c r="D191" s="20" t="str" cm="1">
        <f t="array" ref="D191">Common_InputFunctions.Utility_DisplayArrayInTable(Scope3_SourceData.Scope3_InorganicFertilisers_Data(), Table_SourceData_Scope3_InorganicFertiliser[[#Headers],[Category]], 0, 2)</f>
        <v>Inorganic fertilisers</v>
      </c>
      <c r="E191" s="20" t="str" cm="1">
        <f t="array" ref="E191">Common_InputFunctions.Utility_DisplayArrayInTable(Scope3_SourceData.Scope3_InorganicFertilisers_Data(), Table_SourceData_Scope3_InorganicFertiliser[[#Headers],[Category]], 0, 2)</f>
        <v>Sulfur from fertilizer, AU market mix</v>
      </c>
      <c r="F191" s="20" t="str" cm="1">
        <f t="array" ref="F191">Common_InputFunctions.Utility_DisplayArrayInTable(Scope3_SourceData.Scope3_InorganicFertilisers_Data(), Table_SourceData_Scope3_InorganicFertiliser[[#Headers],[Category]], 0, 2)</f>
        <v>Global</v>
      </c>
      <c r="G191" s="20" t="str">
        <f>'Constants - Fertiliser'!$D$32</f>
        <v>Sulfur - Generic</v>
      </c>
      <c r="H191" s="20"/>
      <c r="I191" s="20"/>
      <c r="J191" s="20"/>
      <c r="K191" s="20" t="str" cm="1">
        <f t="array" ref="K191">Common_InputFunctions.Utility_DisplayArrayInTable(Scope3_SourceData.Scope3_InorganicFertilisers_Data(), Table_SourceData_Scope3_InorganicFertiliser[[#Headers],[Category]], 0, -2)</f>
        <v>kg S</v>
      </c>
      <c r="L191" s="20" cm="1">
        <f t="array" ref="L191">Common_InputFunctions.Utility_DisplayArrayInTable(Scope3_SourceData.Scope3_InorganicFertilisers_Data(), Table_SourceData_Scope3_InorganicFertiliser[[#Headers],[Category]], 0, -2)</f>
        <v>2.5</v>
      </c>
      <c r="M191" s="20" t="str" cm="1">
        <f t="array" ref="M191">Common_InputFunctions.Utility_DisplayArrayInTable(Scope3_SourceData.Scope3_InorganicFertilisers_Data(), Table_SourceData_Scope3_InorganicFertiliser[[#Headers],[Category]], 0, -2)</f>
        <v>at market</v>
      </c>
      <c r="N191" s="20" t="s">
        <v>1190</v>
      </c>
    </row>
    <row r="192" spans="4:14" ht="20" customHeight="1" x14ac:dyDescent="0.25">
      <c r="D192" s="20" t="str" cm="1">
        <f t="array" ref="D192">Common_InputFunctions.Utility_DisplayArrayInTable(Scope3_SourceData.Scope3_InorganicFertilisers_Data(), Table_SourceData_Scope3_InorganicFertiliser[[#Headers],[Category]], 0, 2)</f>
        <v>Inorganic fertilisers</v>
      </c>
      <c r="E192" s="20" t="str" cm="1">
        <f t="array" ref="E192">Common_InputFunctions.Utility_DisplayArrayInTable(Scope3_SourceData.Scope3_InorganicFertilisers_Data(), Table_SourceData_Scope3_InorganicFertiliser[[#Headers],[Category]], 0, 2)</f>
        <v>Ammonium sulphate, AU market mix</v>
      </c>
      <c r="F192" s="20" t="str" cm="1">
        <f t="array" ref="F192">Common_InputFunctions.Utility_DisplayArrayInTable(Scope3_SourceData.Scope3_InorganicFertilisers_Data(), Table_SourceData_Scope3_InorganicFertiliser[[#Headers],[Category]], 0, 2)</f>
        <v>Global</v>
      </c>
      <c r="G192" s="20" t="str">
        <f>'Constants - Fertiliser'!$D$23</f>
        <v>Sulphate of ammonia (SOA)</v>
      </c>
      <c r="H192" s="20"/>
      <c r="I192" s="20"/>
      <c r="J192" s="20"/>
      <c r="K192" s="20" t="str" cm="1">
        <f t="array" ref="K192">Common_InputFunctions.Utility_DisplayArrayInTable(Scope3_SourceData.Scope3_InorganicFertilisers_Data(), Table_SourceData_Scope3_InorganicFertiliser[[#Headers],[Category]], 0, -2)</f>
        <v>kg</v>
      </c>
      <c r="L192" s="20" cm="1">
        <f t="array" ref="L192">Common_InputFunctions.Utility_DisplayArrayInTable(Scope3_SourceData.Scope3_InorganicFertilisers_Data(), Table_SourceData_Scope3_InorganicFertiliser[[#Headers],[Category]], 0, -2)</f>
        <v>0.86499999999999999</v>
      </c>
      <c r="M192" s="20" t="str" cm="1">
        <f t="array" ref="M192">Common_InputFunctions.Utility_DisplayArrayInTable(Scope3_SourceData.Scope3_InorganicFertilisers_Data(), Table_SourceData_Scope3_InorganicFertiliser[[#Headers],[Category]], 0, -2)</f>
        <v>at market</v>
      </c>
      <c r="N192" s="20" t="s">
        <v>1190</v>
      </c>
    </row>
    <row r="193" spans="4:14" ht="20" customHeight="1" x14ac:dyDescent="0.25">
      <c r="D193" s="20" t="str" cm="1">
        <f t="array" ref="D193">Common_InputFunctions.Utility_DisplayArrayInTable(Scope3_SourceData.Scope3_InorganicFertilisers_Data(), Table_SourceData_Scope3_InorganicFertiliser[[#Headers],[Category]], 0, 2)</f>
        <v>Inorganic fertilisers</v>
      </c>
      <c r="E193" s="20" t="str" cm="1">
        <f t="array" ref="E193">Common_InputFunctions.Utility_DisplayArrayInTable(Scope3_SourceData.Scope3_InorganicFertilisers_Data(), Table_SourceData_Scope3_InorganicFertiliser[[#Headers],[Category]], 0, 2)</f>
        <v>Urea ammonium nitrate, AU market mix</v>
      </c>
      <c r="F193" s="20" t="str" cm="1">
        <f t="array" ref="F193">Common_InputFunctions.Utility_DisplayArrayInTable(Scope3_SourceData.Scope3_InorganicFertilisers_Data(), Table_SourceData_Scope3_InorganicFertiliser[[#Headers],[Category]], 0, 2)</f>
        <v>Global</v>
      </c>
      <c r="G193" s="20" t="str">
        <f>'Constants - Fertiliser'!$D$24</f>
        <v>Urea-ammonium nitrate (UAN)</v>
      </c>
      <c r="H193" s="20"/>
      <c r="I193" s="20"/>
      <c r="J193" s="20"/>
      <c r="K193" s="20" t="str" cm="1">
        <f t="array" ref="K193">Common_InputFunctions.Utility_DisplayArrayInTable(Scope3_SourceData.Scope3_InorganicFertilisers_Data(), Table_SourceData_Scope3_InorganicFertiliser[[#Headers],[Category]], 0, -2)</f>
        <v>kg</v>
      </c>
      <c r="L193" s="20" cm="1">
        <f t="array" ref="L193">Common_InputFunctions.Utility_DisplayArrayInTable(Scope3_SourceData.Scope3_InorganicFertilisers_Data(), Table_SourceData_Scope3_InorganicFertiliser[[#Headers],[Category]], 0, -2)</f>
        <v>1.75</v>
      </c>
      <c r="M193" s="20" t="str" cm="1">
        <f t="array" ref="M193">Common_InputFunctions.Utility_DisplayArrayInTable(Scope3_SourceData.Scope3_InorganicFertilisers_Data(), Table_SourceData_Scope3_InorganicFertiliser[[#Headers],[Category]], 0, -2)</f>
        <v>at market</v>
      </c>
      <c r="N193" s="20" t="s">
        <v>1190</v>
      </c>
    </row>
    <row r="194" spans="4:14" ht="20" customHeight="1" x14ac:dyDescent="0.25">
      <c r="D194" s="20" t="str" cm="1">
        <f t="array" ref="D194">Common_InputFunctions.Utility_DisplayArrayInTable(Scope3_SourceData.Scope3_InorganicFertilisers_Data(), Table_SourceData_Scope3_InorganicFertiliser[[#Headers],[Category]], 0, 2)</f>
        <v>Inorganic fertilisers</v>
      </c>
      <c r="E194" s="20" t="str" cm="1">
        <f t="array" ref="E194">Common_InputFunctions.Utility_DisplayArrayInTable(Scope3_SourceData.Scope3_InorganicFertilisers_Data(), Table_SourceData_Scope3_InorganicFertiliser[[#Headers],[Category]], 0, 2)</f>
        <v>Urea, AU market mix</v>
      </c>
      <c r="F194" s="20" t="str" cm="1">
        <f t="array" ref="F194">Common_InputFunctions.Utility_DisplayArrayInTable(Scope3_SourceData.Scope3_InorganicFertilisers_Data(), Table_SourceData_Scope3_InorganicFertiliser[[#Headers],[Category]], 0, 2)</f>
        <v>Global</v>
      </c>
      <c r="G194" s="20" t="str">
        <f>'Constants - Fertiliser'!$D$22</f>
        <v>Urea</v>
      </c>
      <c r="H194" s="20" t="str">
        <f>'Constants - Fertiliser'!$V$20</f>
        <v>Global</v>
      </c>
      <c r="I194" s="20"/>
      <c r="J194" s="20"/>
      <c r="K194" s="20" t="str" cm="1">
        <f t="array" ref="K194">Common_InputFunctions.Utility_DisplayArrayInTable(Scope3_SourceData.Scope3_InorganicFertilisers_Data(), Table_SourceData_Scope3_InorganicFertiliser[[#Headers],[Category]], 0, -2)</f>
        <v>kg</v>
      </c>
      <c r="L194" s="20" cm="1">
        <f t="array" ref="L194">Common_InputFunctions.Utility_DisplayArrayInTable(Scope3_SourceData.Scope3_InorganicFertilisers_Data(), Table_SourceData_Scope3_InorganicFertiliser[[#Headers],[Category]], 0, -2)</f>
        <v>0.96799999999999997</v>
      </c>
      <c r="M194" s="20" t="str" cm="1">
        <f t="array" ref="M194">Common_InputFunctions.Utility_DisplayArrayInTable(Scope3_SourceData.Scope3_InorganicFertilisers_Data(), Table_SourceData_Scope3_InorganicFertiliser[[#Headers],[Category]], 0, -2)</f>
        <v>at market</v>
      </c>
      <c r="N194" s="20" t="s">
        <v>1190</v>
      </c>
    </row>
    <row r="195" spans="4:14" ht="20" customHeight="1" x14ac:dyDescent="0.25">
      <c r="D195" s="20" t="str" cm="1">
        <f t="array" ref="D195">Common_InputFunctions.Utility_DisplayArrayInTable(Scope3_SourceData.Scope3_InorganicFertilisers_Data(), Table_SourceData_Scope3_InorganicFertiliser[[#Headers],[Category]], 0, 2)</f>
        <v>Inorganic fertilisers</v>
      </c>
      <c r="E195" s="20" t="str" cm="1">
        <f t="array" ref="E195">Common_InputFunctions.Utility_DisplayArrayInTable(Scope3_SourceData.Scope3_InorganicFertilisers_Data(), Table_SourceData_Scope3_InorganicFertiliser[[#Headers],[Category]], 0, 2)</f>
        <v>Urea, Canada</v>
      </c>
      <c r="F195" s="20" t="str" cm="1">
        <f t="array" ref="F195">Common_InputFunctions.Utility_DisplayArrayInTable(Scope3_SourceData.Scope3_InorganicFertilisers_Data(), Table_SourceData_Scope3_InorganicFertiliser[[#Headers],[Category]], 0, 2)</f>
        <v>Canada</v>
      </c>
      <c r="G195" s="20" t="str">
        <f>'Constants - Fertiliser'!$D$22</f>
        <v>Urea</v>
      </c>
      <c r="H195" s="20" t="str">
        <f>'Constants - Fertiliser'!$V$21</f>
        <v>Canada</v>
      </c>
      <c r="I195" s="20"/>
      <c r="J195" s="20"/>
      <c r="K195" s="20" t="str" cm="1">
        <f t="array" ref="K195">Common_InputFunctions.Utility_DisplayArrayInTable(Scope3_SourceData.Scope3_InorganicFertilisers_Data(), Table_SourceData_Scope3_InorganicFertiliser[[#Headers],[Category]], 0, -2)</f>
        <v>kg</v>
      </c>
      <c r="L195" s="20" cm="1">
        <f t="array" ref="L195">Common_InputFunctions.Utility_DisplayArrayInTable(Scope3_SourceData.Scope3_InorganicFertilisers_Data(), Table_SourceData_Scope3_InorganicFertiliser[[#Headers],[Category]], 0, -2)</f>
        <v>0.82299999999999995</v>
      </c>
      <c r="M195" s="20" t="str" cm="1">
        <f t="array" ref="M195">Common_InputFunctions.Utility_DisplayArrayInTable(Scope3_SourceData.Scope3_InorganicFertilisers_Data(), Table_SourceData_Scope3_InorganicFertiliser[[#Headers],[Category]], 0, -2)</f>
        <v>at market</v>
      </c>
      <c r="N195" s="20" t="s">
        <v>1190</v>
      </c>
    </row>
    <row r="196" spans="4:14" ht="20" customHeight="1" x14ac:dyDescent="0.25">
      <c r="D196" s="20" t="str" cm="1">
        <f t="array" ref="D196">Common_InputFunctions.Utility_DisplayArrayInTable(Scope3_SourceData.Scope3_InorganicFertilisers_Data(), Table_SourceData_Scope3_InorganicFertiliser[[#Headers],[Category]], 0, 2)</f>
        <v>Inorganic fertilisers</v>
      </c>
      <c r="E196" s="20" t="str" cm="1">
        <f t="array" ref="E196">Common_InputFunctions.Utility_DisplayArrayInTable(Scope3_SourceData.Scope3_InorganicFertilisers_Data(), Table_SourceData_Scope3_InorganicFertiliser[[#Headers],[Category]], 0, 2)</f>
        <v>Urea, China</v>
      </c>
      <c r="F196" s="20" t="str" cm="1">
        <f t="array" ref="F196">Common_InputFunctions.Utility_DisplayArrayInTable(Scope3_SourceData.Scope3_InorganicFertilisers_Data(), Table_SourceData_Scope3_InorganicFertiliser[[#Headers],[Category]], 0, 2)</f>
        <v>China</v>
      </c>
      <c r="G196" s="20" t="str">
        <f>'Constants - Fertiliser'!$D$22</f>
        <v>Urea</v>
      </c>
      <c r="H196" s="20" t="str">
        <f>'Constants - Fertiliser'!$V$22</f>
        <v>China</v>
      </c>
      <c r="I196" s="20"/>
      <c r="J196" s="20"/>
      <c r="K196" s="20" t="str" cm="1">
        <f t="array" ref="K196">Common_InputFunctions.Utility_DisplayArrayInTable(Scope3_SourceData.Scope3_InorganicFertilisers_Data(), Table_SourceData_Scope3_InorganicFertiliser[[#Headers],[Category]], 0, -2)</f>
        <v>kg</v>
      </c>
      <c r="L196" s="20" cm="1">
        <f t="array" ref="L196">Common_InputFunctions.Utility_DisplayArrayInTable(Scope3_SourceData.Scope3_InorganicFertilisers_Data(), Table_SourceData_Scope3_InorganicFertiliser[[#Headers],[Category]], 0, -2)</f>
        <v>2.09</v>
      </c>
      <c r="M196" s="20" t="str" cm="1">
        <f t="array" ref="M196">Common_InputFunctions.Utility_DisplayArrayInTable(Scope3_SourceData.Scope3_InorganicFertilisers_Data(), Table_SourceData_Scope3_InorganicFertiliser[[#Headers],[Category]], 0, -2)</f>
        <v>at market</v>
      </c>
      <c r="N196" s="20" t="s">
        <v>1190</v>
      </c>
    </row>
    <row r="197" spans="4:14" ht="20" customHeight="1" x14ac:dyDescent="0.25">
      <c r="D197" s="20" t="str" cm="1">
        <f t="array" ref="D197">Common_InputFunctions.Utility_DisplayArrayInTable(Scope3_SourceData.Scope3_InorganicFertilisers_Data(), Table_SourceData_Scope3_InorganicFertiliser[[#Headers],[Category]], 0, 2)</f>
        <v>Inorganic fertilisers</v>
      </c>
      <c r="E197" s="20" t="str" cm="1">
        <f t="array" ref="E197">Common_InputFunctions.Utility_DisplayArrayInTable(Scope3_SourceData.Scope3_InorganicFertilisers_Data(), Table_SourceData_Scope3_InorganicFertiliser[[#Headers],[Category]], 0, 2)</f>
        <v>Urea, Yemen</v>
      </c>
      <c r="F197" s="20" t="str" cm="1">
        <f t="array" ref="F197">Common_InputFunctions.Utility_DisplayArrayInTable(Scope3_SourceData.Scope3_InorganicFertilisers_Data(), Table_SourceData_Scope3_InorganicFertiliser[[#Headers],[Category]], 0, 2)</f>
        <v>Yemen</v>
      </c>
      <c r="G197" s="20" t="str">
        <f>'Constants - Fertiliser'!$D$22</f>
        <v>Urea</v>
      </c>
      <c r="H197" s="20" t="str">
        <f>'Constants - Fertiliser'!$V$23</f>
        <v>Yemen</v>
      </c>
      <c r="I197" s="20"/>
      <c r="J197" s="20"/>
      <c r="K197" s="20" t="str" cm="1">
        <f t="array" ref="K197">Common_InputFunctions.Utility_DisplayArrayInTable(Scope3_SourceData.Scope3_InorganicFertilisers_Data(), Table_SourceData_Scope3_InorganicFertiliser[[#Headers],[Category]], 0, -2)</f>
        <v>kg</v>
      </c>
      <c r="L197" s="20" cm="1">
        <f t="array" ref="L197">Common_InputFunctions.Utility_DisplayArrayInTable(Scope3_SourceData.Scope3_InorganicFertilisers_Data(), Table_SourceData_Scope3_InorganicFertiliser[[#Headers],[Category]], 0, -2)</f>
        <v>0.96299999999999997</v>
      </c>
      <c r="M197" s="20" t="str" cm="1">
        <f t="array" ref="M197">Common_InputFunctions.Utility_DisplayArrayInTable(Scope3_SourceData.Scope3_InorganicFertilisers_Data(), Table_SourceData_Scope3_InorganicFertiliser[[#Headers],[Category]], 0, -2)</f>
        <v>at market</v>
      </c>
      <c r="N197" s="20" t="s">
        <v>1190</v>
      </c>
    </row>
    <row r="198" spans="4:14" ht="20" customHeight="1" x14ac:dyDescent="0.25">
      <c r="D198" s="20" t="str" cm="1">
        <f t="array" ref="D198">Common_InputFunctions.Utility_DisplayArrayInTable(Scope3_SourceData.Scope3_InorganicFertilisers_Data(), Table_SourceData_Scope3_InorganicFertiliser[[#Headers],[Category]], 0, 2)</f>
        <v>Inorganic fertilisers</v>
      </c>
      <c r="E198" s="20" t="str" cm="1">
        <f t="array" ref="E198">Common_InputFunctions.Utility_DisplayArrayInTable(Scope3_SourceData.Scope3_InorganicFertilisers_Data(), Table_SourceData_Scope3_InorganicFertiliser[[#Headers],[Category]], 0, 2)</f>
        <v>Zinc from fertilizer</v>
      </c>
      <c r="F198" s="20" t="str" cm="1">
        <f t="array" ref="F198">Common_InputFunctions.Utility_DisplayArrayInTable(Scope3_SourceData.Scope3_InorganicFertilisers_Data(), Table_SourceData_Scope3_InorganicFertiliser[[#Headers],[Category]], 0, 2)</f>
        <v>Global</v>
      </c>
      <c r="G198" s="20" t="str">
        <f>'Constants - Fertiliser'!$D$33</f>
        <v>Zinc - Generic</v>
      </c>
      <c r="H198" s="20"/>
      <c r="I198" s="20"/>
      <c r="J198" s="20"/>
      <c r="K198" s="20" t="str" cm="1">
        <f t="array" ref="K198">Common_InputFunctions.Utility_DisplayArrayInTable(Scope3_SourceData.Scope3_InorganicFertilisers_Data(), Table_SourceData_Scope3_InorganicFertiliser[[#Headers],[Category]], 0, -2)</f>
        <v>kg Zn</v>
      </c>
      <c r="L198" s="20" cm="1">
        <f t="array" ref="L198">Common_InputFunctions.Utility_DisplayArrayInTable(Scope3_SourceData.Scope3_InorganicFertilisers_Data(), Table_SourceData_Scope3_InorganicFertiliser[[#Headers],[Category]], 0, -2)</f>
        <v>4.82</v>
      </c>
      <c r="M198" s="20" t="str" cm="1">
        <f t="array" ref="M198">Common_InputFunctions.Utility_DisplayArrayInTable(Scope3_SourceData.Scope3_InorganicFertilisers_Data(), Table_SourceData_Scope3_InorganicFertiliser[[#Headers],[Category]], 0, -2)</f>
        <v>at market</v>
      </c>
      <c r="N198" s="20" t="s">
        <v>1190</v>
      </c>
    </row>
    <row r="199" spans="4:14" ht="20" customHeight="1" x14ac:dyDescent="0.25"/>
    <row r="200" spans="4:14" ht="20" customHeight="1" x14ac:dyDescent="0.25">
      <c r="D200" s="2" t="s">
        <v>1194</v>
      </c>
    </row>
    <row r="201" spans="4:14" ht="20" customHeight="1" x14ac:dyDescent="0.25">
      <c r="D201" s="20" t="s">
        <v>565</v>
      </c>
      <c r="E201" s="20" t="s">
        <v>139</v>
      </c>
      <c r="F201" s="20" t="s">
        <v>566</v>
      </c>
      <c r="G201" s="20" t="s">
        <v>567</v>
      </c>
      <c r="H201" s="20" t="s">
        <v>1189</v>
      </c>
      <c r="I201" s="20" t="s">
        <v>569</v>
      </c>
      <c r="J201" s="20" t="s">
        <v>728</v>
      </c>
    </row>
    <row r="202" spans="4:14" ht="20" customHeight="1" x14ac:dyDescent="0.25">
      <c r="D202" s="20" t="str" cm="1">
        <f t="array" ref="D202">Common_InputFunctions.Utility_DisplayArrayInTable(Scope3_SourceData.Scope3_Other_Data(), Table_SourceData_Scope3_Other[[#Headers],[Category]], 0, 2)</f>
        <v>Other</v>
      </c>
      <c r="E202" s="20" t="str" cm="1">
        <f t="array" ref="E202">Common_InputFunctions.Utility_DisplayArrayInTable(Scope3_SourceData.Scope3_Other_Data(), Table_SourceData_Scope3_Other[[#Headers],[Category]], 0, 2)</f>
        <v>Animal ear tags (large)</v>
      </c>
      <c r="F202" s="20" t="str" cm="1">
        <f t="array" ref="F202">Common_InputFunctions.Utility_DisplayArrayInTable(Scope3_SourceData.Scope3_Other_Data(), Table_SourceData_Scope3_Other[[#Headers],[Category]], 0, 2)</f>
        <v>Australia</v>
      </c>
      <c r="G202" s="20" t="str" cm="1">
        <f t="array" ref="G202">Common_InputFunctions.Utility_DisplayArrayInTable(Scope3_SourceData.Scope3_Other_Data(), Table_SourceData_Scope3_Other[[#Headers],[Category]], 0, 2)</f>
        <v>p</v>
      </c>
      <c r="H202" s="20" cm="1">
        <f t="array" ref="H202">Common_InputFunctions.Utility_DisplayArrayInTable(Scope3_SourceData.Scope3_Other_Data(), Table_SourceData_Scope3_Other[[#Headers],[Category]], 0, 2)</f>
        <v>4.24E-2</v>
      </c>
      <c r="I202" s="20" t="str" cm="1">
        <f t="array" ref="I202">Common_InputFunctions.Utility_DisplayArrayInTable(Scope3_SourceData.Scope3_Other_Data(), Table_SourceData_Scope3_Other[[#Headers],[Category]], 0, 2)</f>
        <v>at market</v>
      </c>
      <c r="J202" s="20" t="s">
        <v>1190</v>
      </c>
    </row>
    <row r="203" spans="4:14" ht="20" customHeight="1" x14ac:dyDescent="0.25">
      <c r="D203" s="20" t="str" cm="1">
        <f t="array" ref="D203">Common_InputFunctions.Utility_DisplayArrayInTable(Scope3_SourceData.Scope3_Other_Data(), Table_SourceData_Scope3_Other[[#Headers],[Category]], 0, 2)</f>
        <v>Other</v>
      </c>
      <c r="E203" s="20" t="str" cm="1">
        <f t="array" ref="E203">Common_InputFunctions.Utility_DisplayArrayInTable(Scope3_SourceData.Scope3_Other_Data(), Table_SourceData_Scope3_Other[[#Headers],[Category]], 0, 2)</f>
        <v>Animal ear tags (small)</v>
      </c>
      <c r="F203" s="20" t="str" cm="1">
        <f t="array" ref="F203">Common_InputFunctions.Utility_DisplayArrayInTable(Scope3_SourceData.Scope3_Other_Data(), Table_SourceData_Scope3_Other[[#Headers],[Category]], 0, 2)</f>
        <v>Australia</v>
      </c>
      <c r="G203" s="20" t="str" cm="1">
        <f t="array" ref="G203">Common_InputFunctions.Utility_DisplayArrayInTable(Scope3_SourceData.Scope3_Other_Data(), Table_SourceData_Scope3_Other[[#Headers],[Category]], 0, 2)</f>
        <v>p</v>
      </c>
      <c r="H203" s="20" cm="1">
        <f t="array" ref="H203">Common_InputFunctions.Utility_DisplayArrayInTable(Scope3_SourceData.Scope3_Other_Data(), Table_SourceData_Scope3_Other[[#Headers],[Category]], 0, 2)</f>
        <v>2.93E-2</v>
      </c>
      <c r="I203" s="20" t="str" cm="1">
        <f t="array" ref="I203">Common_InputFunctions.Utility_DisplayArrayInTable(Scope3_SourceData.Scope3_Other_Data(), Table_SourceData_Scope3_Other[[#Headers],[Category]], 0, 2)</f>
        <v>at market</v>
      </c>
      <c r="J203" s="20" t="s">
        <v>1190</v>
      </c>
    </row>
    <row r="204" spans="4:14" ht="20" customHeight="1" x14ac:dyDescent="0.25">
      <c r="D204" s="20" t="str" cm="1">
        <f t="array" ref="D204">Common_InputFunctions.Utility_DisplayArrayInTable(Scope3_SourceData.Scope3_Other_Data(), Table_SourceData_Scope3_Other[[#Headers],[Category]], 0, 2)</f>
        <v>Other</v>
      </c>
      <c r="E204" s="20" t="str" cm="1">
        <f t="array" ref="E204">Common_InputFunctions.Utility_DisplayArrayInTable(Scope3_SourceData.Scope3_Other_Data(), Table_SourceData_Scope3_Other[[#Headers],[Category]], 0, 2)</f>
        <v>Barley grain (for seed)</v>
      </c>
      <c r="F204" s="20" t="str" cm="1">
        <f t="array" ref="F204">Common_InputFunctions.Utility_DisplayArrayInTable(Scope3_SourceData.Scope3_Other_Data(), Table_SourceData_Scope3_Other[[#Headers],[Category]], 0, 2)</f>
        <v>Australia</v>
      </c>
      <c r="G204" s="20" t="str" cm="1">
        <f t="array" ref="G204">Common_InputFunctions.Utility_DisplayArrayInTable(Scope3_SourceData.Scope3_Other_Data(), Table_SourceData_Scope3_Other[[#Headers],[Category]], 0, 2)</f>
        <v>kg</v>
      </c>
      <c r="H204" s="20" cm="1">
        <f t="array" ref="H204">Common_InputFunctions.Utility_DisplayArrayInTable(Scope3_SourceData.Scope3_Other_Data(), Table_SourceData_Scope3_Other[[#Headers],[Category]], 0, 2)</f>
        <v>0.23899999999999999</v>
      </c>
      <c r="I204" s="20" t="str" cm="1">
        <f t="array" ref="I204">Common_InputFunctions.Utility_DisplayArrayInTable(Scope3_SourceData.Scope3_Other_Data(), Table_SourceData_Scope3_Other[[#Headers],[Category]], 0, 2)</f>
        <v>at market</v>
      </c>
      <c r="J204" s="20" t="s">
        <v>1190</v>
      </c>
    </row>
    <row r="205" spans="4:14" ht="20" customHeight="1" x14ac:dyDescent="0.25">
      <c r="D205" s="20" t="str" cm="1">
        <f t="array" ref="D205">Common_InputFunctions.Utility_DisplayArrayInTable(Scope3_SourceData.Scope3_Other_Data(), Table_SourceData_Scope3_Other[[#Headers],[Category]], 0, 2)</f>
        <v>Other</v>
      </c>
      <c r="E205" s="20" t="str" cm="1">
        <f t="array" ref="E205">Common_InputFunctions.Utility_DisplayArrayInTable(Scope3_SourceData.Scope3_Other_Data(), Table_SourceData_Scope3_Other[[#Headers],[Category]], 0, 2)</f>
        <v>Maize grain (for seed)</v>
      </c>
      <c r="F205" s="20" t="str" cm="1">
        <f t="array" ref="F205">Common_InputFunctions.Utility_DisplayArrayInTable(Scope3_SourceData.Scope3_Other_Data(), Table_SourceData_Scope3_Other[[#Headers],[Category]], 0, 2)</f>
        <v>Australia</v>
      </c>
      <c r="G205" s="20" t="str" cm="1">
        <f t="array" ref="G205">Common_InputFunctions.Utility_DisplayArrayInTable(Scope3_SourceData.Scope3_Other_Data(), Table_SourceData_Scope3_Other[[#Headers],[Category]], 0, 2)</f>
        <v>kg</v>
      </c>
      <c r="H205" s="20" cm="1">
        <f t="array" ref="H205">Common_InputFunctions.Utility_DisplayArrayInTable(Scope3_SourceData.Scope3_Other_Data(), Table_SourceData_Scope3_Other[[#Headers],[Category]], 0, 2)</f>
        <v>0.18099999999999999</v>
      </c>
      <c r="I205" s="20" t="str" cm="1">
        <f t="array" ref="I205">Common_InputFunctions.Utility_DisplayArrayInTable(Scope3_SourceData.Scope3_Other_Data(), Table_SourceData_Scope3_Other[[#Headers],[Category]], 0, 2)</f>
        <v>at market</v>
      </c>
      <c r="J205" s="20" t="s">
        <v>1190</v>
      </c>
    </row>
    <row r="206" spans="4:14" ht="20" customHeight="1" x14ac:dyDescent="0.25">
      <c r="D206" s="20" t="str" cm="1">
        <f t="array" ref="D206">Common_InputFunctions.Utility_DisplayArrayInTable(Scope3_SourceData.Scope3_Other_Data(), Table_SourceData_Scope3_Other[[#Headers],[Category]], 0, 2)</f>
        <v>Other</v>
      </c>
      <c r="E206" s="20" t="str" cm="1">
        <f t="array" ref="E206">Common_InputFunctions.Utility_DisplayArrayInTable(Scope3_SourceData.Scope3_Other_Data(), Table_SourceData_Scope3_Other[[#Headers],[Category]], 0, 2)</f>
        <v>Nylon netting</v>
      </c>
      <c r="F206" s="20" t="str" cm="1">
        <f t="array" ref="F206">Common_InputFunctions.Utility_DisplayArrayInTable(Scope3_SourceData.Scope3_Other_Data(), Table_SourceData_Scope3_Other[[#Headers],[Category]], 0, 2)</f>
        <v>Global</v>
      </c>
      <c r="G206" s="20" t="str" cm="1">
        <f t="array" ref="G206">Common_InputFunctions.Utility_DisplayArrayInTable(Scope3_SourceData.Scope3_Other_Data(), Table_SourceData_Scope3_Other[[#Headers],[Category]], 0, 2)</f>
        <v>kg</v>
      </c>
      <c r="H206" s="20" cm="1">
        <f t="array" ref="H206">Common_InputFunctions.Utility_DisplayArrayInTable(Scope3_SourceData.Scope3_Other_Data(), Table_SourceData_Scope3_Other[[#Headers],[Category]], 0, 2)</f>
        <v>9.81</v>
      </c>
      <c r="I206" s="20" t="str" cm="1">
        <f t="array" ref="I206">Common_InputFunctions.Utility_DisplayArrayInTable(Scope3_SourceData.Scope3_Other_Data(), Table_SourceData_Scope3_Other[[#Headers],[Category]], 0, 2)</f>
        <v>at market</v>
      </c>
      <c r="J206" s="20" t="s">
        <v>1190</v>
      </c>
    </row>
    <row r="207" spans="4:14" ht="20" customHeight="1" x14ac:dyDescent="0.25">
      <c r="D207" s="20" t="str" cm="1">
        <f t="array" ref="D207">Common_InputFunctions.Utility_DisplayArrayInTable(Scope3_SourceData.Scope3_Other_Data(), Table_SourceData_Scope3_Other[[#Headers],[Category]], 0, 2)</f>
        <v>Other</v>
      </c>
      <c r="E207" s="20" t="str" cm="1">
        <f t="array" ref="E207">Common_InputFunctions.Utility_DisplayArrayInTable(Scope3_SourceData.Scope3_Other_Data(), Table_SourceData_Scope3_Other[[#Headers],[Category]], 0, 2)</f>
        <v>Oat grain (for seed)</v>
      </c>
      <c r="F207" s="20" t="str" cm="1">
        <f t="array" ref="F207">Common_InputFunctions.Utility_DisplayArrayInTable(Scope3_SourceData.Scope3_Other_Data(), Table_SourceData_Scope3_Other[[#Headers],[Category]], 0, 2)</f>
        <v>Australia</v>
      </c>
      <c r="G207" s="20" t="str" cm="1">
        <f t="array" ref="G207">Common_InputFunctions.Utility_DisplayArrayInTable(Scope3_SourceData.Scope3_Other_Data(), Table_SourceData_Scope3_Other[[#Headers],[Category]], 0, 2)</f>
        <v>kg</v>
      </c>
      <c r="H207" s="20" cm="1">
        <f t="array" ref="H207">Common_InputFunctions.Utility_DisplayArrayInTable(Scope3_SourceData.Scope3_Other_Data(), Table_SourceData_Scope3_Other[[#Headers],[Category]], 0, 2)</f>
        <v>0.27</v>
      </c>
      <c r="I207" s="20" t="str" cm="1">
        <f t="array" ref="I207">Common_InputFunctions.Utility_DisplayArrayInTable(Scope3_SourceData.Scope3_Other_Data(), Table_SourceData_Scope3_Other[[#Headers],[Category]], 0, 2)</f>
        <v>at market</v>
      </c>
      <c r="J207" s="20" t="s">
        <v>1190</v>
      </c>
    </row>
    <row r="208" spans="4:14" ht="20" customHeight="1" x14ac:dyDescent="0.25">
      <c r="D208" s="20" t="str" cm="1">
        <f t="array" ref="D208">Common_InputFunctions.Utility_DisplayArrayInTable(Scope3_SourceData.Scope3_Other_Data(), Table_SourceData_Scope3_Other[[#Headers],[Category]], 0, 2)</f>
        <v>Other</v>
      </c>
      <c r="E208" s="20" t="str" cm="1">
        <f t="array" ref="E208">Common_InputFunctions.Utility_DisplayArrayInTable(Scope3_SourceData.Scope3_Other_Data(), Table_SourceData_Scope3_Other[[#Headers],[Category]], 0, 2)</f>
        <v>Sorghum grain (for seed)</v>
      </c>
      <c r="F208" s="20" t="str" cm="1">
        <f t="array" ref="F208">Common_InputFunctions.Utility_DisplayArrayInTable(Scope3_SourceData.Scope3_Other_Data(), Table_SourceData_Scope3_Other[[#Headers],[Category]], 0, 2)</f>
        <v>Australia</v>
      </c>
      <c r="G208" s="20" t="str" cm="1">
        <f t="array" ref="G208">Common_InputFunctions.Utility_DisplayArrayInTable(Scope3_SourceData.Scope3_Other_Data(), Table_SourceData_Scope3_Other[[#Headers],[Category]], 0, 2)</f>
        <v>kg</v>
      </c>
      <c r="H208" s="20" cm="1">
        <f t="array" ref="H208">Common_InputFunctions.Utility_DisplayArrayInTable(Scope3_SourceData.Scope3_Other_Data(), Table_SourceData_Scope3_Other[[#Headers],[Category]], 0, 2)</f>
        <v>0.23200000000000001</v>
      </c>
      <c r="I208" s="20" t="str" cm="1">
        <f t="array" ref="I208">Common_InputFunctions.Utility_DisplayArrayInTable(Scope3_SourceData.Scope3_Other_Data(), Table_SourceData_Scope3_Other[[#Headers],[Category]], 0, 2)</f>
        <v>at market</v>
      </c>
      <c r="J208" s="20" t="s">
        <v>1190</v>
      </c>
    </row>
    <row r="209" spans="4:10" ht="20" customHeight="1" x14ac:dyDescent="0.25">
      <c r="D209" s="20" t="str" cm="1">
        <f t="array" ref="D209">Common_InputFunctions.Utility_DisplayArrayInTable(Scope3_SourceData.Scope3_Other_Data(), Table_SourceData_Scope3_Other[[#Headers],[Category]], 0, 2)</f>
        <v>Other</v>
      </c>
      <c r="E209" s="20" t="str" cm="1">
        <f t="array" ref="E209">Common_InputFunctions.Utility_DisplayArrayInTable(Scope3_SourceData.Scope3_Other_Data(), Table_SourceData_Scope3_Other[[#Headers],[Category]], 0, 2)</f>
        <v>Wheat grain (for seed)</v>
      </c>
      <c r="F209" s="20" t="str" cm="1">
        <f t="array" ref="F209">Common_InputFunctions.Utility_DisplayArrayInTable(Scope3_SourceData.Scope3_Other_Data(), Table_SourceData_Scope3_Other[[#Headers],[Category]], 0, 2)</f>
        <v>Australia</v>
      </c>
      <c r="G209" s="20" t="str" cm="1">
        <f t="array" ref="G209">Common_InputFunctions.Utility_DisplayArrayInTable(Scope3_SourceData.Scope3_Other_Data(), Table_SourceData_Scope3_Other[[#Headers],[Category]], 0, 2)</f>
        <v>kg</v>
      </c>
      <c r="H209" s="20" cm="1">
        <f t="array" ref="H209">Common_InputFunctions.Utility_DisplayArrayInTable(Scope3_SourceData.Scope3_Other_Data(), Table_SourceData_Scope3_Other[[#Headers],[Category]], 0, 2)</f>
        <v>0.26800000000000002</v>
      </c>
      <c r="I209" s="20" t="str" cm="1">
        <f t="array" ref="I209">Common_InputFunctions.Utility_DisplayArrayInTable(Scope3_SourceData.Scope3_Other_Data(), Table_SourceData_Scope3_Other[[#Headers],[Category]], 0, 2)</f>
        <v>at market</v>
      </c>
      <c r="J209" s="20" t="s">
        <v>1190</v>
      </c>
    </row>
    <row r="210" spans="4:10" ht="20" customHeight="1" x14ac:dyDescent="0.25"/>
    <row r="211" spans="4:10" ht="20" customHeight="1" x14ac:dyDescent="0.25">
      <c r="D211" s="2" t="s">
        <v>1195</v>
      </c>
    </row>
    <row r="212" spans="4:10" ht="20" customHeight="1" x14ac:dyDescent="0.25">
      <c r="D212" s="20" t="s">
        <v>565</v>
      </c>
      <c r="E212" s="20" t="s">
        <v>139</v>
      </c>
      <c r="F212" s="20" t="s">
        <v>566</v>
      </c>
      <c r="G212" s="20" t="s">
        <v>567</v>
      </c>
      <c r="H212" s="20" t="s">
        <v>1189</v>
      </c>
      <c r="I212" s="20" t="s">
        <v>569</v>
      </c>
      <c r="J212" s="20" t="s">
        <v>728</v>
      </c>
    </row>
    <row r="213" spans="4:10" ht="20" customHeight="1" x14ac:dyDescent="0.25">
      <c r="D213" s="20" t="str" cm="1">
        <f t="array" ref="D213">Common_InputFunctions.Utility_DisplayArrayInTable(Scope3_SourceData.Scope3_Packaging_Data(), Table_SourceData_Scope3_Packaging[[#Headers],[Category]], 0, 2)</f>
        <v>Packaging</v>
      </c>
      <c r="E213" s="20" t="str" cm="1">
        <f t="array" ref="E213">Common_InputFunctions.Utility_DisplayArrayInTable(Scope3_SourceData.Scope3_Packaging_Data(), Table_SourceData_Scope3_Packaging[[#Headers],[Category]], 0, 2)</f>
        <v>Corrugated board</v>
      </c>
      <c r="F213" s="20" t="str" cm="1">
        <f t="array" ref="F213">Common_InputFunctions.Utility_DisplayArrayInTable(Scope3_SourceData.Scope3_Packaging_Data(), Table_SourceData_Scope3_Packaging[[#Headers],[Category]], 0, 2)</f>
        <v>Global</v>
      </c>
      <c r="G213" s="20" t="str" cm="1">
        <f t="array" ref="G213">Common_InputFunctions.Utility_DisplayArrayInTable(Scope3_SourceData.Scope3_Packaging_Data(), Table_SourceData_Scope3_Packaging[[#Headers],[Category]], 0, 2)</f>
        <v>kg</v>
      </c>
      <c r="H213" s="20" cm="1">
        <f t="array" ref="H213">Common_InputFunctions.Utility_DisplayArrayInTable(Scope3_SourceData.Scope3_Packaging_Data(), Table_SourceData_Scope3_Packaging[[#Headers],[Category]], 0, 2)</f>
        <v>1.05</v>
      </c>
      <c r="I213" s="20" t="str" cm="1">
        <f t="array" ref="I213">Common_InputFunctions.Utility_DisplayArrayInTable(Scope3_SourceData.Scope3_Packaging_Data(), Table_SourceData_Scope3_Packaging[[#Headers],[Category]], 0, 2)</f>
        <v>at manufacturer</v>
      </c>
      <c r="J213" s="20" t="s">
        <v>1190</v>
      </c>
    </row>
    <row r="214" spans="4:10" ht="20" customHeight="1" x14ac:dyDescent="0.25">
      <c r="D214" s="20" t="str" cm="1">
        <f t="array" ref="D214">Common_InputFunctions.Utility_DisplayArrayInTable(Scope3_SourceData.Scope3_Packaging_Data(), Table_SourceData_Scope3_Packaging[[#Headers],[Category]], 0, 2)</f>
        <v>Packaging</v>
      </c>
      <c r="E214" s="20" t="str" cm="1">
        <f t="array" ref="E214">Common_InputFunctions.Utility_DisplayArrayInTable(Scope3_SourceData.Scope3_Packaging_Data(), Table_SourceData_Scope3_Packaging[[#Headers],[Category]], 0, 2)</f>
        <v>Plastic crate polypropylene</v>
      </c>
      <c r="F214" s="20" t="str" cm="1">
        <f t="array" ref="F214">Common_InputFunctions.Utility_DisplayArrayInTable(Scope3_SourceData.Scope3_Packaging_Data(), Table_SourceData_Scope3_Packaging[[#Headers],[Category]], 0, 2)</f>
        <v>Global</v>
      </c>
      <c r="G214" s="20" t="str" cm="1">
        <f t="array" ref="G214">Common_InputFunctions.Utility_DisplayArrayInTable(Scope3_SourceData.Scope3_Packaging_Data(), Table_SourceData_Scope3_Packaging[[#Headers],[Category]], 0, 2)</f>
        <v>p</v>
      </c>
      <c r="H214" s="20" cm="1">
        <f t="array" ref="H214">Common_InputFunctions.Utility_DisplayArrayInTable(Scope3_SourceData.Scope3_Packaging_Data(), Table_SourceData_Scope3_Packaging[[#Headers],[Category]], 0, 2)</f>
        <v>3.99</v>
      </c>
      <c r="I214" s="20" t="str" cm="1">
        <f t="array" ref="I214">Common_InputFunctions.Utility_DisplayArrayInTable(Scope3_SourceData.Scope3_Packaging_Data(), Table_SourceData_Scope3_Packaging[[#Headers],[Category]], 0, 2)</f>
        <v>at manufacturer</v>
      </c>
      <c r="J214" s="20" t="s">
        <v>1190</v>
      </c>
    </row>
    <row r="215" spans="4:10" ht="20" customHeight="1" x14ac:dyDescent="0.25">
      <c r="D215" s="20" t="str" cm="1">
        <f t="array" ref="D215">Common_InputFunctions.Utility_DisplayArrayInTable(Scope3_SourceData.Scope3_Packaging_Data(), Table_SourceData_Scope3_Packaging[[#Headers],[Category]], 0, 2)</f>
        <v>Packaging</v>
      </c>
      <c r="E215" s="20" t="str" cm="1">
        <f t="array" ref="E215">Common_InputFunctions.Utility_DisplayArrayInTable(Scope3_SourceData.Scope3_Packaging_Data(), Table_SourceData_Scope3_Packaging[[#Headers],[Category]], 0, 2)</f>
        <v>Plastic film LDPE</v>
      </c>
      <c r="F215" s="20" t="str" cm="1">
        <f t="array" ref="F215">Common_InputFunctions.Utility_DisplayArrayInTable(Scope3_SourceData.Scope3_Packaging_Data(), Table_SourceData_Scope3_Packaging[[#Headers],[Category]], 0, 2)</f>
        <v>Global</v>
      </c>
      <c r="G215" s="20" t="str" cm="1">
        <f t="array" ref="G215">Common_InputFunctions.Utility_DisplayArrayInTable(Scope3_SourceData.Scope3_Packaging_Data(), Table_SourceData_Scope3_Packaging[[#Headers],[Category]], 0, 2)</f>
        <v>kg</v>
      </c>
      <c r="H215" s="20" cm="1">
        <f t="array" ref="H215">Common_InputFunctions.Utility_DisplayArrayInTable(Scope3_SourceData.Scope3_Packaging_Data(), Table_SourceData_Scope3_Packaging[[#Headers],[Category]], 0, 2)</f>
        <v>3.44</v>
      </c>
      <c r="I215" s="20" t="str" cm="1">
        <f t="array" ref="I215">Common_InputFunctions.Utility_DisplayArrayInTable(Scope3_SourceData.Scope3_Packaging_Data(), Table_SourceData_Scope3_Packaging[[#Headers],[Category]], 0, 2)</f>
        <v>at manufacturer</v>
      </c>
      <c r="J215" s="20" t="s">
        <v>1190</v>
      </c>
    </row>
    <row r="216" spans="4:10" ht="20" customHeight="1" x14ac:dyDescent="0.25">
      <c r="D216" s="20" t="str" cm="1">
        <f t="array" ref="D216">Common_InputFunctions.Utility_DisplayArrayInTable(Scope3_SourceData.Scope3_Packaging_Data(), Table_SourceData_Scope3_Packaging[[#Headers],[Category]], 0, 2)</f>
        <v>Packaging</v>
      </c>
      <c r="E216" s="20" t="str" cm="1">
        <f t="array" ref="E216">Common_InputFunctions.Utility_DisplayArrayInTable(Scope3_SourceData.Scope3_Packaging_Data(), Table_SourceData_Scope3_Packaging[[#Headers],[Category]], 0, 2)</f>
        <v>Plastic sheet HDPE</v>
      </c>
      <c r="F216" s="20" t="str" cm="1">
        <f t="array" ref="F216">Common_InputFunctions.Utility_DisplayArrayInTable(Scope3_SourceData.Scope3_Packaging_Data(), Table_SourceData_Scope3_Packaging[[#Headers],[Category]], 0, 2)</f>
        <v>Global</v>
      </c>
      <c r="G216" s="20" t="str" cm="1">
        <f t="array" ref="G216">Common_InputFunctions.Utility_DisplayArrayInTable(Scope3_SourceData.Scope3_Packaging_Data(), Table_SourceData_Scope3_Packaging[[#Headers],[Category]], 0, 2)</f>
        <v>kg</v>
      </c>
      <c r="H216" s="20" cm="1">
        <f t="array" ref="H216">Common_InputFunctions.Utility_DisplayArrayInTable(Scope3_SourceData.Scope3_Packaging_Data(), Table_SourceData_Scope3_Packaging[[#Headers],[Category]], 0, 2)</f>
        <v>3.72</v>
      </c>
      <c r="I216" s="20" t="str" cm="1">
        <f t="array" ref="I216">Common_InputFunctions.Utility_DisplayArrayInTable(Scope3_SourceData.Scope3_Packaging_Data(), Table_SourceData_Scope3_Packaging[[#Headers],[Category]], 0, 2)</f>
        <v>at manufacturer</v>
      </c>
      <c r="J216" s="20" t="s">
        <v>1190</v>
      </c>
    </row>
    <row r="217" spans="4:10" ht="20" customHeight="1" x14ac:dyDescent="0.25"/>
    <row r="218" spans="4:10" ht="20" customHeight="1" x14ac:dyDescent="0.25">
      <c r="D218" s="2" t="s">
        <v>1008</v>
      </c>
    </row>
    <row r="219" spans="4:10" ht="20" customHeight="1" x14ac:dyDescent="0.25">
      <c r="D219" s="20" t="s">
        <v>565</v>
      </c>
      <c r="E219" s="20" t="s">
        <v>139</v>
      </c>
      <c r="F219" s="20" t="s">
        <v>566</v>
      </c>
      <c r="G219" s="20" t="s">
        <v>567</v>
      </c>
      <c r="H219" s="20" t="s">
        <v>1189</v>
      </c>
      <c r="I219" s="20" t="s">
        <v>569</v>
      </c>
      <c r="J219" s="20" t="s">
        <v>728</v>
      </c>
    </row>
    <row r="220" spans="4:10" ht="20" customHeight="1" x14ac:dyDescent="0.25">
      <c r="D220" s="20" t="str" cm="1">
        <f t="array" ref="D220">Common_InputFunctions.Utility_DisplayArrayInTable(Scope3_SourceData.Scope3_Pesticides_Data(), Table_SourceData_Scope3_Pesticides[[#Headers],[Category]], 0, 2)</f>
        <v>Pesticides</v>
      </c>
      <c r="E220" s="20" t="str" cm="1">
        <f t="array" ref="E220">Common_InputFunctions.Utility_DisplayArrayInTable(Scope3_SourceData.Scope3_Pesticides_Data(), Table_SourceData_Scope3_Pesticides[[#Headers],[Category]], 0, 2)</f>
        <v>2,4-D</v>
      </c>
      <c r="F220" s="20" t="str" cm="1">
        <f t="array" ref="F220">Common_InputFunctions.Utility_DisplayArrayInTable(Scope3_SourceData.Scope3_Pesticides_Data(), Table_SourceData_Scope3_Pesticides[[#Headers],[Category]], 0, 2)</f>
        <v>Global</v>
      </c>
      <c r="G220" s="20" t="str" cm="1">
        <f t="array" ref="G220">Common_InputFunctions.Utility_DisplayArrayInTable(Scope3_SourceData.Scope3_Pesticides_Data(), Table_SourceData_Scope3_Pesticides[[#Headers],[Category]], 0, 2)</f>
        <v>kg AI</v>
      </c>
      <c r="H220" s="20" cm="1">
        <f t="array" ref="H220">Common_InputFunctions.Utility_DisplayArrayInTable(Scope3_SourceData.Scope3_Pesticides_Data(), Table_SourceData_Scope3_Pesticides[[#Headers],[Category]], 0, 2)</f>
        <v>5.2</v>
      </c>
      <c r="I220" s="20" t="str" cm="1">
        <f t="array" ref="I220">Common_InputFunctions.Utility_DisplayArrayInTable(Scope3_SourceData.Scope3_Pesticides_Data(), Table_SourceData_Scope3_Pesticides[[#Headers],[Category]], 0, 2)</f>
        <v>at market</v>
      </c>
      <c r="J220" s="20" t="s">
        <v>1190</v>
      </c>
    </row>
    <row r="221" spans="4:10" ht="20" customHeight="1" x14ac:dyDescent="0.25">
      <c r="D221" s="20" t="str" cm="1">
        <f t="array" ref="D221">Common_InputFunctions.Utility_DisplayArrayInTable(Scope3_SourceData.Scope3_Pesticides_Data(), Table_SourceData_Scope3_Pesticides[[#Headers],[Category]], 0, 2)</f>
        <v>Pesticides</v>
      </c>
      <c r="E221" s="20" t="str" cm="1">
        <f t="array" ref="E221">Common_InputFunctions.Utility_DisplayArrayInTable(Scope3_SourceData.Scope3_Pesticides_Data(), Table_SourceData_Scope3_Pesticides[[#Headers],[Category]], 0, 2)</f>
        <v>Atrazine</v>
      </c>
      <c r="F221" s="20" t="str" cm="1">
        <f t="array" ref="F221">Common_InputFunctions.Utility_DisplayArrayInTable(Scope3_SourceData.Scope3_Pesticides_Data(), Table_SourceData_Scope3_Pesticides[[#Headers],[Category]], 0, 2)</f>
        <v>Global</v>
      </c>
      <c r="G221" s="20" t="str" cm="1">
        <f t="array" ref="G221">Common_InputFunctions.Utility_DisplayArrayInTable(Scope3_SourceData.Scope3_Pesticides_Data(), Table_SourceData_Scope3_Pesticides[[#Headers],[Category]], 0, 2)</f>
        <v>kg AI</v>
      </c>
      <c r="H221" s="20" cm="1">
        <f t="array" ref="H221">Common_InputFunctions.Utility_DisplayArrayInTable(Scope3_SourceData.Scope3_Pesticides_Data(), Table_SourceData_Scope3_Pesticides[[#Headers],[Category]], 0, 2)</f>
        <v>8.3800000000000008</v>
      </c>
      <c r="I221" s="20" t="str" cm="1">
        <f t="array" ref="I221">Common_InputFunctions.Utility_DisplayArrayInTable(Scope3_SourceData.Scope3_Pesticides_Data(), Table_SourceData_Scope3_Pesticides[[#Headers],[Category]], 0, 2)</f>
        <v>at market</v>
      </c>
      <c r="J221" s="20" t="s">
        <v>1190</v>
      </c>
    </row>
    <row r="222" spans="4:10" ht="20" customHeight="1" x14ac:dyDescent="0.25">
      <c r="D222" s="20" t="str" cm="1">
        <f t="array" ref="D222">Common_InputFunctions.Utility_DisplayArrayInTable(Scope3_SourceData.Scope3_Pesticides_Data(), Table_SourceData_Scope3_Pesticides[[#Headers],[Category]], 0, 2)</f>
        <v>Pesticides</v>
      </c>
      <c r="E222" s="20" t="str" cm="1">
        <f t="array" ref="E222">Common_InputFunctions.Utility_DisplayArrayInTable(Scope3_SourceData.Scope3_Pesticides_Data(), Table_SourceData_Scope3_Pesticides[[#Headers],[Category]], 0, 2)</f>
        <v>Diuron</v>
      </c>
      <c r="F222" s="20" t="str" cm="1">
        <f t="array" ref="F222">Common_InputFunctions.Utility_DisplayArrayInTable(Scope3_SourceData.Scope3_Pesticides_Data(), Table_SourceData_Scope3_Pesticides[[#Headers],[Category]], 0, 2)</f>
        <v>Global</v>
      </c>
      <c r="G222" s="20" t="str" cm="1">
        <f t="array" ref="G222">Common_InputFunctions.Utility_DisplayArrayInTable(Scope3_SourceData.Scope3_Pesticides_Data(), Table_SourceData_Scope3_Pesticides[[#Headers],[Category]], 0, 2)</f>
        <v>kg AI</v>
      </c>
      <c r="H222" s="20" cm="1">
        <f t="array" ref="H222">Common_InputFunctions.Utility_DisplayArrayInTable(Scope3_SourceData.Scope3_Pesticides_Data(), Table_SourceData_Scope3_Pesticides[[#Headers],[Category]], 0, 2)</f>
        <v>8.8000000000000007</v>
      </c>
      <c r="I222" s="20" t="str" cm="1">
        <f t="array" ref="I222">Common_InputFunctions.Utility_DisplayArrayInTable(Scope3_SourceData.Scope3_Pesticides_Data(), Table_SourceData_Scope3_Pesticides[[#Headers],[Category]], 0, 2)</f>
        <v>at market</v>
      </c>
      <c r="J222" s="20" t="s">
        <v>1190</v>
      </c>
    </row>
    <row r="223" spans="4:10" ht="20" customHeight="1" x14ac:dyDescent="0.25">
      <c r="D223" s="20" t="str" cm="1">
        <f t="array" ref="D223">Common_InputFunctions.Utility_DisplayArrayInTable(Scope3_SourceData.Scope3_Pesticides_Data(), Table_SourceData_Scope3_Pesticides[[#Headers],[Category]], 0, 2)</f>
        <v>Pesticides</v>
      </c>
      <c r="E223" s="20" t="str" cm="1">
        <f t="array" ref="E223">Common_InputFunctions.Utility_DisplayArrayInTable(Scope3_SourceData.Scope3_Pesticides_Data(), Table_SourceData_Scope3_Pesticides[[#Headers],[Category]], 0, 2)</f>
        <v>Glyphosate</v>
      </c>
      <c r="F223" s="20" t="str" cm="1">
        <f t="array" ref="F223">Common_InputFunctions.Utility_DisplayArrayInTable(Scope3_SourceData.Scope3_Pesticides_Data(), Table_SourceData_Scope3_Pesticides[[#Headers],[Category]], 0, 2)</f>
        <v>Global</v>
      </c>
      <c r="G223" s="20" t="str" cm="1">
        <f t="array" ref="G223">Common_InputFunctions.Utility_DisplayArrayInTable(Scope3_SourceData.Scope3_Pesticides_Data(), Table_SourceData_Scope3_Pesticides[[#Headers],[Category]], 0, 2)</f>
        <v>kg AI</v>
      </c>
      <c r="H223" s="20" cm="1">
        <f t="array" ref="H223">Common_InputFunctions.Utility_DisplayArrayInTable(Scope3_SourceData.Scope3_Pesticides_Data(), Table_SourceData_Scope3_Pesticides[[#Headers],[Category]], 0, 2)</f>
        <v>10.3</v>
      </c>
      <c r="I223" s="20" t="str" cm="1">
        <f t="array" ref="I223">Common_InputFunctions.Utility_DisplayArrayInTable(Scope3_SourceData.Scope3_Pesticides_Data(), Table_SourceData_Scope3_Pesticides[[#Headers],[Category]], 0, 2)</f>
        <v>at market</v>
      </c>
      <c r="J223" s="20" t="s">
        <v>1190</v>
      </c>
    </row>
    <row r="224" spans="4:10" ht="20" customHeight="1" x14ac:dyDescent="0.25">
      <c r="D224" s="20" t="str" cm="1">
        <f t="array" ref="D224">Common_InputFunctions.Utility_DisplayArrayInTable(Scope3_SourceData.Scope3_Pesticides_Data(), Table_SourceData_Scope3_Pesticides[[#Headers],[Category]], 0, 2)</f>
        <v>Pesticides</v>
      </c>
      <c r="E224" s="20" t="str" cm="1">
        <f t="array" ref="E224">Common_InputFunctions.Utility_DisplayArrayInTable(Scope3_SourceData.Scope3_Pesticides_Data(), Table_SourceData_Scope3_Pesticides[[#Headers],[Category]], 0, 2)</f>
        <v>Mancozeb</v>
      </c>
      <c r="F224" s="20" t="str" cm="1">
        <f t="array" ref="F224">Common_InputFunctions.Utility_DisplayArrayInTable(Scope3_SourceData.Scope3_Pesticides_Data(), Table_SourceData_Scope3_Pesticides[[#Headers],[Category]], 0, 2)</f>
        <v>Global</v>
      </c>
      <c r="G224" s="20" t="str" cm="1">
        <f t="array" ref="G224">Common_InputFunctions.Utility_DisplayArrayInTable(Scope3_SourceData.Scope3_Pesticides_Data(), Table_SourceData_Scope3_Pesticides[[#Headers],[Category]], 0, 2)</f>
        <v>kg AI</v>
      </c>
      <c r="H224" s="20" cm="1">
        <f t="array" ref="H224">Common_InputFunctions.Utility_DisplayArrayInTable(Scope3_SourceData.Scope3_Pesticides_Data(), Table_SourceData_Scope3_Pesticides[[#Headers],[Category]], 0, 2)</f>
        <v>4.55</v>
      </c>
      <c r="I224" s="20" t="str" cm="1">
        <f t="array" ref="I224">Common_InputFunctions.Utility_DisplayArrayInTable(Scope3_SourceData.Scope3_Pesticides_Data(), Table_SourceData_Scope3_Pesticides[[#Headers],[Category]], 0, 2)</f>
        <v>at market</v>
      </c>
      <c r="J224" s="20" t="s">
        <v>1190</v>
      </c>
    </row>
    <row r="225" spans="4:10" ht="20" customHeight="1" x14ac:dyDescent="0.25">
      <c r="D225" s="20" t="str" cm="1">
        <f t="array" ref="D225">Common_InputFunctions.Utility_DisplayArrayInTable(Scope3_SourceData.Scope3_Pesticides_Data(), Table_SourceData_Scope3_Pesticides[[#Headers],[Category]], 0, 2)</f>
        <v>Pesticides</v>
      </c>
      <c r="E225" s="20" t="str" cm="1">
        <f t="array" ref="E225">Common_InputFunctions.Utility_DisplayArrayInTable(Scope3_SourceData.Scope3_Pesticides_Data(), Table_SourceData_Scope3_Pesticides[[#Headers],[Category]], 0, 2)</f>
        <v>MCPA</v>
      </c>
      <c r="F225" s="20" t="str" cm="1">
        <f t="array" ref="F225">Common_InputFunctions.Utility_DisplayArrayInTable(Scope3_SourceData.Scope3_Pesticides_Data(), Table_SourceData_Scope3_Pesticides[[#Headers],[Category]], 0, 2)</f>
        <v>Global</v>
      </c>
      <c r="G225" s="20" t="str" cm="1">
        <f t="array" ref="G225">Common_InputFunctions.Utility_DisplayArrayInTable(Scope3_SourceData.Scope3_Pesticides_Data(), Table_SourceData_Scope3_Pesticides[[#Headers],[Category]], 0, 2)</f>
        <v>kg AI</v>
      </c>
      <c r="H225" s="20" cm="1">
        <f t="array" ref="H225">Common_InputFunctions.Utility_DisplayArrayInTable(Scope3_SourceData.Scope3_Pesticides_Data(), Table_SourceData_Scope3_Pesticides[[#Headers],[Category]], 0, 2)</f>
        <v>5.6</v>
      </c>
      <c r="I225" s="20" t="str" cm="1">
        <f t="array" ref="I225">Common_InputFunctions.Utility_DisplayArrayInTable(Scope3_SourceData.Scope3_Pesticides_Data(), Table_SourceData_Scope3_Pesticides[[#Headers],[Category]], 0, 2)</f>
        <v>at market</v>
      </c>
      <c r="J225" s="20" t="s">
        <v>1190</v>
      </c>
    </row>
    <row r="226" spans="4:10" ht="20" customHeight="1" x14ac:dyDescent="0.25">
      <c r="D226" s="20" t="str" cm="1">
        <f t="array" ref="D226">Common_InputFunctions.Utility_DisplayArrayInTable(Scope3_SourceData.Scope3_Pesticides_Data(), Table_SourceData_Scope3_Pesticides[[#Headers],[Category]], 0, 2)</f>
        <v>Pesticides</v>
      </c>
      <c r="E226" s="20" t="str" cm="1">
        <f t="array" ref="E226">Common_InputFunctions.Utility_DisplayArrayInTable(Scope3_SourceData.Scope3_Pesticides_Data(), Table_SourceData_Scope3_Pesticides[[#Headers],[Category]], 0, 2)</f>
        <v>Metolachlor</v>
      </c>
      <c r="F226" s="20" t="str" cm="1">
        <f t="array" ref="F226">Common_InputFunctions.Utility_DisplayArrayInTable(Scope3_SourceData.Scope3_Pesticides_Data(), Table_SourceData_Scope3_Pesticides[[#Headers],[Category]], 0, 2)</f>
        <v>Global</v>
      </c>
      <c r="G226" s="20" t="str" cm="1">
        <f t="array" ref="G226">Common_InputFunctions.Utility_DisplayArrayInTable(Scope3_SourceData.Scope3_Pesticides_Data(), Table_SourceData_Scope3_Pesticides[[#Headers],[Category]], 0, 2)</f>
        <v>kg AI</v>
      </c>
      <c r="H226" s="20" cm="1">
        <f t="array" ref="H226">Common_InputFunctions.Utility_DisplayArrayInTable(Scope3_SourceData.Scope3_Pesticides_Data(), Table_SourceData_Scope3_Pesticides[[#Headers],[Category]], 0, 2)</f>
        <v>8.06</v>
      </c>
      <c r="I226" s="20" t="str" cm="1">
        <f t="array" ref="I226">Common_InputFunctions.Utility_DisplayArrayInTable(Scope3_SourceData.Scope3_Pesticides_Data(), Table_SourceData_Scope3_Pesticides[[#Headers],[Category]], 0, 2)</f>
        <v>at market</v>
      </c>
      <c r="J226" s="20" t="s">
        <v>1190</v>
      </c>
    </row>
    <row r="227" spans="4:10" ht="20" customHeight="1" x14ac:dyDescent="0.25">
      <c r="D227" s="20" t="str" cm="1">
        <f t="array" ref="D227">Common_InputFunctions.Utility_DisplayArrayInTable(Scope3_SourceData.Scope3_Pesticides_Data(), Table_SourceData_Scope3_Pesticides[[#Headers],[Category]], 0, 2)</f>
        <v>Pesticides</v>
      </c>
      <c r="E227" s="20" t="str" cm="1">
        <f t="array" ref="E227">Common_InputFunctions.Utility_DisplayArrayInTable(Scope3_SourceData.Scope3_Pesticides_Data(), Table_SourceData_Scope3_Pesticides[[#Headers],[Category]], 0, 2)</f>
        <v>Metsulfuron-methyl</v>
      </c>
      <c r="F227" s="20" t="str" cm="1">
        <f t="array" ref="F227">Common_InputFunctions.Utility_DisplayArrayInTable(Scope3_SourceData.Scope3_Pesticides_Data(), Table_SourceData_Scope3_Pesticides[[#Headers],[Category]], 0, 2)</f>
        <v>Global</v>
      </c>
      <c r="G227" s="20" t="str" cm="1">
        <f t="array" ref="G227">Common_InputFunctions.Utility_DisplayArrayInTable(Scope3_SourceData.Scope3_Pesticides_Data(), Table_SourceData_Scope3_Pesticides[[#Headers],[Category]], 0, 2)</f>
        <v>kg AI</v>
      </c>
      <c r="H227" s="20" cm="1">
        <f t="array" ref="H227">Common_InputFunctions.Utility_DisplayArrayInTable(Scope3_SourceData.Scope3_Pesticides_Data(), Table_SourceData_Scope3_Pesticides[[#Headers],[Category]], 0, 2)</f>
        <v>8.8000000000000007</v>
      </c>
      <c r="I227" s="20" t="str" cm="1">
        <f t="array" ref="I227">Common_InputFunctions.Utility_DisplayArrayInTable(Scope3_SourceData.Scope3_Pesticides_Data(), Table_SourceData_Scope3_Pesticides[[#Headers],[Category]], 0, 2)</f>
        <v>at market</v>
      </c>
      <c r="J227" s="20" t="s">
        <v>1190</v>
      </c>
    </row>
    <row r="228" spans="4:10" ht="20" customHeight="1" x14ac:dyDescent="0.25">
      <c r="D228" s="20" t="str" cm="1">
        <f t="array" ref="D228">Common_InputFunctions.Utility_DisplayArrayInTable(Scope3_SourceData.Scope3_Pesticides_Data(), Table_SourceData_Scope3_Pesticides[[#Headers],[Category]], 0, 2)</f>
        <v>Pesticides</v>
      </c>
      <c r="E228" s="20" t="str" cm="1">
        <f t="array" ref="E228">Common_InputFunctions.Utility_DisplayArrayInTable(Scope3_SourceData.Scope3_Pesticides_Data(), Table_SourceData_Scope3_Pesticides[[#Headers],[Category]], 0, 2)</f>
        <v>Pesticides (generic)</v>
      </c>
      <c r="F228" s="20" t="str" cm="1">
        <f t="array" ref="F228">Common_InputFunctions.Utility_DisplayArrayInTable(Scope3_SourceData.Scope3_Pesticides_Data(), Table_SourceData_Scope3_Pesticides[[#Headers],[Category]], 0, 2)</f>
        <v>Global</v>
      </c>
      <c r="G228" s="20" t="str" cm="1">
        <f t="array" ref="G228">Common_InputFunctions.Utility_DisplayArrayInTable(Scope3_SourceData.Scope3_Pesticides_Data(), Table_SourceData_Scope3_Pesticides[[#Headers],[Category]], 0, 2)</f>
        <v>kg AI</v>
      </c>
      <c r="H228" s="20" cm="1">
        <f t="array" ref="H228">Common_InputFunctions.Utility_DisplayArrayInTable(Scope3_SourceData.Scope3_Pesticides_Data(), Table_SourceData_Scope3_Pesticides[[#Headers],[Category]], 0, 2)</f>
        <v>9.16</v>
      </c>
      <c r="I228" s="20" t="str" cm="1">
        <f t="array" ref="I228">Common_InputFunctions.Utility_DisplayArrayInTable(Scope3_SourceData.Scope3_Pesticides_Data(), Table_SourceData_Scope3_Pesticides[[#Headers],[Category]], 0, 2)</f>
        <v>at market</v>
      </c>
      <c r="J228" s="20" t="s">
        <v>1190</v>
      </c>
    </row>
    <row r="229" spans="4:10" ht="20" customHeight="1" x14ac:dyDescent="0.25">
      <c r="D229" s="20" t="str" cm="1">
        <f t="array" ref="D229">Common_InputFunctions.Utility_DisplayArrayInTable(Scope3_SourceData.Scope3_Pesticides_Data(), Table_SourceData_Scope3_Pesticides[[#Headers],[Category]], 0, 2)</f>
        <v>Pesticides</v>
      </c>
      <c r="E229" s="20" t="str" cm="1">
        <f t="array" ref="E229">Common_InputFunctions.Utility_DisplayArrayInTable(Scope3_SourceData.Scope3_Pesticides_Data(), Table_SourceData_Scope3_Pesticides[[#Headers],[Category]], 0, 2)</f>
        <v>Tri-allate</v>
      </c>
      <c r="F229" s="20" t="str" cm="1">
        <f t="array" ref="F229">Common_InputFunctions.Utility_DisplayArrayInTable(Scope3_SourceData.Scope3_Pesticides_Data(), Table_SourceData_Scope3_Pesticides[[#Headers],[Category]], 0, 2)</f>
        <v>Global</v>
      </c>
      <c r="G229" s="20" t="str" cm="1">
        <f t="array" ref="G229">Common_InputFunctions.Utility_DisplayArrayInTable(Scope3_SourceData.Scope3_Pesticides_Data(), Table_SourceData_Scope3_Pesticides[[#Headers],[Category]], 0, 2)</f>
        <v>kg AI</v>
      </c>
      <c r="H229" s="20" cm="1">
        <f t="array" ref="H229">Common_InputFunctions.Utility_DisplayArrayInTable(Scope3_SourceData.Scope3_Pesticides_Data(), Table_SourceData_Scope3_Pesticides[[#Headers],[Category]], 0, 2)</f>
        <v>8.57</v>
      </c>
      <c r="I229" s="20" t="str" cm="1">
        <f t="array" ref="I229">Common_InputFunctions.Utility_DisplayArrayInTable(Scope3_SourceData.Scope3_Pesticides_Data(), Table_SourceData_Scope3_Pesticides[[#Headers],[Category]], 0, 2)</f>
        <v>at market</v>
      </c>
      <c r="J229" s="20" t="s">
        <v>1190</v>
      </c>
    </row>
    <row r="230" spans="4:10" ht="20" customHeight="1" x14ac:dyDescent="0.25">
      <c r="D230" s="20" t="str" cm="1">
        <f t="array" ref="D230">Common_InputFunctions.Utility_DisplayArrayInTable(Scope3_SourceData.Scope3_Pesticides_Data(), Table_SourceData_Scope3_Pesticides[[#Headers],[Category]], 0, 2)</f>
        <v>Pesticides</v>
      </c>
      <c r="E230" s="20" t="str" cm="1">
        <f t="array" ref="E230">Common_InputFunctions.Utility_DisplayArrayInTable(Scope3_SourceData.Scope3_Pesticides_Data(), Table_SourceData_Scope3_Pesticides[[#Headers],[Category]], 0, 2)</f>
        <v>Tribenuron methyl</v>
      </c>
      <c r="F230" s="20" t="str" cm="1">
        <f t="array" ref="F230">Common_InputFunctions.Utility_DisplayArrayInTable(Scope3_SourceData.Scope3_Pesticides_Data(), Table_SourceData_Scope3_Pesticides[[#Headers],[Category]], 0, 2)</f>
        <v>Global</v>
      </c>
      <c r="G230" s="20" t="str" cm="1">
        <f t="array" ref="G230">Common_InputFunctions.Utility_DisplayArrayInTable(Scope3_SourceData.Scope3_Pesticides_Data(), Table_SourceData_Scope3_Pesticides[[#Headers],[Category]], 0, 2)</f>
        <v>kg AI</v>
      </c>
      <c r="H230" s="20" cm="1">
        <f t="array" ref="H230">Common_InputFunctions.Utility_DisplayArrayInTable(Scope3_SourceData.Scope3_Pesticides_Data(), Table_SourceData_Scope3_Pesticides[[#Headers],[Category]], 0, 2)</f>
        <v>8.8000000000000007</v>
      </c>
      <c r="I230" s="20" t="str" cm="1">
        <f t="array" ref="I230">Common_InputFunctions.Utility_DisplayArrayInTable(Scope3_SourceData.Scope3_Pesticides_Data(), Table_SourceData_Scope3_Pesticides[[#Headers],[Category]], 0, 2)</f>
        <v>at market</v>
      </c>
      <c r="J230" s="20" t="s">
        <v>1190</v>
      </c>
    </row>
    <row r="231" spans="4:10" ht="20" customHeight="1" x14ac:dyDescent="0.25">
      <c r="D231" s="20" t="str" cm="1">
        <f t="array" ref="D231">Common_InputFunctions.Utility_DisplayArrayInTable(Scope3_SourceData.Scope3_Pesticides_Data(), Table_SourceData_Scope3_Pesticides[[#Headers],[Category]], 0, 2)</f>
        <v>Pesticides</v>
      </c>
      <c r="E231" s="20" t="str" cm="1">
        <f t="array" ref="E231">Common_InputFunctions.Utility_DisplayArrayInTable(Scope3_SourceData.Scope3_Pesticides_Data(), Table_SourceData_Scope3_Pesticides[[#Headers],[Category]], 0, 2)</f>
        <v>Trifluralin</v>
      </c>
      <c r="F231" s="20" t="str" cm="1">
        <f t="array" ref="F231">Common_InputFunctions.Utility_DisplayArrayInTable(Scope3_SourceData.Scope3_Pesticides_Data(), Table_SourceData_Scope3_Pesticides[[#Headers],[Category]], 0, 2)</f>
        <v>Global</v>
      </c>
      <c r="G231" s="20" t="str" cm="1">
        <f t="array" ref="G231">Common_InputFunctions.Utility_DisplayArrayInTable(Scope3_SourceData.Scope3_Pesticides_Data(), Table_SourceData_Scope3_Pesticides[[#Headers],[Category]], 0, 2)</f>
        <v>kg AI</v>
      </c>
      <c r="H231" s="20" cm="1">
        <f t="array" ref="H231">Common_InputFunctions.Utility_DisplayArrayInTable(Scope3_SourceData.Scope3_Pesticides_Data(), Table_SourceData_Scope3_Pesticides[[#Headers],[Category]], 0, 2)</f>
        <v>6.16</v>
      </c>
      <c r="I231" s="20" t="str" cm="1">
        <f t="array" ref="I231">Common_InputFunctions.Utility_DisplayArrayInTable(Scope3_SourceData.Scope3_Pesticides_Data(), Table_SourceData_Scope3_Pesticides[[#Headers],[Category]], 0, 2)</f>
        <v>at market</v>
      </c>
      <c r="J231" s="20" t="s">
        <v>1190</v>
      </c>
    </row>
    <row r="232" spans="4:10" ht="20" customHeight="1" x14ac:dyDescent="0.25"/>
    <row r="233" spans="4:10" ht="20" customHeight="1" x14ac:dyDescent="0.25">
      <c r="D233" s="2" t="s">
        <v>1196</v>
      </c>
    </row>
    <row r="234" spans="4:10" ht="20" customHeight="1" x14ac:dyDescent="0.25">
      <c r="D234" s="20" t="s">
        <v>565</v>
      </c>
      <c r="E234" s="20" t="s">
        <v>139</v>
      </c>
      <c r="F234" s="20" t="s">
        <v>566</v>
      </c>
      <c r="G234" s="20" t="s">
        <v>567</v>
      </c>
      <c r="H234" s="20" t="s">
        <v>1189</v>
      </c>
      <c r="I234" s="20" t="s">
        <v>569</v>
      </c>
      <c r="J234" s="20" t="s">
        <v>728</v>
      </c>
    </row>
    <row r="235" spans="4:10" ht="20" customHeight="1" x14ac:dyDescent="0.25">
      <c r="D235" s="20" t="str" cm="1">
        <f t="array" ref="D235">Common_InputFunctions.Utility_DisplayArrayInTable(Scope3_SourceData.Scope3_SoilAmendments_Data(), Table_SourceData_Scope3_SoilAmeliorants[[#Headers],[Category]], 0, 2)</f>
        <v>Soil ameliorants</v>
      </c>
      <c r="E235" s="20" t="str" cm="1">
        <f t="array" ref="E235">Common_InputFunctions.Utility_DisplayArrayInTable(Scope3_SourceData.Scope3_SoilAmendments_Data(), Table_SourceData_Scope3_SoilAmeliorants[[#Headers],[Category]], 0, 2)</f>
        <v>Dolomite</v>
      </c>
      <c r="F235" s="20" t="str" cm="1">
        <f t="array" ref="F235">Common_InputFunctions.Utility_DisplayArrayInTable(Scope3_SourceData.Scope3_SoilAmendments_Data(), Table_SourceData_Scope3_SoilAmeliorants[[#Headers],[Category]], 0, 2)</f>
        <v>Australia</v>
      </c>
      <c r="G235" s="20" t="str" cm="1">
        <f t="array" ref="G235">Common_InputFunctions.Utility_DisplayArrayInTable(Scope3_SourceData.Scope3_SoilAmendments_Data(), Table_SourceData_Scope3_SoilAmeliorants[[#Headers],[Category]], 0, 2)</f>
        <v>kg</v>
      </c>
      <c r="H235" s="20" cm="1">
        <f t="array" ref="H235">Common_InputFunctions.Utility_DisplayArrayInTable(Scope3_SourceData.Scope3_SoilAmendments_Data(), Table_SourceData_Scope3_SoilAmeliorants[[#Headers],[Category]], 0, 2)</f>
        <v>6.5199999999999994E-2</v>
      </c>
      <c r="I235" s="20" t="str" cm="1">
        <f t="array" ref="I235">Common_InputFunctions.Utility_DisplayArrayInTable(Scope3_SourceData.Scope3_SoilAmendments_Data(), Table_SourceData_Scope3_SoilAmeliorants[[#Headers],[Category]], 0, 2)</f>
        <v>at market</v>
      </c>
      <c r="J235" s="20" t="s">
        <v>1190</v>
      </c>
    </row>
    <row r="236" spans="4:10" ht="20" customHeight="1" x14ac:dyDescent="0.25">
      <c r="D236" s="20" t="str" cm="1">
        <f t="array" ref="D236">Common_InputFunctions.Utility_DisplayArrayInTable(Scope3_SourceData.Scope3_SoilAmendments_Data(), Table_SourceData_Scope3_SoilAmeliorants[[#Headers],[Category]], 0, 2)</f>
        <v>Soil ameliorants</v>
      </c>
      <c r="E236" s="20" t="str" cm="1">
        <f t="array" ref="E236">Common_InputFunctions.Utility_DisplayArrayInTable(Scope3_SourceData.Scope3_SoilAmendments_Data(), Table_SourceData_Scope3_SoilAmeliorants[[#Headers],[Category]], 0, 2)</f>
        <v>Gypsum</v>
      </c>
      <c r="F236" s="20" t="str" cm="1">
        <f t="array" ref="F236">Common_InputFunctions.Utility_DisplayArrayInTable(Scope3_SourceData.Scope3_SoilAmendments_Data(), Table_SourceData_Scope3_SoilAmeliorants[[#Headers],[Category]], 0, 2)</f>
        <v>Australia</v>
      </c>
      <c r="G236" s="20" t="str" cm="1">
        <f t="array" ref="G236">Common_InputFunctions.Utility_DisplayArrayInTable(Scope3_SourceData.Scope3_SoilAmendments_Data(), Table_SourceData_Scope3_SoilAmeliorants[[#Headers],[Category]], 0, 2)</f>
        <v>kg</v>
      </c>
      <c r="H236" s="20" cm="1">
        <f t="array" ref="H236">Common_InputFunctions.Utility_DisplayArrayInTable(Scope3_SourceData.Scope3_SoilAmendments_Data(), Table_SourceData_Scope3_SoilAmeliorants[[#Headers],[Category]], 0, 2)</f>
        <v>6.5199999999999994E-2</v>
      </c>
      <c r="I236" s="20" t="str" cm="1">
        <f t="array" ref="I236">Common_InputFunctions.Utility_DisplayArrayInTable(Scope3_SourceData.Scope3_SoilAmendments_Data(), Table_SourceData_Scope3_SoilAmeliorants[[#Headers],[Category]], 0, 2)</f>
        <v>at market</v>
      </c>
      <c r="J236" s="20" t="s">
        <v>1190</v>
      </c>
    </row>
    <row r="237" spans="4:10" ht="20" customHeight="1" x14ac:dyDescent="0.25">
      <c r="D237" s="20" t="str" cm="1">
        <f t="array" ref="D237">Common_InputFunctions.Utility_DisplayArrayInTable(Scope3_SourceData.Scope3_SoilAmendments_Data(), Table_SourceData_Scope3_SoilAmeliorants[[#Headers],[Category]], 0, 2)</f>
        <v>Soil ameliorants</v>
      </c>
      <c r="E237" s="20" t="str" cm="1">
        <f t="array" ref="E237">Common_InputFunctions.Utility_DisplayArrayInTable(Scope3_SourceData.Scope3_SoilAmendments_Data(), Table_SourceData_Scope3_SoilAmeliorants[[#Headers],[Category]], 0, 2)</f>
        <v>Limestone (crushed)</v>
      </c>
      <c r="F237" s="20" t="str" cm="1">
        <f t="array" ref="F237">Common_InputFunctions.Utility_DisplayArrayInTable(Scope3_SourceData.Scope3_SoilAmendments_Data(), Table_SourceData_Scope3_SoilAmeliorants[[#Headers],[Category]], 0, 2)</f>
        <v>Australia</v>
      </c>
      <c r="G237" s="20" t="str" cm="1">
        <f t="array" ref="G237">Common_InputFunctions.Utility_DisplayArrayInTable(Scope3_SourceData.Scope3_SoilAmendments_Data(), Table_SourceData_Scope3_SoilAmeliorants[[#Headers],[Category]], 0, 2)</f>
        <v>kg</v>
      </c>
      <c r="H237" s="20" cm="1">
        <f t="array" ref="H237">Common_InputFunctions.Utility_DisplayArrayInTable(Scope3_SourceData.Scope3_SoilAmendments_Data(), Table_SourceData_Scope3_SoilAmeliorants[[#Headers],[Category]], 0, 2)</f>
        <v>4.8500000000000001E-2</v>
      </c>
      <c r="I237" s="20" t="str" cm="1">
        <f t="array" ref="I237">Common_InputFunctions.Utility_DisplayArrayInTable(Scope3_SourceData.Scope3_SoilAmendments_Data(), Table_SourceData_Scope3_SoilAmeliorants[[#Headers],[Category]], 0, 2)</f>
        <v>at market</v>
      </c>
      <c r="J237" s="20" t="s">
        <v>1190</v>
      </c>
    </row>
    <row r="238" spans="4:10" ht="20" customHeight="1" x14ac:dyDescent="0.25"/>
    <row r="240" spans="4:10" ht="20" x14ac:dyDescent="0.25" customHeight="1">
      <c r="D240" s="2" t="s">
        <v>1197</v>
      </c>
    </row>
    <row r="241" spans="4:18" x14ac:dyDescent="0.25" ht="20" customHeight="1">
      <c r="D241" s="20" t="s">
        <v>565</v>
      </c>
      <c r="E241" s="20" t="s">
        <v>139</v>
      </c>
      <c r="F241" s="20" t="s">
        <v>566</v>
      </c>
      <c r="G241" s="20" t="s">
        <v>567</v>
      </c>
      <c r="H241" s="20" t="s">
        <v>1189</v>
      </c>
      <c r="I241" s="20" t="s">
        <v>569</v>
      </c>
      <c r="J241" s="20" t="s">
        <v>728</v>
      </c>
      <c r="L241" s="20" t="s">
        <v>139</v>
      </c>
      <c r="M241" s="20" t="s">
        <v>490</v>
      </c>
      <c r="N241" s="1" t="str">
        <f>"Table_ProductRegions_" &amp; SUBSTITUTE(SUBSTITUTE(SUBSTITUTE(SUBSTITUTE(L242, " ", ""), ",", ""), "(", ""), ")", "")</f>
        <v>Table_ProductRegions_Sardineswhole</v>
      </c>
      <c r="R241" s="1"/>
    </row>
    <row r="242" spans="4:18" x14ac:dyDescent="0.25" ht="20" customHeight="1">
      <c r="D242" s="20" t="str" cm="1">
        <f t="array" ref="D242">Common_InputFunctions.Utility_DisplayArrayInTable(Scope3_SourceData.Scope3_Feed_Data(), Table_SourceData_Scope3_FishFeedAndBait[[#Headers],[Category]], 0, 2)</f>
        <v>Aquaculture feed</v>
      </c>
      <c r="E242" s="20" t="str" cm="1">
        <f t="array" ref="E242">Common_InputFunctions.Utility_DisplayArrayInTable(Scope3_SourceData.Scope3_Feed_Data(), Table_SourceData_Scope3_FishFeedAndBait[[#Headers],[Category]], 0, 2)</f>
        <v>Sardines (whole)</v>
      </c>
      <c r="F242" s="20" t="str" cm="1">
        <f t="array" ref="F242">Common_InputFunctions.Utility_DisplayArrayInTable(Scope3_SourceData.Scope3_Feed_Data(), Table_SourceData_Scope3_FishFeedAndBait[[#Headers],[Category]], 0, 2)</f>
        <v>SA</v>
      </c>
      <c r="G242" s="20" t="str" cm="1">
        <f t="array" ref="G242">Common_InputFunctions.Utility_DisplayArrayInTable(Scope3_SourceData.Scope3_Feed_Data(), Table_SourceData_Scope3_FishFeedAndBait[[#Headers],[Category]], 0, 2)</f>
        <v>kg</v>
      </c>
      <c r="H242" s="20" cm="1">
        <f t="array" ref="H242">Common_InputFunctions.Utility_DisplayArrayInTable(Scope3_SourceData.Scope3_Feed_Data(), Table_SourceData_Scope3_FishFeedAndBait[[#Headers],[Category]], 0, 2)</f>
        <v>0.376</v>
      </c>
      <c r="I242" s="20" t="str" cm="1">
        <f t="array" ref="I242">Common_InputFunctions.Utility_DisplayArrayInTable(Scope3_SourceData.Scope3_Feed_Data(), Table_SourceData_Scope3_FishFeedAndBait[[#Headers],[Category]], 0, 2)</f>
        <v>at market</v>
      </c>
      <c r="J242" s="20" t="s">
        <v>1190</v>
      </c>
      <c r="L242" s="20" t="str">
        <f>Table_SourceData_Scope3_FishFeedAndBait[[#This Row],[Product]]</f>
        <v>Sardines (whole)</v>
      </c>
      <c r="M242" s="20" t="str">
        <f>Table_SourceData_Scope3_FishFeedAndBait[[#This Row],[Region of origin]]</f>
        <v>SA</v>
      </c>
      <c r="R242" s="1"/>
    </row>
    <row r="243" spans="4:18" x14ac:dyDescent="0.25" ht="20" customHeight="1">
      <c r="D243" s="20" t="str" cm="1">
        <f t="array" ref="D243">Common_InputFunctions.Utility_DisplayArrayInTable(Scope3_SourceData.Scope3_FishFeedAndBait_Data(), Table_SourceData_Scope3_FishFeedAndBait[[#Headers],[Category]], 1, 1)</f>
        <v>Fish feed and bait</v>
      </c>
      <c r="E243" s="20" t="str" cm="1">
        <f t="array" ref="E243">Common_InputFunctions.Utility_DisplayArrayInTable(Scope3_SourceData.Scope3_FishFeedAndBait_Data(), Table_SourceData_Scope3_FishFeedAndBait[[#Headers],[Category]], 1, 1)</f>
        <v>Sardines (whole)</v>
      </c>
      <c r="F243" s="20" t="str" cm="1">
        <f t="array" ref="F243">Common_InputFunctions.Utility_DisplayArrayInTable(Scope3_SourceData.Scope3_FishFeedAndBait_Data(), Table_SourceData_Scope3_FishFeedAndBait[[#Headers],[Category]], 1, 1)</f>
        <v>Australia</v>
      </c>
      <c r="G243" s="20" t="str" cm="1">
        <f t="array" ref="G243">Common_InputFunctions.Utility_DisplayArrayInTable(Scope3_SourceData.Scope3_FishFeedAndBait_Data(), Table_SourceData_Scope3_FishFeedAndBait[[#Headers],[Category]], 1, 1)</f>
        <v>kg</v>
      </c>
      <c r="H243" s="20" cm="1">
        <f t="array" ref="H243">Common_InputFunctions.Utility_DisplayArrayInTable(Scope3_SourceData.Scope3_FishFeedAndBait_Data(), Table_SourceData_Scope3_FishFeedAndBait[[#Headers],[Category]], 1, 1)</f>
        <v>0.3</v>
      </c>
      <c r="I243" s="20" t="str" cm="1">
        <f t="array" ref="I243">Common_InputFunctions.Utility_DisplayArrayInTable(Scope3_SourceData.Scope3_FishFeedAndBait_Data(), Table_SourceData_Scope3_FishFeedAndBait[[#Headers],[Category]], 1, 1)</f>
        <v>Not specified</v>
      </c>
      <c r="J243" s="20" t="s">
        <v>1198</v>
      </c>
      <c r="L243" s="1" t="str">
        <f>Table_SourceData_Scope3_FishFeedAndBait[[#This Row],[Product]]</f>
        <v>Sardines (whole)</v>
      </c>
      <c r="M243" s="1" t="str">
        <f>Table_SourceData_Scope3_FishFeedAndBait[[#This Row],[Region of origin]]</f>
        <v>Australia</v>
      </c>
      <c r="R243" s="1"/>
    </row>
    <row r="244" spans="4:18" x14ac:dyDescent="0.25" ht="20" customHeight="1">
      <c r="D244" s="20" t="str" cm="1">
        <f t="array" ref="D244">Common_InputFunctions.Utility_DisplayArrayInTable(Scope3_SourceData.Scope3_FishFeedAndBait_Data(), Table_SourceData_Scope3_FishFeedAndBait[[#Headers],[Category]], 1, 1)</f>
        <v>Fish feed and bait</v>
      </c>
      <c r="E244" s="20" t="str" cm="1">
        <f t="array" ref="E244">Common_InputFunctions.Utility_DisplayArrayInTable(Scope3_SourceData.Scope3_FishFeedAndBait_Data(), Table_SourceData_Scope3_FishFeedAndBait[[#Headers],[Category]], 1, 1)</f>
        <v>Low Animal Protein Formulated Feed</v>
      </c>
      <c r="F244" s="20" t="str" cm="1">
        <f t="array" ref="F244">Common_InputFunctions.Utility_DisplayArrayInTable(Scope3_SourceData.Scope3_FishFeedAndBait_Data(), Table_SourceData_Scope3_FishFeedAndBait[[#Headers],[Category]], 1, 1)</f>
        <v>Australia</v>
      </c>
      <c r="G244" s="20" t="str" cm="1">
        <f t="array" ref="G244">Common_InputFunctions.Utility_DisplayArrayInTable(Scope3_SourceData.Scope3_FishFeedAndBait_Data(), Table_SourceData_Scope3_FishFeedAndBait[[#Headers],[Category]], 1, 1)</f>
        <v>kg</v>
      </c>
      <c r="H244" s="20" cm="1">
        <f t="array" ref="H244">Common_InputFunctions.Utility_DisplayArrayInTable(Scope3_SourceData.Scope3_FishFeedAndBait_Data(), Table_SourceData_Scope3_FishFeedAndBait[[#Headers],[Category]], 1, 1)</f>
        <v>2.2000000000000002</v>
      </c>
      <c r="I244" s="20" t="str" cm="1">
        <f t="array" ref="I244">Common_InputFunctions.Utility_DisplayArrayInTable(Scope3_SourceData.Scope3_FishFeedAndBait_Data(), Table_SourceData_Scope3_FishFeedAndBait[[#Headers],[Category]], 1, 1)</f>
        <v>Not specified</v>
      </c>
      <c r="J244" s="20" t="s">
        <v>1198</v>
      </c>
      <c r="R244" s="1"/>
    </row>
    <row r="245" spans="4:18" x14ac:dyDescent="0.25" ht="20" customHeight="1">
      <c r="D245" s="20" t="str" cm="1">
        <f t="array" ref="D245">Common_InputFunctions.Utility_DisplayArrayInTable(Scope3_SourceData.Scope3_FishFeedAndBait_Data(), Table_SourceData_Scope3_FishFeedAndBait[[#Headers],[Category]], 1, 1)</f>
        <v>Fish feed and bait</v>
      </c>
      <c r="E245" s="20" t="str" cm="1">
        <f t="array" ref="E245">Common_InputFunctions.Utility_DisplayArrayInTable(Scope3_SourceData.Scope3_FishFeedAndBait_Data(), Table_SourceData_Scope3_FishFeedAndBait[[#Headers],[Category]], 1, 1)</f>
        <v>Squid</v>
      </c>
      <c r="F245" s="20" t="str" cm="1">
        <f t="array" ref="F245">Common_InputFunctions.Utility_DisplayArrayInTable(Scope3_SourceData.Scope3_FishFeedAndBait_Data(), Table_SourceData_Scope3_FishFeedAndBait[[#Headers],[Category]], 1, 1)</f>
        <v>Australia</v>
      </c>
      <c r="G245" s="20" t="str" cm="1">
        <f t="array" ref="G245">Common_InputFunctions.Utility_DisplayArrayInTable(Scope3_SourceData.Scope3_FishFeedAndBait_Data(), Table_SourceData_Scope3_FishFeedAndBait[[#Headers],[Category]], 1, 1)</f>
        <v>kg</v>
      </c>
      <c r="H245" s="20" cm="1">
        <f t="array" ref="H245">Common_InputFunctions.Utility_DisplayArrayInTable(Scope3_SourceData.Scope3_FishFeedAndBait_Data(), Table_SourceData_Scope3_FishFeedAndBait[[#Headers],[Category]], 1, 1)</f>
        <v>0.3</v>
      </c>
      <c r="I245" s="20" t="str" cm="1">
        <f t="array" ref="I245">Common_InputFunctions.Utility_DisplayArrayInTable(Scope3_SourceData.Scope3_FishFeedAndBait_Data(), Table_SourceData_Scope3_FishFeedAndBait[[#Headers],[Category]], 1, 1)</f>
        <v>Not specified</v>
      </c>
      <c r="J245" s="20" t="s">
        <v>1198</v>
      </c>
      <c r="R245" s="1"/>
    </row>
    <row r="246" spans="4:18" x14ac:dyDescent="0.25" ht="20" customHeight="1">
      <c r="D246" s="20" t="str" cm="1">
        <f t="array" ref="D246">Common_InputFunctions.Utility_DisplayArrayInTable(Scope3_SourceData.Scope3_FishFeedAndBait_Data(), Table_SourceData_Scope3_FishFeedAndBait[[#Headers],[Category]], 1, 1)</f>
        <v>Fish feed and bait</v>
      </c>
      <c r="E246" s="20" t="str" cm="1">
        <f t="array" ref="E246">Common_InputFunctions.Utility_DisplayArrayInTable(Scope3_SourceData.Scope3_FishFeedAndBait_Data(), Table_SourceData_Scope3_FishFeedAndBait[[#Headers],[Category]], 1, 1)</f>
        <v>Whole fish</v>
      </c>
      <c r="F246" s="20" t="str" cm="1">
        <f t="array" ref="F246">Common_InputFunctions.Utility_DisplayArrayInTable(Scope3_SourceData.Scope3_FishFeedAndBait_Data(), Table_SourceData_Scope3_FishFeedAndBait[[#Headers],[Category]], 1, 1)</f>
        <v>Australia</v>
      </c>
      <c r="G246" s="20" t="str" cm="1">
        <f t="array" ref="G246">Common_InputFunctions.Utility_DisplayArrayInTable(Scope3_SourceData.Scope3_FishFeedAndBait_Data(), Table_SourceData_Scope3_FishFeedAndBait[[#Headers],[Category]], 1, 1)</f>
        <v>kg</v>
      </c>
      <c r="H246" s="20" cm="1">
        <f t="array" ref="H246">Common_InputFunctions.Utility_DisplayArrayInTable(Scope3_SourceData.Scope3_FishFeedAndBait_Data(), Table_SourceData_Scope3_FishFeedAndBait[[#Headers],[Category]], 1, 1)</f>
        <v>0.3</v>
      </c>
      <c r="I246" s="20" t="str" cm="1">
        <f t="array" ref="I246">Common_InputFunctions.Utility_DisplayArrayInTable(Scope3_SourceData.Scope3_FishFeedAndBait_Data(), Table_SourceData_Scope3_FishFeedAndBait[[#Headers],[Category]], 1, 1)</f>
        <v>Not specified</v>
      </c>
      <c r="J246" s="20" t="s">
        <v>1198</v>
      </c>
      <c r="R246" s="1"/>
    </row>
    <row r="247" spans="4:18" x14ac:dyDescent="0.25" ht="20" customHeight="1">
      <c r="D247" s="20" t="str" cm="1">
        <f t="array" ref="D247">Common_InputFunctions.Utility_DisplayArrayInTable(Scope3_SourceData.Scope3_FishFeedAndBait_Data(), Table_SourceData_Scope3_FishFeedAndBait[[#Headers],[Category]], 1, 1)</f>
        <v>Fish feed and bait</v>
      </c>
      <c r="E247" s="20" t="str" cm="1">
        <f t="array" ref="E247">Common_InputFunctions.Utility_DisplayArrayInTable(Scope3_SourceData.Scope3_FishFeedAndBait_Data(), Table_SourceData_Scope3_FishFeedAndBait[[#Headers],[Category]], 1, 1)</f>
        <v>Custom Bait</v>
      </c>
      <c r="F247" s="20" t="str" cm="1">
        <f t="array" ref="F247">Common_InputFunctions.Utility_DisplayArrayInTable(Scope3_SourceData.Scope3_FishFeedAndBait_Data(), Table_SourceData_Scope3_FishFeedAndBait[[#Headers],[Category]], 1, 1)</f>
        <v>Australia</v>
      </c>
      <c r="G247" s="20" t="str" cm="1">
        <f t="array" ref="G247">Common_InputFunctions.Utility_DisplayArrayInTable(Scope3_SourceData.Scope3_FishFeedAndBait_Data(), Table_SourceData_Scope3_FishFeedAndBait[[#Headers],[Category]], 1, 1)</f>
        <v>kg</v>
      </c>
      <c r="H247" s="20" cm="1">
        <f t="array" ref="H247">Common_InputFunctions.Utility_DisplayArrayInTable(Scope3_SourceData.Scope3_FishFeedAndBait_Data(), Table_SourceData_Scope3_FishFeedAndBait[[#Headers],[Category]], 1, 1)</f>
        <v>0.08</v>
      </c>
      <c r="I247" s="20" t="str" cm="1">
        <f t="array" ref="I247">Common_InputFunctions.Utility_DisplayArrayInTable(Scope3_SourceData.Scope3_FishFeedAndBait_Data(), Table_SourceData_Scope3_FishFeedAndBait[[#Headers],[Category]], 1, 1)</f>
        <v>Not specified</v>
      </c>
      <c r="J247" s="20" t="s">
        <v>1198</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0626C-E885-4A0F-A809-BF6A8E32D9DC}">
  <sheetPr>
    <tabColor theme="2" tint="-0.499984740745262"/>
  </sheetPr>
  <dimension ref="A1:AI165"/>
  <sheetViews>
    <sheetView showGridLines="0" zoomScaleNormal="100" workbookViewId="0">
      <pane xSplit="1" topLeftCell="B1" activePane="topRight" state="frozen"/>
      <selection pane="topRight" activeCell="A59" sqref="A59"/>
    </sheetView>
  </sheetViews>
  <sheetFormatPr defaultRowHeight="20" x14ac:dyDescent="0.25" customHeight="1"/>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921</v>
      </c>
      <c r="AG1"/>
      <c r="AH1"/>
      <c r="AI1"/>
    </row>
    <row r="2" spans="1:35" s="3" customFormat="1" ht="20" customHeight="1" x14ac:dyDescent="0.25">
      <c r="A2"/>
      <c r="AG2"/>
      <c r="AH2"/>
      <c r="AI2"/>
    </row>
    <row r="3" spans="1:35" ht="20"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 customHeight="1" x14ac:dyDescent="0.25">
      <c r="A4" s="5" t="str">
        <f>HYPERLINK("#'Results - Activity period'!A1", "Results - Activity period")</f>
        <v>Results - Activity period</v>
      </c>
    </row>
    <row r="5" spans="1:35" ht="20" customHeight="1" x14ac:dyDescent="0.25">
      <c r="A5" s="5" t="str">
        <f>HYPERLINK("#'Results - Product EI'!A1", "Results - Product Emissions Intensity")</f>
        <v>Results - Product Emissions Intensity</v>
      </c>
      <c r="D5" s="2" t="str" cm="1">
        <f t="array" ref="D5">WasteSolid_SourceData.Waste_EmissionFactorsForWasteTreatment_Title()</f>
        <v>Emission factors for wastes disposed of at different treatment facilities</v>
      </c>
    </row>
    <row r="6" spans="1:35" ht="20" customHeight="1" x14ac:dyDescent="0.25">
      <c r="D6" s="17" t="str" cm="1">
        <f t="array" ref="D6">WasteSolid_SourceData.Waste_EmissionFactorsForWasteTreatment_Source()</f>
        <v>VEERG 2026: Table A.4.1.1</v>
      </c>
    </row>
    <row r="7" spans="1:35" ht="20" customHeight="1" x14ac:dyDescent="0.25">
      <c r="D7" s="26" t="str" cm="1">
        <f t="array" ref="D7:D13">WasteSolid_SourceData.Waste_EmissionFactorsForWasteTreatment_Variation()</f>
        <v>VARIATION ON SOURCE:</v>
      </c>
    </row>
    <row r="8" spans="1:35" ht="20" customHeight="1" x14ac:dyDescent="0.25">
      <c r="A8" s="7" t="s">
        <v>0</v>
      </c>
      <c r="D8" s="26" t="str">
        <v>Fixed typo 'paper and carboard' to 'paper and cardboard'</v>
      </c>
    </row>
    <row r="9" spans="1:35" ht="20" customHeight="1" x14ac:dyDescent="0.25">
      <c r="A9" s="5" t="str">
        <f>HYPERLINK("#'Input - Enterprise'!A1", "Enterprise")</f>
        <v>Enterprise</v>
      </c>
      <c r="D9" s="26" t="str">
        <v>Fixed typo 'prunnings' to 'prunings'</v>
      </c>
    </row>
    <row r="10" spans="1:35" ht="20" customHeight="1" x14ac:dyDescent="0.25">
      <c r="A10" s="5" t="str">
        <f>HYPERLINK("#'Input - Site'!A1", "Site")</f>
        <v>Site</v>
      </c>
      <c r="D10" s="26" t="str">
        <v>Added EF source column with specific references</v>
      </c>
    </row>
    <row r="11" spans="1:35" ht="20" customHeight="1" x14ac:dyDescent="0.25">
      <c r="A11" s="5" t="str">
        <f>HYPERLINK("#'Input - Pasture Beef'!A1", "Pasture Beef")</f>
        <v>Pasture Beef</v>
      </c>
      <c r="D11" s="26" t="str">
        <v>Added sub-categories for 'Incineration: Food waste, green waste, wood, sludge' in order to use volume to mass conversion factor values</v>
      </c>
    </row>
    <row r="12" spans="1:35" ht="20" customHeight="1" x14ac:dyDescent="0.25">
      <c r="A12" s="5" t="str">
        <f>HYPERLINK("#'Input - Livestock sales'!A1", "Livestock sales")</f>
        <v>Livestock sales</v>
      </c>
      <c r="D12" s="26" t="str">
        <v>Added sub-categories for 'Composting: All organic waste' in order to use volume to mass conversion factor values</v>
      </c>
    </row>
    <row r="13" spans="1:35" ht="20" customHeight="1" x14ac:dyDescent="0.25">
      <c r="A13" s="5" t="str">
        <f>HYPERLINK("#'Input - Beef cattle purchases'!A1", "Beef cattle purchases")</f>
        <v>Beef cattle purchases</v>
      </c>
      <c r="D13" s="26" t="str">
        <v>Added sub-categories for 'Anaerobic digestion: All organic waste' in order to use volume to mass conversion factor values</v>
      </c>
    </row>
    <row r="14" spans="1:35" ht="20" customHeight="1" x14ac:dyDescent="0.25">
      <c r="A14" s="5" t="str">
        <f>HYPERLINK("#'Input - Pasture'!A1", "Pasture")</f>
        <v>Pasture</v>
      </c>
      <c r="D14" s="1" t="str" cm="1">
        <f t="array" ref="D14">WasteSolid_SourceData.Waste_EmissionFactorsForWasteTreatment_Variable()</f>
        <v>EFwt</v>
      </c>
    </row>
    <row r="15" spans="1:35" ht="20" customHeight="1" x14ac:dyDescent="0.25">
      <c r="A15" s="5" t="str">
        <f>HYPERLINK("#'Input - Fert Prod System'!A1", "Fert Prod System")</f>
        <v>Fert Prod System</v>
      </c>
      <c r="D15" s="9" t="str" cm="1">
        <f t="array" ref="D15">WasteSolid_SourceData.Waste_EmissionFactorsForWasteTreatment_Unit()</f>
        <v>t CO2e / t</v>
      </c>
      <c r="I15" s="1" t="s">
        <v>922</v>
      </c>
      <c r="K15" s="1" t="s">
        <v>923</v>
      </c>
      <c r="M15" s="1" t="s">
        <v>924</v>
      </c>
      <c r="O15" s="1" t="s">
        <v>925</v>
      </c>
    </row>
    <row r="16" spans="1:35" ht="20" customHeight="1" x14ac:dyDescent="0.25">
      <c r="A16" s="5" t="str">
        <f>HYPERLINK("#'Input - Fertiliser'!A1", "Fertiliser")</f>
        <v>Fertiliser</v>
      </c>
      <c r="D16" s="20" t="s">
        <v>926</v>
      </c>
      <c r="E16" s="20" t="s">
        <v>927</v>
      </c>
      <c r="F16" s="20" t="s">
        <v>928</v>
      </c>
      <c r="G16" s="20" t="s">
        <v>929</v>
      </c>
      <c r="I16" s="20" t="s">
        <v>927</v>
      </c>
      <c r="K16" s="230" t="s">
        <v>927</v>
      </c>
      <c r="M16" s="230" t="s">
        <v>927</v>
      </c>
      <c r="O16" s="230" t="s">
        <v>927</v>
      </c>
    </row>
    <row r="17" spans="1:15" ht="20" customHeight="1" x14ac:dyDescent="0.25">
      <c r="A17" s="5" t="str">
        <f>HYPERLINK("#'Input - Fuel'!A1", "Fuel")</f>
        <v>Fuel</v>
      </c>
      <c r="D17" s="20" t="str" cm="1">
        <f t="array" ref="D17">Common_InputFunctions.Utility_DisplayArrayInTable(WasteSolid_SourceData.Waste_EmissionFactorsForWasteTreatment_Data(), Table_SourceData_WasteSolid_WasteTreatmentEFs[[#Headers],[Treatment type t]], 0)</f>
        <v>Landfill</v>
      </c>
      <c r="E17" s="2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0" cm="1">
        <f t="array" ref="F17">Common_InputFunctions.Utility_DisplayArrayInTable(WasteSolid_SourceData.Waste_EmissionFactorsForWasteTreatment_Data(), Table_SourceData_WasteSolid_WasteTreatmentEFs[[#Headers],[Treatment type t]], 0)</f>
        <v>2.1</v>
      </c>
      <c r="G17" s="20" t="str" cm="1">
        <f t="array" ref="G17">Common_InputFunctions.Utility_DisplayArrayInTable(WasteSolid_SourceData.Waste_EmissionFactorsForWasteTreatment_Data(), Table_SourceData_WasteSolid_WasteTreatmentEFs[[#Headers],[Treatment type t]], 0)</f>
        <v>NGAF 2025 table 15</v>
      </c>
      <c r="I17" s="2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 customHeight="1" x14ac:dyDescent="0.25">
      <c r="A18" s="5" t="str">
        <f>HYPERLINK("#'Input - Electricity'!A1", "Electricity")</f>
        <v>Electricity</v>
      </c>
      <c r="D18" s="1" t="str" cm="1">
        <f t="array" ref="D18">Common_InputFunctions.Utility_DisplayArrayInTable(WasteSolid_SourceData.Waste_EmissionFactorsForWasteTreatment_Data(), Table_SourceData_WasteSolid_WasteTreatmentEFs[[#Headers],[Treatment type t]], 0)</f>
        <v>Landfill</v>
      </c>
      <c r="E18" s="20" t="str" cm="1">
        <f t="array" ref="E18">Common_InputFunctions.Utility_DisplayArrayInTable(WasteSolid_SourceData.Waste_EmissionFactorsForWasteTreatment_Data(), Table_SourceData_WasteSolid_WasteTreatmentEFs[[#Headers],[Treatment type t]], 0)</f>
        <v>Paper and cardboard</v>
      </c>
      <c r="F18" s="20" cm="1">
        <f t="array" ref="F18">Common_InputFunctions.Utility_DisplayArrayInTable(WasteSolid_SourceData.Waste_EmissionFactorsForWasteTreatment_Data(), Table_SourceData_WasteSolid_WasteTreatmentEFs[[#Headers],[Treatment type t]], 0)</f>
        <v>3.3</v>
      </c>
      <c r="G18" s="20" t="str" cm="1">
        <f t="array" ref="G18">Common_InputFunctions.Utility_DisplayArrayInTable(WasteSolid_SourceData.Waste_EmissionFactorsForWasteTreatment_Data(), Table_SourceData_WasteSolid_WasteTreatmentEFs[[#Headers],[Treatment type t]], 0)</f>
        <v>NGAF 2025 table 15</v>
      </c>
      <c r="I18" s="2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 customHeight="1" x14ac:dyDescent="0.25">
      <c r="A19" s="5" t="str">
        <f>HYPERLINK("#'Input - Common farm inputs'!A1", "Common farm inputs")</f>
        <v>Common farm inputs</v>
      </c>
      <c r="D19" s="1" t="str" cm="1">
        <f t="array" ref="D19">Common_InputFunctions.Utility_DisplayArrayInTable(WasteSolid_SourceData.Waste_EmissionFactorsForWasteTreatment_Data(), Table_SourceData_WasteSolid_WasteTreatmentEFs[[#Headers],[Treatment type t]], 0)</f>
        <v>Landfill</v>
      </c>
      <c r="E19" s="20" t="str" cm="1">
        <f t="array" ref="E19">Common_InputFunctions.Utility_DisplayArrayInTable(WasteSolid_SourceData.Waste_EmissionFactorsForWasteTreatment_Data(), Table_SourceData_WasteSolid_WasteTreatmentEFs[[#Headers],[Treatment type t]], 0)</f>
        <v>Green waste (including crop residues or prunings)</v>
      </c>
      <c r="F19" s="20" cm="1">
        <f t="array" ref="F19">Common_InputFunctions.Utility_DisplayArrayInTable(WasteSolid_SourceData.Waste_EmissionFactorsForWasteTreatment_Data(), Table_SourceData_WasteSolid_WasteTreatmentEFs[[#Headers],[Treatment type t]], 0)</f>
        <v>1.6</v>
      </c>
      <c r="G19" s="20" t="str" cm="1">
        <f t="array" ref="G19">Common_InputFunctions.Utility_DisplayArrayInTable(WasteSolid_SourceData.Waste_EmissionFactorsForWasteTreatment_Data(), Table_SourceData_WasteSolid_WasteTreatmentEFs[[#Headers],[Treatment type t]], 0)</f>
        <v>NGAF 2025 table 15</v>
      </c>
      <c r="I19" s="20" t="str">
        <f>Table_SourceData_WasteSolid_WasteTreatmentEFs[[#This Row],[Waste type w]]</f>
        <v>Green waste (including crop residues or prunings)</v>
      </c>
      <c r="K19" s="1" t="str">
        <f t="shared" si="0"/>
        <v>Wood</v>
      </c>
      <c r="M19" s="1" t="str">
        <f>E42</f>
        <v>Wood</v>
      </c>
      <c r="O19" s="1" t="str">
        <f>E48</f>
        <v>Wood</v>
      </c>
    </row>
    <row r="20" spans="1:15" ht="20" customHeight="1" x14ac:dyDescent="0.25">
      <c r="A20" s="5" t="str">
        <f>HYPERLINK("#'Input - Crop pasture farm input'!A1", "Crop pasture farm input")</f>
        <v>Crop pasture farm input</v>
      </c>
      <c r="D20" s="1" t="str" cm="1">
        <f t="array" ref="D20">Common_InputFunctions.Utility_DisplayArrayInTable(WasteSolid_SourceData.Waste_EmissionFactorsForWasteTreatment_Data(), Table_SourceData_WasteSolid_WasteTreatmentEFs[[#Headers],[Treatment type t]], 0)</f>
        <v>Landfill</v>
      </c>
      <c r="E20" s="20" t="str" cm="1">
        <f t="array" ref="E20">Common_InputFunctions.Utility_DisplayArrayInTable(WasteSolid_SourceData.Waste_EmissionFactorsForWasteTreatment_Data(), Table_SourceData_WasteSolid_WasteTreatmentEFs[[#Headers],[Treatment type t]], 0)</f>
        <v>Wood</v>
      </c>
      <c r="F20" s="20" cm="1">
        <f t="array" ref="F20">Common_InputFunctions.Utility_DisplayArrayInTable(WasteSolid_SourceData.Waste_EmissionFactorsForWasteTreatment_Data(), Table_SourceData_WasteSolid_WasteTreatmentEFs[[#Headers],[Treatment type t]], 0)</f>
        <v>0.7</v>
      </c>
      <c r="G20" s="20" t="str" cm="1">
        <f t="array" ref="G20">Common_InputFunctions.Utility_DisplayArrayInTable(WasteSolid_SourceData.Waste_EmissionFactorsForWasteTreatment_Data(), Table_SourceData_WasteSolid_WasteTreatmentEFs[[#Headers],[Treatment type t]], 0)</f>
        <v>NGAF 2025 table 15</v>
      </c>
      <c r="I20" s="20" t="str">
        <f>Table_SourceData_WasteSolid_WasteTreatmentEFs[[#This Row],[Waste type w]]</f>
        <v>Wood</v>
      </c>
      <c r="K20" s="1" t="str">
        <f t="shared" si="0"/>
        <v>Sludge</v>
      </c>
      <c r="M20" s="1" t="str">
        <f>E43</f>
        <v>Sludge</v>
      </c>
      <c r="O20" s="1" t="str">
        <f>E49</f>
        <v>Sludge</v>
      </c>
    </row>
    <row r="21" spans="1:15" ht="20" customHeight="1" x14ac:dyDescent="0.25">
      <c r="A21" s="5" t="str">
        <f>HYPERLINK("#'Input - Livestock farm Inputs'!A1", "Livestock farm Inputs")</f>
        <v>Livestock farm Inputs</v>
      </c>
      <c r="D21" s="1" t="str" cm="1">
        <f t="array" ref="D21">Common_InputFunctions.Utility_DisplayArrayInTable(WasteSolid_SourceData.Waste_EmissionFactorsForWasteTreatment_Data(), Table_SourceData_WasteSolid_WasteTreatmentEFs[[#Headers],[Treatment type t]], 0)</f>
        <v>Landfill</v>
      </c>
      <c r="E21" s="20" t="str" cm="1">
        <f t="array" ref="E21">Common_InputFunctions.Utility_DisplayArrayInTable(WasteSolid_SourceData.Waste_EmissionFactorsForWasteTreatment_Data(), Table_SourceData_WasteSolid_WasteTreatmentEFs[[#Headers],[Treatment type t]], 0)</f>
        <v>Textiles</v>
      </c>
      <c r="F21" s="20" cm="1">
        <f t="array" ref="F21">Common_InputFunctions.Utility_DisplayArrayInTable(WasteSolid_SourceData.Waste_EmissionFactorsForWasteTreatment_Data(), Table_SourceData_WasteSolid_WasteTreatmentEFs[[#Headers],[Treatment type t]], 0)</f>
        <v>2</v>
      </c>
      <c r="G21" s="20" t="str" cm="1">
        <f t="array" ref="G21">Common_InputFunctions.Utility_DisplayArrayInTable(WasteSolid_SourceData.Waste_EmissionFactorsForWasteTreatment_Data(), Table_SourceData_WasteSolid_WasteTreatmentEFs[[#Headers],[Treatment type t]], 0)</f>
        <v>NGAF 2025 table 15</v>
      </c>
      <c r="I21" s="20" t="str">
        <f>Table_SourceData_WasteSolid_WasteTreatmentEFs[[#This Row],[Waste type w]]</f>
        <v>Textiles</v>
      </c>
      <c r="K21" s="1" t="str">
        <f t="shared" si="0"/>
        <v>Paper and cardboard</v>
      </c>
      <c r="M21" s="1" t="str">
        <f>E44</f>
        <v>Paper and cardboard</v>
      </c>
      <c r="O21" s="1" t="str">
        <f>E50</f>
        <v>Paper and cardboard</v>
      </c>
    </row>
    <row r="22" spans="1:15" ht="20" customHeight="1" x14ac:dyDescent="0.25">
      <c r="A22" s="5" t="str">
        <f>HYPERLINK("#'Input - Freight'!A1", "Freight")</f>
        <v>Freight</v>
      </c>
      <c r="D22" s="1" t="str" cm="1">
        <f t="array" ref="D22">Common_InputFunctions.Utility_DisplayArrayInTable(WasteSolid_SourceData.Waste_EmissionFactorsForWasteTreatment_Data(), Table_SourceData_WasteSolid_WasteTreatmentEFs[[#Headers],[Treatment type t]], 0)</f>
        <v>Landfill</v>
      </c>
      <c r="E22" s="20" t="str" cm="1">
        <f t="array" ref="E22">Common_InputFunctions.Utility_DisplayArrayInTable(WasteSolid_SourceData.Waste_EmissionFactorsForWasteTreatment_Data(), Table_SourceData_WasteSolid_WasteTreatmentEFs[[#Headers],[Treatment type t]], 0)</f>
        <v>Sludge</v>
      </c>
      <c r="F22" s="20" cm="1">
        <f t="array" ref="F22">Common_InputFunctions.Utility_DisplayArrayInTable(WasteSolid_SourceData.Waste_EmissionFactorsForWasteTreatment_Data(), Table_SourceData_WasteSolid_WasteTreatmentEFs[[#Headers],[Treatment type t]], 0)</f>
        <v>0.4</v>
      </c>
      <c r="G22" s="20" t="str" cm="1">
        <f t="array" ref="G22">Common_InputFunctions.Utility_DisplayArrayInTable(WasteSolid_SourceData.Waste_EmissionFactorsForWasteTreatment_Data(), Table_SourceData_WasteSolid_WasteTreatmentEFs[[#Headers],[Treatment type t]], 0)</f>
        <v>NGAF 2025 table 15</v>
      </c>
      <c r="I22" s="20" t="str">
        <f>Table_SourceData_WasteSolid_WasteTreatmentEFs[[#This Row],[Waste type w]]</f>
        <v>Sludge</v>
      </c>
      <c r="K22" s="1" t="str">
        <f t="shared" si="0"/>
        <v>Textiles</v>
      </c>
    </row>
    <row r="23" spans="1:15" ht="20" customHeight="1" x14ac:dyDescent="0.25">
      <c r="A23" s="5" t="str">
        <f>HYPERLINK("#'Input - Solid waste'!A1", "Solid waste")</f>
        <v>Solid waste</v>
      </c>
      <c r="D23" s="1" t="str" cm="1">
        <f t="array" ref="D23">Common_InputFunctions.Utility_DisplayArrayInTable(WasteSolid_SourceData.Waste_EmissionFactorsForWasteTreatment_Data(), Table_SourceData_WasteSolid_WasteTreatmentEFs[[#Headers],[Treatment type t]], 0)</f>
        <v>Landfill</v>
      </c>
      <c r="E23" s="20" t="str" cm="1">
        <f t="array" ref="E23">Common_InputFunctions.Utility_DisplayArrayInTable(WasteSolid_SourceData.Waste_EmissionFactorsForWasteTreatment_Data(), Table_SourceData_WasteSolid_WasteTreatmentEFs[[#Headers],[Treatment type t]], 0)</f>
        <v>Rubber and leather</v>
      </c>
      <c r="F23" s="20" cm="1">
        <f t="array" ref="F23">Common_InputFunctions.Utility_DisplayArrayInTable(WasteSolid_SourceData.Waste_EmissionFactorsForWasteTreatment_Data(), Table_SourceData_WasteSolid_WasteTreatmentEFs[[#Headers],[Treatment type t]], 0)</f>
        <v>3.3</v>
      </c>
      <c r="G23" s="20" t="str" cm="1">
        <f t="array" ref="G23">Common_InputFunctions.Utility_DisplayArrayInTable(WasteSolid_SourceData.Waste_EmissionFactorsForWasteTreatment_Data(), Table_SourceData_WasteSolid_WasteTreatmentEFs[[#Headers],[Treatment type t]], 0)</f>
        <v>NGAF 2025 table 15</v>
      </c>
      <c r="I23" s="20" t="str">
        <f>Table_SourceData_WasteSolid_WasteTreatmentEFs[[#This Row],[Waste type w]]</f>
        <v>Rubber and leather</v>
      </c>
      <c r="K23" s="1" t="str">
        <f t="shared" si="0"/>
        <v>Rubber and leather</v>
      </c>
    </row>
    <row r="24" spans="1:15" ht="20" customHeight="1" x14ac:dyDescent="0.25">
      <c r="A24" s="5" t="str">
        <f>HYPERLINK("#'Input - Manure sent off-site'!A1", "Manure sent off-site")</f>
        <v>Manure sent off-site</v>
      </c>
      <c r="D24" s="1" t="str" cm="1">
        <f t="array" ref="D24">Common_InputFunctions.Utility_DisplayArrayInTable(WasteSolid_SourceData.Waste_EmissionFactorsForWasteTreatment_Data(), Table_SourceData_WasteSolid_WasteTreatmentEFs[[#Headers],[Treatment type t]], 0)</f>
        <v>Landfill</v>
      </c>
      <c r="E24" s="20" t="str" cm="1">
        <f t="array" ref="E24">Common_InputFunctions.Utility_DisplayArrayInTable(WasteSolid_SourceData.Waste_EmissionFactorsForWasteTreatment_Data(), Table_SourceData_WasteSolid_WasteTreatmentEFs[[#Headers],[Treatment type t]], 0)</f>
        <v>Inert waste (including concrete, metal, plastic or glass)</v>
      </c>
      <c r="F24" s="20" cm="1">
        <f t="array" ref="F24">Common_InputFunctions.Utility_DisplayArrayInTable(WasteSolid_SourceData.Waste_EmissionFactorsForWasteTreatment_Data(), Table_SourceData_WasteSolid_WasteTreatmentEFs[[#Headers],[Treatment type t]], 0)</f>
        <v>0</v>
      </c>
      <c r="G24" s="20" t="str" cm="1">
        <f t="array" ref="G24">Common_InputFunctions.Utility_DisplayArrayInTable(WasteSolid_SourceData.Waste_EmissionFactorsForWasteTreatment_Data(), Table_SourceData_WasteSolid_WasteTreatmentEFs[[#Headers],[Treatment type t]], 0)</f>
        <v>NGAF 2025 table 15</v>
      </c>
      <c r="I24" s="20" t="str">
        <f>Table_SourceData_WasteSolid_WasteTreatmentEFs[[#This Row],[Waste type w]]</f>
        <v>Inert waste (including concrete, metal, plastic or glass)</v>
      </c>
      <c r="K24" s="1" t="str">
        <f t="shared" si="0"/>
        <v>Inert waste (including concrete, metal, plastic or glass)</v>
      </c>
    </row>
    <row r="25" spans="1:15" ht="20" customHeight="1" x14ac:dyDescent="0.25">
      <c r="A25" s="5" t="str">
        <f>HYPERLINK("#'Input - Data quality'!A1", "Data quality")</f>
        <v>Data quality</v>
      </c>
      <c r="D25" s="1" t="str" cm="1">
        <f t="array" ref="D25">Common_InputFunctions.Utility_DisplayArrayInTable(WasteSolid_SourceData.Waste_EmissionFactorsForWasteTreatment_Data(), Table_SourceData_WasteSolid_WasteTreatmentEFs[[#Headers],[Treatment type t]], 0)</f>
        <v>Landfill</v>
      </c>
      <c r="E25" s="20" t="str" cm="1">
        <f t="array" ref="E25">Common_InputFunctions.Utility_DisplayArrayInTable(WasteSolid_SourceData.Waste_EmissionFactorsForWasteTreatment_Data(), Table_SourceData_WasteSolid_WasteTreatmentEFs[[#Headers],[Treatment type t]], 0)</f>
        <v>Municipal solid waste</v>
      </c>
      <c r="F25" s="20" cm="1">
        <f t="array" ref="F25">Common_InputFunctions.Utility_DisplayArrayInTable(WasteSolid_SourceData.Waste_EmissionFactorsForWasteTreatment_Data(), Table_SourceData_WasteSolid_WasteTreatmentEFs[[#Headers],[Treatment type t]], 0)</f>
        <v>1.6</v>
      </c>
      <c r="G25" s="20" t="str" cm="1">
        <f t="array" ref="G25">Common_InputFunctions.Utility_DisplayArrayInTable(WasteSolid_SourceData.Waste_EmissionFactorsForWasteTreatment_Data(), Table_SourceData_WasteSolid_WasteTreatmentEFs[[#Headers],[Treatment type t]], 0)</f>
        <v>NGAF 2025 table 15</v>
      </c>
      <c r="I25" s="20" t="str">
        <f>Table_SourceData_WasteSolid_WasteTreatmentEFs[[#This Row],[Waste type w]]</f>
        <v>Municipal solid waste</v>
      </c>
      <c r="K25" s="1" t="str">
        <f t="shared" si="0"/>
        <v>Municipal solid waste</v>
      </c>
    </row>
    <row r="26" spans="1:15" ht="20" customHeight="1" x14ac:dyDescent="0.25">
      <c r="D26" s="1" t="str" cm="1">
        <f t="array" ref="D26">Common_InputFunctions.Utility_DisplayArrayInTable(WasteSolid_SourceData.Waste_EmissionFactorsForWasteTreatment_Data(), Table_SourceData_WasteSolid_WasteTreatmentEFs[[#Headers],[Treatment type t]], 0)</f>
        <v>Landfill</v>
      </c>
      <c r="E26" s="20" t="str" cm="1">
        <f t="array" ref="E26">Common_InputFunctions.Utility_DisplayArrayInTable(WasteSolid_SourceData.Waste_EmissionFactorsForWasteTreatment_Data(), Table_SourceData_WasteSolid_WasteTreatmentEFs[[#Headers],[Treatment type t]], 0)</f>
        <v>Commercial and industrial waste</v>
      </c>
      <c r="F26" s="20" cm="1">
        <f t="array" ref="F26">Common_InputFunctions.Utility_DisplayArrayInTable(WasteSolid_SourceData.Waste_EmissionFactorsForWasteTreatment_Data(), Table_SourceData_WasteSolid_WasteTreatmentEFs[[#Headers],[Treatment type t]], 0)</f>
        <v>1.3</v>
      </c>
      <c r="G26" s="20" t="str" cm="1">
        <f t="array" ref="G26">Common_InputFunctions.Utility_DisplayArrayInTable(WasteSolid_SourceData.Waste_EmissionFactorsForWasteTreatment_Data(), Table_SourceData_WasteSolid_WasteTreatmentEFs[[#Headers],[Treatment type t]], 0)</f>
        <v>NGAF 2025 table 15</v>
      </c>
      <c r="I26" s="20" t="str">
        <f>Table_SourceData_WasteSolid_WasteTreatmentEFs[[#This Row],[Waste type w]]</f>
        <v>Commercial and industrial waste</v>
      </c>
      <c r="K26" s="1" t="str">
        <f t="shared" si="0"/>
        <v>Commercial and industrial waste</v>
      </c>
    </row>
    <row r="27" spans="1:15" ht="20" customHeight="1" x14ac:dyDescent="0.25">
      <c r="D27" s="1" t="str" cm="1">
        <f t="array" ref="D27">Common_InputFunctions.Utility_DisplayArrayInTable(WasteSolid_SourceData.Waste_EmissionFactorsForWasteTreatment_Data(), Table_SourceData_WasteSolid_WasteTreatmentEFs[[#Headers],[Treatment type t]], 0)</f>
        <v>Landfill</v>
      </c>
      <c r="E27" s="20" t="str" cm="1">
        <f t="array" ref="E27">Common_InputFunctions.Utility_DisplayArrayInTable(WasteSolid_SourceData.Waste_EmissionFactorsForWasteTreatment_Data(), Table_SourceData_WasteSolid_WasteTreatmentEFs[[#Headers],[Treatment type t]], 0)</f>
        <v>Construction and demolition waste</v>
      </c>
      <c r="F27" s="20" cm="1">
        <f t="array" ref="F27">Common_InputFunctions.Utility_DisplayArrayInTable(WasteSolid_SourceData.Waste_EmissionFactorsForWasteTreatment_Data(), Table_SourceData_WasteSolid_WasteTreatmentEFs[[#Headers],[Treatment type t]], 0)</f>
        <v>0.2</v>
      </c>
      <c r="G27" s="20" t="str" cm="1">
        <f t="array" ref="G27">Common_InputFunctions.Utility_DisplayArrayInTable(WasteSolid_SourceData.Waste_EmissionFactorsForWasteTreatment_Data(), Table_SourceData_WasteSolid_WasteTreatmentEFs[[#Headers],[Treatment type t]], 0)</f>
        <v>NGAF 2025 table 15</v>
      </c>
      <c r="I27" s="20" t="str">
        <f>Table_SourceData_WasteSolid_WasteTreatmentEFs[[#This Row],[Waste type w]]</f>
        <v>Construction and demolition waste</v>
      </c>
    </row>
    <row r="28" spans="1:15" ht="20" customHeight="1" x14ac:dyDescent="0.25">
      <c r="A28" s="6" t="s">
        <v>2</v>
      </c>
      <c r="D28" s="1" t="str" cm="1">
        <f t="array" ref="D28">Common_InputFunctions.Utility_DisplayArrayInTable(WasteSolid_SourceData.Waste_EmissionFactorsForWasteTreatment_Data(), Table_SourceData_WasteSolid_WasteTreatmentEFs[[#Headers],[Treatment type t]], 0)</f>
        <v>Incineration</v>
      </c>
      <c r="E28" s="20" t="str" cm="1">
        <f t="array" ref="E28">Common_InputFunctions.Utility_DisplayArrayInTable(WasteSolid_SourceData.Waste_EmissionFactorsForWasteTreatment_Data(), Table_SourceData_WasteSolid_WasteTreatmentEFs[[#Headers],[Treatment type t]], 0)</f>
        <v>Food waste, green waste, wood, sludge</v>
      </c>
      <c r="F28" s="20" cm="1">
        <f t="array" ref="F28">Common_InputFunctions.Utility_DisplayArrayInTable(WasteSolid_SourceData.Waste_EmissionFactorsForWasteTreatment_Data(), Table_SourceData_WasteSolid_WasteTreatmentEFs[[#Headers],[Treatment type t]], 0)</f>
        <v>0</v>
      </c>
      <c r="G28" s="20" t="str" cm="1">
        <f t="array" ref="G28">Common_InputFunctions.Utility_DisplayArrayInTable(WasteSolid_SourceData.Waste_EmissionFactorsForWasteTreatment_Data(), Table_SourceData_WasteSolid_WasteTreatmentEFs[[#Headers],[Treatment type t]], 0)</f>
        <v/>
      </c>
    </row>
    <row r="29" spans="1:15" ht="20" customHeight="1" x14ac:dyDescent="0.25">
      <c r="A29" s="5" t="str">
        <f>HYPERLINK("#'3.2.1.1-2 Enteric Methane'!A1", "3.2.1.1-2 Enteric Methane")</f>
        <v>3.2.1.1-2 Enteric Methane</v>
      </c>
      <c r="D29" s="1" t="str" cm="1">
        <f t="array" ref="D29">Common_InputFunctions.Utility_DisplayArrayInTable(WasteSolid_SourceData.Waste_EmissionFactorsForWasteTreatment_Data(), Table_SourceData_WasteSolid_WasteTreatmentEFs[[#Headers],[Treatment type t]], 0)</f>
        <v>Incineration</v>
      </c>
      <c r="E29" s="2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0" cm="1">
        <f t="array" ref="F29">Common_InputFunctions.Utility_DisplayArrayInTable(WasteSolid_SourceData.Waste_EmissionFactorsForWasteTreatment_Data(), Table_SourceData_WasteSolid_WasteTreatmentEFs[[#Headers],[Treatment type t]], 0)</f>
        <v>0</v>
      </c>
      <c r="G29" s="20" t="str" cm="1">
        <f t="array" ref="G29">Common_InputFunctions.Utility_DisplayArrayInTable(WasteSolid_SourceData.Waste_EmissionFactorsForWasteTreatment_Data(), Table_SourceData_WasteSolid_WasteTreatmentEFs[[#Headers],[Treatment type t]], 0)</f>
        <v/>
      </c>
    </row>
    <row r="30" spans="1:15" ht="20" customHeight="1" x14ac:dyDescent="0.25">
      <c r="A30" s="5" t="str">
        <f>HYPERLINK("#'4.2.1.1-2 Methane'!A1", "4.2.1.1-2 Manure methane")</f>
        <v>4.2.1.1-2 Manure methane</v>
      </c>
      <c r="D30" s="1" t="str" cm="1">
        <f t="array" ref="D30">Common_InputFunctions.Utility_DisplayArrayInTable(WasteSolid_SourceData.Waste_EmissionFactorsForWasteTreatment_Data(), Table_SourceData_WasteSolid_WasteTreatmentEFs[[#Headers],[Treatment type t]], 0)</f>
        <v>Incineration</v>
      </c>
      <c r="E30" s="20" t="str" cm="1">
        <f t="array" ref="E30">Common_InputFunctions.Utility_DisplayArrayInTable(WasteSolid_SourceData.Waste_EmissionFactorsForWasteTreatment_Data(), Table_SourceData_WasteSolid_WasteTreatmentEFs[[#Headers],[Treatment type t]], 0)</f>
        <v>Green waste (including crop residues or prunings)</v>
      </c>
      <c r="F30" s="20" cm="1">
        <f t="array" ref="F30">Common_InputFunctions.Utility_DisplayArrayInTable(WasteSolid_SourceData.Waste_EmissionFactorsForWasteTreatment_Data(), Table_SourceData_WasteSolid_WasteTreatmentEFs[[#Headers],[Treatment type t]], 0)</f>
        <v>0</v>
      </c>
      <c r="G30" s="20" t="str" cm="1">
        <f t="array" ref="G30">Common_InputFunctions.Utility_DisplayArrayInTable(WasteSolid_SourceData.Waste_EmissionFactorsForWasteTreatment_Data(), Table_SourceData_WasteSolid_WasteTreatmentEFs[[#Headers],[Treatment type t]], 0)</f>
        <v/>
      </c>
    </row>
    <row r="31" spans="1:15" ht="20" customHeight="1" x14ac:dyDescent="0.25">
      <c r="A31" s="5" t="str">
        <f>HYPERLINK("#'4.2.1.3-4 Soil direct N20'!A1", "4.2.1.3-4 Soil direct N2O")</f>
        <v>4.2.1.3-4 Soil direct N2O</v>
      </c>
      <c r="D31" s="1" t="str" cm="1">
        <f t="array" ref="D31">Common_InputFunctions.Utility_DisplayArrayInTable(WasteSolid_SourceData.Waste_EmissionFactorsForWasteTreatment_Data(), Table_SourceData_WasteSolid_WasteTreatmentEFs[[#Headers],[Treatment type t]], 0)</f>
        <v>Incineration</v>
      </c>
      <c r="E31" s="20" t="str" cm="1">
        <f t="array" ref="E31">Common_InputFunctions.Utility_DisplayArrayInTable(WasteSolid_SourceData.Waste_EmissionFactorsForWasteTreatment_Data(), Table_SourceData_WasteSolid_WasteTreatmentEFs[[#Headers],[Treatment type t]], 0)</f>
        <v>Wood</v>
      </c>
      <c r="F31" s="20" cm="1">
        <f t="array" ref="F31">Common_InputFunctions.Utility_DisplayArrayInTable(WasteSolid_SourceData.Waste_EmissionFactorsForWasteTreatment_Data(), Table_SourceData_WasteSolid_WasteTreatmentEFs[[#Headers],[Treatment type t]], 0)</f>
        <v>0</v>
      </c>
      <c r="G31" s="20" t="str" cm="1">
        <f t="array" ref="G31">Common_InputFunctions.Utility_DisplayArrayInTable(WasteSolid_SourceData.Waste_EmissionFactorsForWasteTreatment_Data(), Table_SourceData_WasteSolid_WasteTreatmentEFs[[#Headers],[Treatment type t]], 0)</f>
        <v/>
      </c>
    </row>
    <row r="32" spans="1:15" ht="20" customHeight="1" x14ac:dyDescent="0.25">
      <c r="A32" s="5" t="str">
        <f>HYPERLINK("#'4.2.1.5-6 Soil Atmos Dep'!A1", "4.2.1.5-6 Soil atm. deposition")</f>
        <v>4.2.1.5-6 Soil atm. deposition</v>
      </c>
      <c r="D32" s="1" t="str" cm="1">
        <f t="array" ref="D32">Common_InputFunctions.Utility_DisplayArrayInTable(WasteSolid_SourceData.Waste_EmissionFactorsForWasteTreatment_Data(), Table_SourceData_WasteSolid_WasteTreatmentEFs[[#Headers],[Treatment type t]], 0)</f>
        <v>Incineration</v>
      </c>
      <c r="E32" s="20" t="str" cm="1">
        <f t="array" ref="E32">Common_InputFunctions.Utility_DisplayArrayInTable(WasteSolid_SourceData.Waste_EmissionFactorsForWasteTreatment_Data(), Table_SourceData_WasteSolid_WasteTreatmentEFs[[#Headers],[Treatment type t]], 0)</f>
        <v>Sludge</v>
      </c>
      <c r="F32" s="20" cm="1">
        <f t="array" ref="F32">Common_InputFunctions.Utility_DisplayArrayInTable(WasteSolid_SourceData.Waste_EmissionFactorsForWasteTreatment_Data(), Table_SourceData_WasteSolid_WasteTreatmentEFs[[#Headers],[Treatment type t]], 0)</f>
        <v>0</v>
      </c>
      <c r="G32" s="20" t="str" cm="1">
        <f t="array" ref="G32">Common_InputFunctions.Utility_DisplayArrayInTable(WasteSolid_SourceData.Waste_EmissionFactorsForWasteTreatment_Data(), Table_SourceData_WasteSolid_WasteTreatmentEFs[[#Headers],[Treatment type t]], 0)</f>
        <v/>
      </c>
    </row>
    <row r="33" spans="1:7" ht="20" customHeight="1" x14ac:dyDescent="0.25">
      <c r="A33" s="5" t="str">
        <f>HYPERLINK("#'4.2.1.7-8 Soil leach runoff'!A1", "4.2.1.7-8 Soil leach &amp; runoff")</f>
        <v>4.2.1.7-8 Soil leach &amp; runoff</v>
      </c>
      <c r="D33" s="1" t="str" cm="1">
        <f t="array" ref="D33">Common_InputFunctions.Utility_DisplayArrayInTable(WasteSolid_SourceData.Waste_EmissionFactorsForWasteTreatment_Data(), Table_SourceData_WasteSolid_WasteTreatmentEFs[[#Headers],[Treatment type t]], 0)</f>
        <v>Incineration</v>
      </c>
      <c r="E33" s="20" t="str" cm="1">
        <f t="array" ref="E33">Common_InputFunctions.Utility_DisplayArrayInTable(WasteSolid_SourceData.Waste_EmissionFactorsForWasteTreatment_Data(), Table_SourceData_WasteSolid_WasteTreatmentEFs[[#Headers],[Treatment type t]], 0)</f>
        <v>Paper and cardboard</v>
      </c>
      <c r="F33" s="20" cm="1">
        <f t="array" ref="F33">Common_InputFunctions.Utility_DisplayArrayInTable(WasteSolid_SourceData.Waste_EmissionFactorsForWasteTreatment_Data(), Table_SourceData_WasteSolid_WasteTreatmentEFs[[#Headers],[Treatment type t]], 0)</f>
        <v>1.6899999999999998E-2</v>
      </c>
      <c r="G33" s="20" t="str" cm="1">
        <f t="array" ref="G33">Common_InputFunctions.Utility_DisplayArrayInTable(WasteSolid_SourceData.Waste_EmissionFactorsForWasteTreatment_Data(), Table_SourceData_WasteSolid_WasteTreatmentEFs[[#Headers],[Treatment type t]], 0)</f>
        <v/>
      </c>
    </row>
    <row r="34" spans="1:7" ht="20" customHeight="1" x14ac:dyDescent="0.25">
      <c r="A34" s="5" t="str">
        <f>HYPERLINK("#'5.1.1.1-2 Inorganic fert N2O'!A1", "5.1.1.1-2 Inorganic fert N2O")</f>
        <v>5.1.1.1-2 Inorganic fert N2O</v>
      </c>
      <c r="D34" s="1" t="str" cm="1">
        <f t="array" ref="D34">Common_InputFunctions.Utility_DisplayArrayInTable(WasteSolid_SourceData.Waste_EmissionFactorsForWasteTreatment_Data(), Table_SourceData_WasteSolid_WasteTreatmentEFs[[#Headers],[Treatment type t]], 0)</f>
        <v>Incineration</v>
      </c>
      <c r="E34" s="20" t="str" cm="1">
        <f t="array" ref="E34">Common_InputFunctions.Utility_DisplayArrayInTable(WasteSolid_SourceData.Waste_EmissionFactorsForWasteTreatment_Data(), Table_SourceData_WasteSolid_WasteTreatmentEFs[[#Headers],[Treatment type t]], 0)</f>
        <v>Textiles</v>
      </c>
      <c r="F34" s="20" cm="1">
        <f t="array" ref="F34">Common_InputFunctions.Utility_DisplayArrayInTable(WasteSolid_SourceData.Waste_EmissionFactorsForWasteTreatment_Data(), Table_SourceData_WasteSolid_WasteTreatmentEFs[[#Headers],[Treatment type t]], 0)</f>
        <v>0.36670000000000003</v>
      </c>
      <c r="G34" s="20" t="str" cm="1">
        <f t="array" ref="G34">Common_InputFunctions.Utility_DisplayArrayInTable(WasteSolid_SourceData.Waste_EmissionFactorsForWasteTreatment_Data(), Table_SourceData_WasteSolid_WasteTreatmentEFs[[#Headers],[Treatment type t]], 0)</f>
        <v/>
      </c>
    </row>
    <row r="35" spans="1:7" ht="20" customHeight="1" x14ac:dyDescent="0.25">
      <c r="A35" s="5" t="str">
        <f>HYPERLINK("#'5.1.1.3-4 Inorganic fert CO2'!A1", "5.1.1.3-4 Inorganic fert CO2")</f>
        <v>5.1.1.3-4 Inorganic fert CO2</v>
      </c>
      <c r="D35" s="1" t="str" cm="1">
        <f t="array" ref="D35">Common_InputFunctions.Utility_DisplayArrayInTable(WasteSolid_SourceData.Waste_EmissionFactorsForWasteTreatment_Data(), Table_SourceData_WasteSolid_WasteTreatmentEFs[[#Headers],[Treatment type t]], 0)</f>
        <v>Incineration</v>
      </c>
      <c r="E35" s="20" t="str" cm="1">
        <f t="array" ref="E35">Common_InputFunctions.Utility_DisplayArrayInTable(WasteSolid_SourceData.Waste_EmissionFactorsForWasteTreatment_Data(), Table_SourceData_WasteSolid_WasteTreatmentEFs[[#Headers],[Treatment type t]], 0)</f>
        <v>Rubber and leather</v>
      </c>
      <c r="F35" s="20" cm="1">
        <f t="array" ref="F35">Common_InputFunctions.Utility_DisplayArrayInTable(WasteSolid_SourceData.Waste_EmissionFactorsForWasteTreatment_Data(), Table_SourceData_WasteSolid_WasteTreatmentEFs[[#Headers],[Treatment type t]], 0)</f>
        <v>0.4919</v>
      </c>
      <c r="G35" s="20" t="str" cm="1">
        <f t="array" ref="G35">Common_InputFunctions.Utility_DisplayArrayInTable(WasteSolid_SourceData.Waste_EmissionFactorsForWasteTreatment_Data(), Table_SourceData_WasteSolid_WasteTreatmentEFs[[#Headers],[Treatment type t]], 0)</f>
        <v/>
      </c>
    </row>
    <row r="36" spans="1:7" ht="20" customHeight="1" x14ac:dyDescent="0.25">
      <c r="A36" s="5" t="str">
        <f>HYPERLINK("#'5.2.1.1-2 Organic Fert N2O'!A1", "5.2.1.1-2 Organic fert N2O")</f>
        <v>5.2.1.1-2 Organic fert N2O</v>
      </c>
      <c r="D36" s="1" t="str" cm="1">
        <f t="array" ref="D36">Common_InputFunctions.Utility_DisplayArrayInTable(WasteSolid_SourceData.Waste_EmissionFactorsForWasteTreatment_Data(), Table_SourceData_WasteSolid_WasteTreatmentEFs[[#Headers],[Treatment type t]], 0)</f>
        <v>Incineration</v>
      </c>
      <c r="E36" s="20" t="str" cm="1">
        <f t="array" ref="E36">Common_InputFunctions.Utility_DisplayArrayInTable(WasteSolid_SourceData.Waste_EmissionFactorsForWasteTreatment_Data(), Table_SourceData_WasteSolid_WasteTreatmentEFs[[#Headers],[Treatment type t]], 0)</f>
        <v>Inert waste (including concrete, metal, plastic or glass)</v>
      </c>
      <c r="F36" s="20" cm="1">
        <f t="array" ref="F36">Common_InputFunctions.Utility_DisplayArrayInTable(WasteSolid_SourceData.Waste_EmissionFactorsForWasteTreatment_Data(), Table_SourceData_WasteSolid_WasteTreatmentEFs[[#Headers],[Treatment type t]], 0)</f>
        <v>0.11</v>
      </c>
      <c r="G36" s="20" t="str" cm="1">
        <f t="array" ref="G36">Common_InputFunctions.Utility_DisplayArrayInTable(WasteSolid_SourceData.Waste_EmissionFactorsForWasteTreatment_Data(), Table_SourceData_WasteSolid_WasteTreatmentEFs[[#Headers],[Treatment type t]], 0)</f>
        <v/>
      </c>
    </row>
    <row r="37" spans="1:7" ht="20" customHeight="1" x14ac:dyDescent="0.25">
      <c r="A37" s="5" t="str">
        <f>HYPERLINK("#'5.3.1.1-2 Lime CO2'!A1", "5.3.1.1-2 Lime CO2")</f>
        <v>5.3.1.1-2 Lime CO2</v>
      </c>
      <c r="D37" s="1" t="str" cm="1">
        <f t="array" ref="D37">Common_InputFunctions.Utility_DisplayArrayInTable(WasteSolid_SourceData.Waste_EmissionFactorsForWasteTreatment_Data(), Table_SourceData_WasteSolid_WasteTreatmentEFs[[#Headers],[Treatment type t]], 0)</f>
        <v>Incineration</v>
      </c>
      <c r="E37" s="20" t="str" cm="1">
        <f t="array" ref="E37">Common_InputFunctions.Utility_DisplayArrayInTable(WasteSolid_SourceData.Waste_EmissionFactorsForWasteTreatment_Data(), Table_SourceData_WasteSolid_WasteTreatmentEFs[[#Headers],[Treatment type t]], 0)</f>
        <v>Municipal solid waste</v>
      </c>
      <c r="F37" s="20" cm="1">
        <f t="array" ref="F37">Common_InputFunctions.Utility_DisplayArrayInTable(WasteSolid_SourceData.Waste_EmissionFactorsForWasteTreatment_Data(), Table_SourceData_WasteSolid_WasteTreatmentEFs[[#Headers],[Treatment type t]], 0)</f>
        <v>5.3699999999999998E-2</v>
      </c>
      <c r="G37" s="231" t="str" cm="1">
        <f t="array" ref="G37">Common_InputFunctions.Utility_DisplayArrayInTable(WasteSolid_SourceData.Waste_EmissionFactorsForWasteTreatment_Data(), Table_SourceData_WasteSolid_WasteTreatmentEFs[[#Headers],[Treatment type t]], 0)</f>
        <v>NGAF 2025 Table 18</v>
      </c>
    </row>
    <row r="38" spans="1:7" ht="20" customHeight="1" x14ac:dyDescent="0.25">
      <c r="A38" s="5" t="str">
        <f>HYPERLINK("#'5.4.1.1-4 Atmos deposition'!A1", "5.4.1.1-4 Atmos. deposition")</f>
        <v>5.4.1.1-4 Atmos. deposition</v>
      </c>
      <c r="D38" s="1" t="str" cm="1">
        <f t="array" ref="D38">Common_InputFunctions.Utility_DisplayArrayInTable(WasteSolid_SourceData.Waste_EmissionFactorsForWasteTreatment_Data(), Table_SourceData_WasteSolid_WasteTreatmentEFs[[#Headers],[Treatment type t]], 0)</f>
        <v>Incineration</v>
      </c>
      <c r="E38" s="20" t="str" cm="1">
        <f t="array" ref="E38">Common_InputFunctions.Utility_DisplayArrayInTable(WasteSolid_SourceData.Waste_EmissionFactorsForWasteTreatment_Data(), Table_SourceData_WasteSolid_WasteTreatmentEFs[[#Headers],[Treatment type t]], 0)</f>
        <v>Commercial and industrial waste</v>
      </c>
      <c r="F38" s="20" cm="1">
        <f t="array" ref="F38">Common_InputFunctions.Utility_DisplayArrayInTable(WasteSolid_SourceData.Waste_EmissionFactorsForWasteTreatment_Data(), Table_SourceData_WasteSolid_WasteTreatmentEFs[[#Headers],[Treatment type t]], 0)</f>
        <v>1.649</v>
      </c>
      <c r="G38" s="231" t="str" cm="1">
        <f t="array" ref="G38">Common_InputFunctions.Utility_DisplayArrayInTable(WasteSolid_SourceData.Waste_EmissionFactorsForWasteTreatment_Data(), Table_SourceData_WasteSolid_WasteTreatmentEFs[[#Headers],[Treatment type t]], 0)</f>
        <v>NGAF 2025 Table 18</v>
      </c>
    </row>
    <row r="39" spans="1:7" ht="20" customHeight="1" x14ac:dyDescent="0.25">
      <c r="A39" s="5" t="str">
        <f>HYPERLINK("#'5.5.1.1-2 Leaching and runoff'!A1", "5.5.1.1-2 Leaching &amp; runoff")</f>
        <v>5.5.1.1-2 Leaching &amp; runoff</v>
      </c>
      <c r="D39" s="1" t="str" cm="1">
        <f t="array" ref="D39">Common_InputFunctions.Utility_DisplayArrayInTable(WasteSolid_SourceData.Waste_EmissionFactorsForWasteTreatment_Data(), Table_SourceData_WasteSolid_WasteTreatmentEFs[[#Headers],[Treatment type t]], 0)</f>
        <v>Composting</v>
      </c>
      <c r="E39" s="20" t="str" cm="1">
        <f t="array" ref="E39">Common_InputFunctions.Utility_DisplayArrayInTable(WasteSolid_SourceData.Waste_EmissionFactorsForWasteTreatment_Data(), Table_SourceData_WasteSolid_WasteTreatmentEFs[[#Headers],[Treatment type t]], 0)</f>
        <v>All organic waste</v>
      </c>
      <c r="F39" s="20" cm="1">
        <f t="array" ref="F39">Common_InputFunctions.Utility_DisplayArrayInTable(WasteSolid_SourceData.Waste_EmissionFactorsForWasteTreatment_Data(), Table_SourceData_WasteSolid_WasteTreatmentEFs[[#Headers],[Treatment type t]], 0)</f>
        <v>4.5999999999999999E-2</v>
      </c>
      <c r="G39" s="231" t="str" cm="1">
        <f t="array" ref="G39">Common_InputFunctions.Utility_DisplayArrayInTable(WasteSolid_SourceData.Waste_EmissionFactorsForWasteTreatment_Data(), Table_SourceData_WasteSolid_WasteTreatmentEFs[[#Headers],[Treatment type t]], 0)</f>
        <v>NGAF 2025 Table 19</v>
      </c>
    </row>
    <row r="40" spans="1:7" ht="20" customHeight="1" x14ac:dyDescent="0.25">
      <c r="A40" s="5" t="str">
        <f>HYPERLINK("#'6.2.1.1-2 Pasture residue N2O'!A1", "6.2.1.1-2 Pasture residue N2O")</f>
        <v>6.2.1.1-2 Pasture residue N2O</v>
      </c>
      <c r="D40" s="1" t="str" cm="1">
        <f t="array" ref="D40">Common_InputFunctions.Utility_DisplayArrayInTable(WasteSolid_SourceData.Waste_EmissionFactorsForWasteTreatment_Data(), Table_SourceData_WasteSolid_WasteTreatmentEFs[[#Headers],[Treatment type t]], 0)</f>
        <v>Composting</v>
      </c>
      <c r="E40" s="2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0" cm="1">
        <f t="array" ref="F40">Common_InputFunctions.Utility_DisplayArrayInTable(WasteSolid_SourceData.Waste_EmissionFactorsForWasteTreatment_Data(), Table_SourceData_WasteSolid_WasteTreatmentEFs[[#Headers],[Treatment type t]], 0)</f>
        <v>4.5999999999999999E-2</v>
      </c>
      <c r="G40" s="231" t="str" cm="1">
        <f t="array" ref="G40">Common_InputFunctions.Utility_DisplayArrayInTable(WasteSolid_SourceData.Waste_EmissionFactorsForWasteTreatment_Data(), Table_SourceData_WasteSolid_WasteTreatmentEFs[[#Headers],[Treatment type t]], 0)</f>
        <v/>
      </c>
    </row>
    <row r="41" spans="1:7" ht="20" customHeight="1" x14ac:dyDescent="0.25">
      <c r="A41" s="5" t="str">
        <f>HYPERLINK("#'6.3.1.1-2 Leach runoff pasture'!A1", "6.3.1.1-2 Leach &amp; runoff (pasture)")</f>
        <v>6.3.1.1-2 Leach &amp; runoff (pasture)</v>
      </c>
      <c r="D41" s="1" t="str" cm="1">
        <f t="array" ref="D41">Common_InputFunctions.Utility_DisplayArrayInTable(WasteSolid_SourceData.Waste_EmissionFactorsForWasteTreatment_Data(), Table_SourceData_WasteSolid_WasteTreatmentEFs[[#Headers],[Treatment type t]], 0)</f>
        <v>Composting</v>
      </c>
      <c r="E41" s="20" t="str" cm="1">
        <f t="array" ref="E41">Common_InputFunctions.Utility_DisplayArrayInTable(WasteSolid_SourceData.Waste_EmissionFactorsForWasteTreatment_Data(), Table_SourceData_WasteSolid_WasteTreatmentEFs[[#Headers],[Treatment type t]], 0)</f>
        <v>Green waste (including crop residues or prunings)</v>
      </c>
      <c r="F41" s="20" cm="1">
        <f t="array" ref="F41">Common_InputFunctions.Utility_DisplayArrayInTable(WasteSolid_SourceData.Waste_EmissionFactorsForWasteTreatment_Data(), Table_SourceData_WasteSolid_WasteTreatmentEFs[[#Headers],[Treatment type t]], 0)</f>
        <v>4.5999999999999999E-2</v>
      </c>
      <c r="G41" s="231" t="str" cm="1">
        <f t="array" ref="G41">Common_InputFunctions.Utility_DisplayArrayInTable(WasteSolid_SourceData.Waste_EmissionFactorsForWasteTreatment_Data(), Table_SourceData_WasteSolid_WasteTreatmentEFs[[#Headers],[Treatment type t]], 0)</f>
        <v/>
      </c>
    </row>
    <row r="42" spans="1:7" ht="20" customHeight="1" x14ac:dyDescent="0.25">
      <c r="A42" s="5" t="str">
        <f>HYPERLINK("#'8.1.1.1-2 Transport fuel'!A1", "8.1.1.1-2 Transport fuel")</f>
        <v>8.1.1.1-2 Transport fuel</v>
      </c>
      <c r="D42" s="1" t="str" cm="1">
        <f t="array" ref="D42">Common_InputFunctions.Utility_DisplayArrayInTable(WasteSolid_SourceData.Waste_EmissionFactorsForWasteTreatment_Data(), Table_SourceData_WasteSolid_WasteTreatmentEFs[[#Headers],[Treatment type t]], 0)</f>
        <v>Composting</v>
      </c>
      <c r="E42" s="20" t="str" cm="1">
        <f t="array" ref="E42">Common_InputFunctions.Utility_DisplayArrayInTable(WasteSolid_SourceData.Waste_EmissionFactorsForWasteTreatment_Data(), Table_SourceData_WasteSolid_WasteTreatmentEFs[[#Headers],[Treatment type t]], 0)</f>
        <v>Wood</v>
      </c>
      <c r="F42" s="20" cm="1">
        <f t="array" ref="F42">Common_InputFunctions.Utility_DisplayArrayInTable(WasteSolid_SourceData.Waste_EmissionFactorsForWasteTreatment_Data(), Table_SourceData_WasteSolid_WasteTreatmentEFs[[#Headers],[Treatment type t]], 0)</f>
        <v>4.5999999999999999E-2</v>
      </c>
      <c r="G42" s="231" t="str" cm="1">
        <f t="array" ref="G42">Common_InputFunctions.Utility_DisplayArrayInTable(WasteSolid_SourceData.Waste_EmissionFactorsForWasteTreatment_Data(), Table_SourceData_WasteSolid_WasteTreatmentEFs[[#Headers],[Treatment type t]], 0)</f>
        <v/>
      </c>
    </row>
    <row r="43" spans="1:7" ht="20" customHeight="1" x14ac:dyDescent="0.25">
      <c r="A43" s="5" t="str">
        <f>HYPERLINK("#'8.2.1.1-2 Stationary fuel'!A1", "8.2.1.1-2 Stationary fuel")</f>
        <v>8.2.1.1-2 Stationary fuel</v>
      </c>
      <c r="D43" s="1" t="str" cm="1">
        <f t="array" ref="D43">Common_InputFunctions.Utility_DisplayArrayInTable(WasteSolid_SourceData.Waste_EmissionFactorsForWasteTreatment_Data(), Table_SourceData_WasteSolid_WasteTreatmentEFs[[#Headers],[Treatment type t]], 0)</f>
        <v>Composting</v>
      </c>
      <c r="E43" s="20" t="str" cm="1">
        <f t="array" ref="E43">Common_InputFunctions.Utility_DisplayArrayInTable(WasteSolid_SourceData.Waste_EmissionFactorsForWasteTreatment_Data(), Table_SourceData_WasteSolid_WasteTreatmentEFs[[#Headers],[Treatment type t]], 0)</f>
        <v>Sludge</v>
      </c>
      <c r="F43" s="20" cm="1">
        <f t="array" ref="F43">Common_InputFunctions.Utility_DisplayArrayInTable(WasteSolid_SourceData.Waste_EmissionFactorsForWasteTreatment_Data(), Table_SourceData_WasteSolid_WasteTreatmentEFs[[#Headers],[Treatment type t]], 0)</f>
        <v>4.5999999999999999E-2</v>
      </c>
      <c r="G43" s="231" t="str" cm="1">
        <f t="array" ref="G43">Common_InputFunctions.Utility_DisplayArrayInTable(WasteSolid_SourceData.Waste_EmissionFactorsForWasteTreatment_Data(), Table_SourceData_WasteSolid_WasteTreatmentEFs[[#Headers],[Treatment type t]], 0)</f>
        <v/>
      </c>
    </row>
    <row r="44" spans="1:7" ht="20" customHeight="1" x14ac:dyDescent="0.25">
      <c r="A44" s="5" t="str">
        <f>HYPERLINK("#'10.1.1-2 Solid waste treatment'!A1", "10.1.1.1-2 Solid waste")</f>
        <v>10.1.1.1-2 Solid waste</v>
      </c>
      <c r="D44" s="1" t="str" cm="1">
        <f t="array" ref="D44">Common_InputFunctions.Utility_DisplayArrayInTable(WasteSolid_SourceData.Waste_EmissionFactorsForWasteTreatment_Data(), Table_SourceData_WasteSolid_WasteTreatmentEFs[[#Headers],[Treatment type t]], 0)</f>
        <v>Composting</v>
      </c>
      <c r="E44" s="20" t="str" cm="1">
        <f t="array" ref="E44">Common_InputFunctions.Utility_DisplayArrayInTable(WasteSolid_SourceData.Waste_EmissionFactorsForWasteTreatment_Data(), Table_SourceData_WasteSolid_WasteTreatmentEFs[[#Headers],[Treatment type t]], 0)</f>
        <v>Paper and cardboard</v>
      </c>
      <c r="F44" s="20" cm="1">
        <f t="array" ref="F44">Common_InputFunctions.Utility_DisplayArrayInTable(WasteSolid_SourceData.Waste_EmissionFactorsForWasteTreatment_Data(), Table_SourceData_WasteSolid_WasteTreatmentEFs[[#Headers],[Treatment type t]], 0)</f>
        <v>4.5999999999999999E-2</v>
      </c>
      <c r="G44" s="231" t="str" cm="1">
        <f t="array" ref="G44">Common_InputFunctions.Utility_DisplayArrayInTable(WasteSolid_SourceData.Waste_EmissionFactorsForWasteTreatment_Data(), Table_SourceData_WasteSolid_WasteTreatmentEFs[[#Headers],[Treatment type t]], 0)</f>
        <v/>
      </c>
    </row>
    <row r="45" spans="1:7" ht="20" customHeight="1" x14ac:dyDescent="0.25">
      <c r="A45" s="5" t="str">
        <f>HYPERLINK("#'14.1.1-2 Purchased electricity'!A1", "14.1.1-2 Purchased electricity")</f>
        <v>14.1.1-2 Purchased electricity</v>
      </c>
      <c r="D45" s="1" t="str" cm="1">
        <f t="array" ref="D45">Common_InputFunctions.Utility_DisplayArrayInTable(WasteSolid_SourceData.Waste_EmissionFactorsForWasteTreatment_Data(), Table_SourceData_WasteSolid_WasteTreatmentEFs[[#Headers],[Treatment type t]], 0)</f>
        <v>Anaerobic digestion</v>
      </c>
      <c r="E45" s="20" t="str" cm="1">
        <f t="array" ref="E45">Common_InputFunctions.Utility_DisplayArrayInTable(WasteSolid_SourceData.Waste_EmissionFactorsForWasteTreatment_Data(), Table_SourceData_WasteSolid_WasteTreatmentEFs[[#Headers],[Treatment type t]], 0)</f>
        <v>All organic waste</v>
      </c>
      <c r="F45" s="20" cm="1">
        <f t="array" ref="F45">Common_InputFunctions.Utility_DisplayArrayInTable(WasteSolid_SourceData.Waste_EmissionFactorsForWasteTreatment_Data(), Table_SourceData_WasteSolid_WasteTreatmentEFs[[#Headers],[Treatment type t]], 0)</f>
        <v>2.8000000000000001E-2</v>
      </c>
      <c r="G45" s="231" t="str" cm="1">
        <f t="array" ref="G45">Common_InputFunctions.Utility_DisplayArrayInTable(WasteSolid_SourceData.Waste_EmissionFactorsForWasteTreatment_Data(), Table_SourceData_WasteSolid_WasteTreatmentEFs[[#Headers],[Treatment type t]], 0)</f>
        <v>NGAF 2025 Table 19</v>
      </c>
    </row>
    <row r="46" spans="1:7" ht="20" customHeight="1" x14ac:dyDescent="0.25">
      <c r="A46" s="5" t="str">
        <f>HYPERLINK("#'15 Scope 3'!A1", "15 Scope 3")</f>
        <v>15 Scope 3</v>
      </c>
      <c r="D46" s="1" t="str" cm="1">
        <f t="array" ref="D46">Common_InputFunctions.Utility_DisplayArrayInTable(WasteSolid_SourceData.Waste_EmissionFactorsForWasteTreatment_Data(), Table_SourceData_WasteSolid_WasteTreatmentEFs[[#Headers],[Treatment type t]], 0)</f>
        <v>Anaerobic digestion</v>
      </c>
      <c r="E46" s="2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0" cm="1">
        <f t="array" ref="F46">Common_InputFunctions.Utility_DisplayArrayInTable(WasteSolid_SourceData.Waste_EmissionFactorsForWasteTreatment_Data(), Table_SourceData_WasteSolid_WasteTreatmentEFs[[#Headers],[Treatment type t]], 0)</f>
        <v>2.8000000000000001E-2</v>
      </c>
      <c r="G46" s="231" t="str" cm="1">
        <f t="array" ref="G46">Common_InputFunctions.Utility_DisplayArrayInTable(WasteSolid_SourceData.Waste_EmissionFactorsForWasteTreatment_Data(), Table_SourceData_WasteSolid_WasteTreatmentEFs[[#Headers],[Treatment type t]], 0)</f>
        <v/>
      </c>
    </row>
    <row r="47" spans="1:7" ht="20" customHeight="1" x14ac:dyDescent="0.25">
      <c r="A47" s="5" t="str">
        <f>HYPERLINK("#'Calcs - Manure sent off-site'!A1", "Calcs - Manure sent off-site")</f>
        <v>Calcs - Manure sent off-site</v>
      </c>
      <c r="D47" s="1" t="str" cm="1">
        <f t="array" ref="D47">Common_InputFunctions.Utility_DisplayArrayInTable(WasteSolid_SourceData.Waste_EmissionFactorsForWasteTreatment_Data(), Table_SourceData_WasteSolid_WasteTreatmentEFs[[#Headers],[Treatment type t]], 0)</f>
        <v>Anaerobic digestion</v>
      </c>
      <c r="E47" s="20" t="str" cm="1">
        <f t="array" ref="E47">Common_InputFunctions.Utility_DisplayArrayInTable(WasteSolid_SourceData.Waste_EmissionFactorsForWasteTreatment_Data(), Table_SourceData_WasteSolid_WasteTreatmentEFs[[#Headers],[Treatment type t]], 0)</f>
        <v>Green waste (including crop residues or prunings)</v>
      </c>
      <c r="F47" s="20" cm="1">
        <f t="array" ref="F47">Common_InputFunctions.Utility_DisplayArrayInTable(WasteSolid_SourceData.Waste_EmissionFactorsForWasteTreatment_Data(), Table_SourceData_WasteSolid_WasteTreatmentEFs[[#Headers],[Treatment type t]], 0)</f>
        <v>2.8000000000000001E-2</v>
      </c>
      <c r="G47" s="231" t="str" cm="1">
        <f t="array" ref="G47">Common_InputFunctions.Utility_DisplayArrayInTable(WasteSolid_SourceData.Waste_EmissionFactorsForWasteTreatment_Data(), Table_SourceData_WasteSolid_WasteTreatmentEFs[[#Headers],[Treatment type t]], 0)</f>
        <v/>
      </c>
    </row>
    <row r="48" spans="1:7" ht="20" customHeight="1" x14ac:dyDescent="0.25">
      <c r="D48" s="1" t="str" cm="1">
        <f t="array" ref="D48">Common_InputFunctions.Utility_DisplayArrayInTable(WasteSolid_SourceData.Waste_EmissionFactorsForWasteTreatment_Data(), Table_SourceData_WasteSolid_WasteTreatmentEFs[[#Headers],[Treatment type t]], 0)</f>
        <v>Anaerobic digestion</v>
      </c>
      <c r="E48" s="20" t="str" cm="1">
        <f t="array" ref="E48">Common_InputFunctions.Utility_DisplayArrayInTable(WasteSolid_SourceData.Waste_EmissionFactorsForWasteTreatment_Data(), Table_SourceData_WasteSolid_WasteTreatmentEFs[[#Headers],[Treatment type t]], 0)</f>
        <v>Wood</v>
      </c>
      <c r="F48" s="20" cm="1">
        <f t="array" ref="F48">Common_InputFunctions.Utility_DisplayArrayInTable(WasteSolid_SourceData.Waste_EmissionFactorsForWasteTreatment_Data(), Table_SourceData_WasteSolid_WasteTreatmentEFs[[#Headers],[Treatment type t]], 0)</f>
        <v>2.8000000000000001E-2</v>
      </c>
      <c r="G48" s="231" t="str" cm="1">
        <f t="array" ref="G48">Common_InputFunctions.Utility_DisplayArrayInTable(WasteSolid_SourceData.Waste_EmissionFactorsForWasteTreatment_Data(), Table_SourceData_WasteSolid_WasteTreatmentEFs[[#Headers],[Treatment type t]], 0)</f>
        <v/>
      </c>
    </row>
    <row r="49" spans="1:7" ht="20" customHeight="1" x14ac:dyDescent="0.25">
      <c r="D49" s="1" t="str" cm="1">
        <f t="array" ref="D49">Common_InputFunctions.Utility_DisplayArrayInTable(WasteSolid_SourceData.Waste_EmissionFactorsForWasteTreatment_Data(), Table_SourceData_WasteSolid_WasteTreatmentEFs[[#Headers],[Treatment type t]], 0)</f>
        <v>Anaerobic digestion</v>
      </c>
      <c r="E49" s="20" t="str" cm="1">
        <f t="array" ref="E49">Common_InputFunctions.Utility_DisplayArrayInTable(WasteSolid_SourceData.Waste_EmissionFactorsForWasteTreatment_Data(), Table_SourceData_WasteSolid_WasteTreatmentEFs[[#Headers],[Treatment type t]], 0)</f>
        <v>Sludge</v>
      </c>
      <c r="F49" s="20" cm="1">
        <f t="array" ref="F49">Common_InputFunctions.Utility_DisplayArrayInTable(WasteSolid_SourceData.Waste_EmissionFactorsForWasteTreatment_Data(), Table_SourceData_WasteSolid_WasteTreatmentEFs[[#Headers],[Treatment type t]], 0)</f>
        <v>2.8000000000000001E-2</v>
      </c>
      <c r="G49" s="231" t="str" cm="1">
        <f t="array" ref="G49">Common_InputFunctions.Utility_DisplayArrayInTable(WasteSolid_SourceData.Waste_EmissionFactorsForWasteTreatment_Data(), Table_SourceData_WasteSolid_WasteTreatmentEFs[[#Headers],[Treatment type t]], 0)</f>
        <v/>
      </c>
    </row>
    <row r="50" spans="1:7" ht="20" customHeight="1" x14ac:dyDescent="0.25">
      <c r="A50" s="85" t="s">
        <v>1</v>
      </c>
      <c r="D50" s="1" t="str" cm="1">
        <f t="array" ref="D50">Common_InputFunctions.Utility_DisplayArrayInTable(WasteSolid_SourceData.Waste_EmissionFactorsForWasteTreatment_Data(), Table_SourceData_WasteSolid_WasteTreatmentEFs[[#Headers],[Treatment type t]], 0)</f>
        <v>Anaerobic digestion</v>
      </c>
      <c r="E50" s="20" t="str" cm="1">
        <f t="array" ref="E50">Common_InputFunctions.Utility_DisplayArrayInTable(WasteSolid_SourceData.Waste_EmissionFactorsForWasteTreatment_Data(), Table_SourceData_WasteSolid_WasteTreatmentEFs[[#Headers],[Treatment type t]], 0)</f>
        <v>Paper and cardboard</v>
      </c>
      <c r="F50" s="20" cm="1">
        <f t="array" ref="F50">Common_InputFunctions.Utility_DisplayArrayInTable(WasteSolid_SourceData.Waste_EmissionFactorsForWasteTreatment_Data(), Table_SourceData_WasteSolid_WasteTreatmentEFs[[#Headers],[Treatment type t]], 0)</f>
        <v>2.8000000000000001E-2</v>
      </c>
      <c r="G50" s="231" t="str" cm="1">
        <f t="array" ref="G50">Common_InputFunctions.Utility_DisplayArrayInTable(WasteSolid_SourceData.Waste_EmissionFactorsForWasteTreatment_Data(), Table_SourceData_WasteSolid_WasteTreatmentEFs[[#Headers],[Treatment type t]], 0)</f>
        <v/>
      </c>
    </row>
    <row r="51" spans="1:7" ht="20" customHeight="1" x14ac:dyDescent="0.25">
      <c r="A51" s="5" t="str">
        <f>HYPERLINK("#'Constants - Pasture Beef'!A1", "Constants - Pasture Beef")</f>
        <v>Constants - Pasture Beef</v>
      </c>
    </row>
    <row r="52" spans="1:7" ht="20" customHeight="1" x14ac:dyDescent="0.25">
      <c r="A52" s="5" t="str">
        <f>HYPERLINK("#'Constants - Ag Residue'!A1", "Constants - Ag residue")</f>
        <v>Constants - Ag residue</v>
      </c>
      <c r="D52" s="2" t="str" cm="1">
        <f t="array" ref="D52">WasteSolid_SourceData.Waste_WasteVolumeToMassConversion_Title()</f>
        <v>Volume to mass conversion factor for various waste types</v>
      </c>
    </row>
    <row r="53" spans="1:7" ht="20" customHeight="1" x14ac:dyDescent="0.25">
      <c r="A53" s="5" t="str">
        <f>HYPERLINK("#'Constants - Common Livestock'!A1", "Constants - Common Livestock")</f>
        <v>Constants - Common Livestock</v>
      </c>
      <c r="D53" s="17" t="str" cm="1">
        <f t="array" ref="D53">WasteSolid_SourceData.Waste_WasteVolumeToMassConversion_Source()</f>
        <v>VEERG 2026: Table A.4.1.2</v>
      </c>
    </row>
    <row r="54" spans="1:7" ht="20" customHeight="1" x14ac:dyDescent="0.25">
      <c r="A54" s="5" t="str">
        <f>HYPERLINK("#'Constants - Electricity'!A1", "Constants - Electricity")</f>
        <v>Constants - Electricity</v>
      </c>
      <c r="D54" s="26" t="str" cm="1">
        <f t="array" ref="D54">WasteSolid_SourceData.Waste_WasteVolumeToMassConversion_Variation()</f>
        <v>VARIATION OF SOURCE: Changed column header CFw to VTMw to match title variable.</v>
      </c>
    </row>
    <row r="55" spans="1:7" ht="20" customHeight="1" x14ac:dyDescent="0.25">
      <c r="A55" s="5" t="str">
        <f>HYPERLINK("#'Constants - Fertiliser'!A1", "Constants - Fertiliser")</f>
        <v>Constants - Fertiliser</v>
      </c>
      <c r="D55" s="1" t="str" cm="1">
        <f t="array" ref="D55">WasteSolid_SourceData.Waste_WasteVolumeToMassConversion_Variable()</f>
        <v>VTMw</v>
      </c>
    </row>
    <row r="56" spans="1:7" ht="20" customHeight="1" x14ac:dyDescent="0.25">
      <c r="A56" s="5" t="str">
        <f>HYPERLINK("#'Constants - Fuel'!A1", "Constants - Fuel")</f>
        <v>Constants - Fuel</v>
      </c>
      <c r="D56" s="9" t="str" cm="1">
        <f t="array" ref="D56">WasteSolid_SourceData.Waste_WasteVolumeToMassConversion_Unit()</f>
        <v>t/m3</v>
      </c>
    </row>
    <row r="57" spans="1:7" ht="20" customHeight="1" x14ac:dyDescent="0.25">
      <c r="A57" s="5" t="str">
        <f>HYPERLINK("#'Constants - Scope 3'!A1", "Constants - Scope 3")</f>
        <v>Constants - Scope 3</v>
      </c>
      <c r="D57" s="20" t="s">
        <v>927</v>
      </c>
      <c r="E57" s="20" t="s">
        <v>930</v>
      </c>
    </row>
    <row r="58" spans="1:7" ht="20" customHeight="1" x14ac:dyDescent="0.25">
      <c r="A58" s="86" t="str">
        <f>HYPERLINK("#'Constants - Solid Waste'!A1", "Constants - Solid Waste")</f>
        <v>Constants - Solid Waste</v>
      </c>
      <c r="D58" s="2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0" cm="1">
        <f t="array" ref="E58">Common_InputFunctions.Utility_DisplayArrayInTable(WasteSolid_SourceData.Waste_WasteVolumeToMassConversion_Data(), Table_SourceData_WasteSolid_VolumeToMassConversion[[#Headers],[Waste type w]], 0)</f>
        <v>0.5</v>
      </c>
    </row>
    <row r="59" spans="1:7" ht="20" customHeight="1" x14ac:dyDescent="0.25">
      <c r="A59" s="5" t="str">
        <f>HYPERLINK("#'Constants - Common'!A1", "Constants - Common")</f>
        <v>Constants - Common</v>
      </c>
      <c r="D59" s="1" t="str" cm="1">
        <f t="array" ref="D59">Common_InputFunctions.Utility_DisplayArrayInTable(WasteSolid_SourceData.Waste_WasteVolumeToMassConversion_Data(), Table_SourceData_WasteSolid_VolumeToMassConversion[[#Headers],[Waste type w]], 0)</f>
        <v>Paper and cardboard</v>
      </c>
      <c r="E59" s="20" cm="1">
        <f t="array" ref="E59">Common_InputFunctions.Utility_DisplayArrayInTable(WasteSolid_SourceData.Waste_WasteVolumeToMassConversion_Data(), Table_SourceData_WasteSolid_VolumeToMassConversion[[#Headers],[Waste type w]], 0)</f>
        <v>0.09</v>
      </c>
    </row>
    <row r="60" spans="1:7" ht="20" customHeight="1" x14ac:dyDescent="0.25">
      <c r="A60" s="5" t="str">
        <f>HYPERLINK("#'Acknowledgements'!A1", "Acknowledgements")</f>
        <v>Acknowledgements</v>
      </c>
      <c r="D60" s="1" t="str" cm="1">
        <f t="array" ref="D60">Common_InputFunctions.Utility_DisplayArrayInTable(WasteSolid_SourceData.Waste_WasteVolumeToMassConversion_Data(), Table_SourceData_WasteSolid_VolumeToMassConversion[[#Headers],[Waste type w]], 0)</f>
        <v>Green waste (including crop residues or prunings)</v>
      </c>
      <c r="E60" s="20" cm="1">
        <f t="array" ref="E60">Common_InputFunctions.Utility_DisplayArrayInTable(WasteSolid_SourceData.Waste_WasteVolumeToMassConversion_Data(), Table_SourceData_WasteSolid_VolumeToMassConversion[[#Headers],[Waste type w]], 0)</f>
        <v>0.24</v>
      </c>
    </row>
    <row r="61" spans="1:7" ht="20" customHeight="1" x14ac:dyDescent="0.25">
      <c r="D61" s="1" t="str" cm="1">
        <f t="array" ref="D61">Common_InputFunctions.Utility_DisplayArrayInTable(WasteSolid_SourceData.Waste_WasteVolumeToMassConversion_Data(), Table_SourceData_WasteSolid_VolumeToMassConversion[[#Headers],[Waste type w]], 0)</f>
        <v>Wood</v>
      </c>
      <c r="E61" s="20" cm="1">
        <f t="array" ref="E61">Common_InputFunctions.Utility_DisplayArrayInTable(WasteSolid_SourceData.Waste_WasteVolumeToMassConversion_Data(), Table_SourceData_WasteSolid_VolumeToMassConversion[[#Headers],[Waste type w]], 0)</f>
        <v>0.15</v>
      </c>
    </row>
    <row r="62" spans="1:7" ht="20" customHeight="1" x14ac:dyDescent="0.25">
      <c r="D62" s="1" t="str" cm="1">
        <f t="array" ref="D62">Common_InputFunctions.Utility_DisplayArrayInTable(WasteSolid_SourceData.Waste_WasteVolumeToMassConversion_Data(), Table_SourceData_WasteSolid_VolumeToMassConversion[[#Headers],[Waste type w]], 0)</f>
        <v>Textiles</v>
      </c>
      <c r="E62" s="20" cm="1">
        <f t="array" ref="E62">Common_InputFunctions.Utility_DisplayArrayInTable(WasteSolid_SourceData.Waste_WasteVolumeToMassConversion_Data(), Table_SourceData_WasteSolid_VolumeToMassConversion[[#Headers],[Waste type w]], 0)</f>
        <v>0.14000000000000001</v>
      </c>
    </row>
    <row r="63" spans="1:7" ht="20" customHeight="1" x14ac:dyDescent="0.25">
      <c r="D63" s="1" t="str" cm="1">
        <f t="array" ref="D63">Common_InputFunctions.Utility_DisplayArrayInTable(WasteSolid_SourceData.Waste_WasteVolumeToMassConversion_Data(), Table_SourceData_WasteSolid_VolumeToMassConversion[[#Headers],[Waste type w]], 0)</f>
        <v>Sludge</v>
      </c>
      <c r="E63" s="20" cm="1">
        <f t="array" ref="E63">Common_InputFunctions.Utility_DisplayArrayInTable(WasteSolid_SourceData.Waste_WasteVolumeToMassConversion_Data(), Table_SourceData_WasteSolid_VolumeToMassConversion[[#Headers],[Waste type w]], 0)</f>
        <v>0.72</v>
      </c>
    </row>
    <row r="64" spans="1:7" ht="20" customHeight="1" x14ac:dyDescent="0.25">
      <c r="D64" s="1" t="str" cm="1">
        <f t="array" ref="D64">Common_InputFunctions.Utility_DisplayArrayInTable(WasteSolid_SourceData.Waste_WasteVolumeToMassConversion_Data(), Table_SourceData_WasteSolid_VolumeToMassConversion[[#Headers],[Waste type w]], 0)</f>
        <v>Rubber and leather</v>
      </c>
      <c r="E64" s="20" cm="1">
        <f t="array" ref="E64">Common_InputFunctions.Utility_DisplayArrayInTable(WasteSolid_SourceData.Waste_WasteVolumeToMassConversion_Data(), Table_SourceData_WasteSolid_VolumeToMassConversion[[#Headers],[Waste type w]], 0)</f>
        <v>0.14000000000000001</v>
      </c>
    </row>
    <row r="65" spans="4:5" ht="20"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0" cm="1">
        <f t="array" ref="E65">Common_InputFunctions.Utility_DisplayArrayInTable(WasteSolid_SourceData.Waste_WasteVolumeToMassConversion_Data(), Table_SourceData_WasteSolid_VolumeToMassConversion[[#Headers],[Waste type w]], 0)</f>
        <v>0.42</v>
      </c>
    </row>
    <row r="66" spans="4:5" ht="20"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20" cm="1">
        <f t="array" ref="E66">Common_InputFunctions.Utility_DisplayArrayInTable(WasteSolid_SourceData.Waste_WasteVolumeToMassConversion_Data(), Table_SourceData_WasteSolid_VolumeToMassConversion[[#Headers],[Waste type w]], 0)</f>
        <v>0.36</v>
      </c>
    </row>
    <row r="67" spans="4:5" ht="20"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20" cm="1">
        <f t="array" ref="E67">Common_InputFunctions.Utility_DisplayArrayInTable(WasteSolid_SourceData.Waste_WasteVolumeToMassConversion_Data(), Table_SourceData_WasteSolid_VolumeToMassConversion[[#Headers],[Waste type w]], 0)</f>
        <v>0.33</v>
      </c>
    </row>
    <row r="68" spans="4:5" ht="20"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20" cm="1">
        <f t="array" ref="E68">Common_InputFunctions.Utility_DisplayArrayInTable(WasteSolid_SourceData.Waste_WasteVolumeToMassConversion_Data(), Table_SourceData_WasteSolid_VolumeToMassConversion[[#Headers],[Waste type w]], 0)</f>
        <v>0.39</v>
      </c>
    </row>
    <row r="69" spans="4:5" ht="20" customHeight="1" x14ac:dyDescent="0.25"/>
    <row r="70" spans="4:5" ht="20" customHeight="1" x14ac:dyDescent="0.25"/>
    <row r="71" spans="4:5" ht="20" customHeight="1" x14ac:dyDescent="0.25"/>
    <row r="72" spans="4:5" ht="20" customHeight="1" x14ac:dyDescent="0.25"/>
    <row r="73" spans="4:5" ht="20" customHeight="1" x14ac:dyDescent="0.25"/>
    <row r="74" spans="4:5" ht="20" customHeight="1" x14ac:dyDescent="0.25"/>
    <row r="75" spans="4:5" ht="20" customHeight="1" x14ac:dyDescent="0.25"/>
    <row r="76" spans="4:5" ht="20" customHeight="1" x14ac:dyDescent="0.25"/>
    <row r="77" spans="4:5" ht="20" customHeight="1" x14ac:dyDescent="0.25"/>
    <row r="78" spans="4:5" ht="20" customHeight="1" x14ac:dyDescent="0.25"/>
    <row r="79" spans="4:5" ht="20" customHeight="1" x14ac:dyDescent="0.25"/>
    <row r="80" spans="4:5"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E50F-045B-4C69-94CD-4E9D79138947}">
  <sheetPr>
    <tabColor theme="2" tint="-0.499984740745262"/>
  </sheetPr>
  <dimension ref="A1:BY297"/>
  <sheetViews>
    <sheetView showGridLines="0" zoomScaleNormal="100" workbookViewId="0">
      <pane xSplit="1" topLeftCell="B1" activePane="topRight" state="frozen"/>
      <selection pane="topRight" activeCell="A59" sqref="A59"/>
    </sheetView>
  </sheetViews>
  <sheetFormatPr defaultColWidth="9.140625" defaultRowHeight="20" x14ac:dyDescent="0.25" customHeight="1"/>
  <cols>
    <col min="1" max="1" width="36.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10" t="e" vm="1">
        <v>#VALUE!</v>
      </c>
      <c r="C1" s="21" t="s">
        <v>29</v>
      </c>
    </row>
    <row r="2" spans="1:65" s="3" customFormat="1" ht="20" customHeight="1" x14ac:dyDescent="0.25">
      <c r="A2"/>
    </row>
    <row r="3" spans="1:65" ht="20" customHeight="1" x14ac:dyDescent="0.25">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 customHeight="1" x14ac:dyDescent="0.25">
      <c r="A4" s="5" t="str">
        <f>HYPERLINK("#'Results - Activity period'!A1", "Results - Activity period")</f>
        <v>Results - Activity period</v>
      </c>
      <c r="BM4" s="25"/>
    </row>
    <row r="5" spans="1:65" ht="20" customHeight="1" x14ac:dyDescent="0.25">
      <c r="A5" s="5" t="str">
        <f>HYPERLINK("#'Results - Product EI'!A1", "Results - Product Emissions Intensity")</f>
        <v>Results - Product Emissions Intensity</v>
      </c>
      <c r="D5" s="2" t="str" cm="1">
        <f t="array" ref="D5">Common_SourceData.Common_SourceData_AustralianStatesTerritories_Title()</f>
        <v>Australian states and territories</v>
      </c>
      <c r="BM5" s="25"/>
    </row>
    <row r="6" spans="1:65" ht="20" customHeight="1" x14ac:dyDescent="0.25">
      <c r="A6"/>
      <c r="D6" s="20" t="s">
        <v>30</v>
      </c>
      <c r="E6" s="20" t="s">
        <v>31</v>
      </c>
      <c r="F6" s="20" t="s">
        <v>32</v>
      </c>
    </row>
    <row r="7" spans="1:65" ht="20" customHeight="1" x14ac:dyDescent="0.25">
      <c r="A7"/>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 customHeight="1" x14ac:dyDescent="0.25">
      <c r="A8" s="7" t="s">
        <v>0</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 customHeight="1" x14ac:dyDescent="0.25">
      <c r="A9" s="5" t="str">
        <f>HYPERLINK("#'Input - Enterprise'!A1", "Enterprise")</f>
        <v>Enterprise</v>
      </c>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 customHeight="1" x14ac:dyDescent="0.25">
      <c r="A10" s="5" t="str">
        <f>HYPERLINK("#'Input - Site'!A1", "Site")</f>
        <v>Site</v>
      </c>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 customHeight="1" x14ac:dyDescent="0.25">
      <c r="A11" s="5" t="str">
        <f>HYPERLINK("#'Input - Pasture Beef'!A1", "Pasture Beef")</f>
        <v>Pasture Beef</v>
      </c>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 customHeight="1" x14ac:dyDescent="0.25">
      <c r="A12" s="5" t="str">
        <f>HYPERLINK("#'Input - Livestock sales'!A1", "Livestock sales")</f>
        <v>Livestock sales</v>
      </c>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 customHeight="1" x14ac:dyDescent="0.25">
      <c r="A13" s="5" t="str">
        <f>HYPERLINK("#'Input - Beef cattle purchases'!A1", "Beef cattle purchases")</f>
        <v>Beef cattle purchases</v>
      </c>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 customHeight="1" x14ac:dyDescent="0.25">
      <c r="A14" s="5" t="str">
        <f>HYPERLINK("#'Input - Pasture'!A1", "Pasture")</f>
        <v>Pasture</v>
      </c>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 customHeight="1" x14ac:dyDescent="0.25">
      <c r="A15" s="5" t="str">
        <f>HYPERLINK("#'Input - Fert Prod System'!A1", "Fert Prod System")</f>
        <v>Fert Prod System</v>
      </c>
    </row>
    <row r="16" spans="1:65" ht="20" customHeight="1" x14ac:dyDescent="0.25">
      <c r="A16" s="5" t="str">
        <f>HYPERLINK("#'Input - Fertiliser'!A1", "Fertiliser")</f>
        <v>Fertiliser</v>
      </c>
    </row>
    <row r="17" spans="1:4" ht="20" customHeight="1" x14ac:dyDescent="0.25">
      <c r="A17" s="5" t="str">
        <f>HYPERLINK("#'Input - Fuel'!A1", "Fuel")</f>
        <v>Fuel</v>
      </c>
    </row>
    <row r="18" spans="1:4" ht="20" customHeight="1" x14ac:dyDescent="0.25">
      <c r="A18" s="5" t="str">
        <f>HYPERLINK("#'Input - Electricity'!A1", "Electricity")</f>
        <v>Electricity</v>
      </c>
      <c r="D18" s="2" t="str" cm="1">
        <f t="array" ref="D18">Common_SourceData.Common_SourceData_WASA4Areas_Title()</f>
        <v>ABS Statistcal Areas Level 4 - Western Australia</v>
      </c>
    </row>
    <row r="19" spans="1:4" ht="20" customHeight="1" x14ac:dyDescent="0.25">
      <c r="A19" s="5" t="str">
        <f>HYPERLINK("#'Input - Common farm inputs'!A1", "Common farm inputs")</f>
        <v>Common farm inputs</v>
      </c>
      <c r="D19" s="17" t="str" cm="1">
        <f t="array" ref="D19">Common_SourceData.Common_SourceData_WASA4Areas_Source()</f>
        <v>Australian Bureau of Statistics (ABS) - Statistical Areas Level 2 - 2021 - Shapefile</v>
      </c>
    </row>
    <row r="20" spans="1:4" ht="20" customHeight="1" x14ac:dyDescent="0.25">
      <c r="A20" s="5" t="str">
        <f>HYPERLINK("#'Input - Crop pasture farm input'!A1", "Crop pasture farm input")</f>
        <v>Crop pasture farm input</v>
      </c>
      <c r="D20" s="20" t="s">
        <v>33</v>
      </c>
    </row>
    <row r="21" spans="1:4" ht="20" customHeight="1" x14ac:dyDescent="0.25">
      <c r="A21" s="5" t="str">
        <f>HYPERLINK("#'Input - Livestock farm Inputs'!A1", "Livestock farm Inputs")</f>
        <v>Livestock farm Inputs</v>
      </c>
      <c r="D21" s="20" t="str" cm="1">
        <f t="array" ref="D21">Common_InputFunctions.Utility_DisplayArrayInTable(Common_SourceData.Common_SourceData_WASA4Areas_Data(), Table_WASA4Areas[[#Headers],[SA 4 Name]], 0)</f>
        <v>Bunbury</v>
      </c>
    </row>
    <row r="22" spans="1:4" ht="20" customHeight="1" x14ac:dyDescent="0.25">
      <c r="A22" s="5" t="str">
        <f>HYPERLINK("#'Input - Freight'!A1", "Freight")</f>
        <v>Freight</v>
      </c>
      <c r="D22" s="20" t="str" cm="1">
        <f t="array" ref="D22">Common_InputFunctions.Utility_DisplayArrayInTable(Common_SourceData.Common_SourceData_WASA4Areas_Data(), Table_WASA4Areas[[#Headers],[SA 4 Name]], 0)</f>
        <v>Mandurah</v>
      </c>
    </row>
    <row r="23" spans="1:4" ht="20" customHeight="1" x14ac:dyDescent="0.25">
      <c r="A23" s="5" t="str">
        <f>HYPERLINK("#'Input - Solid waste'!A1", "Solid waste")</f>
        <v>Solid waste</v>
      </c>
      <c r="D23" s="20" t="str" cm="1">
        <f t="array" ref="D23">Common_InputFunctions.Utility_DisplayArrayInTable(Common_SourceData.Common_SourceData_WASA4Areas_Data(), Table_WASA4Areas[[#Headers],[SA 4 Name]], 0)</f>
        <v>Perth - Inner</v>
      </c>
    </row>
    <row r="24" spans="1:4" ht="20" customHeight="1" x14ac:dyDescent="0.25">
      <c r="A24" s="5" t="str">
        <f>HYPERLINK("#'Input - Manure sent off-site'!A1", "Manure sent off-site")</f>
        <v>Manure sent off-site</v>
      </c>
      <c r="D24" s="20" t="str" cm="1">
        <f t="array" ref="D24">Common_InputFunctions.Utility_DisplayArrayInTable(Common_SourceData.Common_SourceData_WASA4Areas_Data(), Table_WASA4Areas[[#Headers],[SA 4 Name]], 0)</f>
        <v>Perth - North East</v>
      </c>
    </row>
    <row r="25" spans="1:4" ht="20" customHeight="1" x14ac:dyDescent="0.25">
      <c r="A25" s="5" t="str">
        <f>HYPERLINK("#'Input - Data quality'!A1", "Data quality")</f>
        <v>Data quality</v>
      </c>
      <c r="D25" s="20" t="str" cm="1">
        <f t="array" ref="D25">Common_InputFunctions.Utility_DisplayArrayInTable(Common_SourceData.Common_SourceData_WASA4Areas_Data(), Table_WASA4Areas[[#Headers],[SA 4 Name]], 0)</f>
        <v>Perth - North West</v>
      </c>
    </row>
    <row r="26" spans="1:4" ht="20" customHeight="1" x14ac:dyDescent="0.25">
      <c r="A26"/>
      <c r="D26" s="20" t="str" cm="1">
        <f t="array" ref="D26">Common_InputFunctions.Utility_DisplayArrayInTable(Common_SourceData.Common_SourceData_WASA4Areas_Data(), Table_WASA4Areas[[#Headers],[SA 4 Name]], 0)</f>
        <v>Perth - South East</v>
      </c>
    </row>
    <row r="27" spans="1:4" ht="20" customHeight="1" x14ac:dyDescent="0.25">
      <c r="A27"/>
      <c r="D27" s="20" t="str" cm="1">
        <f t="array" ref="D27">Common_InputFunctions.Utility_DisplayArrayInTable(Common_SourceData.Common_SourceData_WASA4Areas_Data(), Table_WASA4Areas[[#Headers],[SA 4 Name]], 0)</f>
        <v>Perth - South West</v>
      </c>
    </row>
    <row r="28" spans="1:4" ht="20" customHeight="1" x14ac:dyDescent="0.25">
      <c r="A28" s="6" t="s">
        <v>2</v>
      </c>
      <c r="D28" s="20" t="str" cm="1">
        <f t="array" ref="D28">Common_InputFunctions.Utility_DisplayArrayInTable(Common_SourceData.Common_SourceData_WASA4Areas_Data(), Table_WASA4Areas[[#Headers],[SA 4 Name]], 0)</f>
        <v>Western Australia - Wheat Belt</v>
      </c>
    </row>
    <row r="29" spans="1:4" ht="20" customHeight="1" x14ac:dyDescent="0.25">
      <c r="A29" s="5" t="str">
        <f>HYPERLINK("#'3.2.1.1-2 Enteric Methane'!A1", "3.2.1.1-2 Enteric Methane")</f>
        <v>3.2.1.1-2 Enteric Methane</v>
      </c>
      <c r="D29" s="20" t="str" cm="1">
        <f t="array" ref="D29">Common_InputFunctions.Utility_DisplayArrayInTable(Common_SourceData.Common_SourceData_WASA4Areas_Data(), Table_WASA4Areas[[#Headers],[SA 4 Name]], 0)</f>
        <v>Western Australia - Outback (North)</v>
      </c>
    </row>
    <row r="30" spans="1:4" ht="20" customHeight="1" x14ac:dyDescent="0.25">
      <c r="A30" s="5" t="str">
        <f>HYPERLINK("#'4.2.1.1-2 Methane'!A1", "4.2.1.1-2 Manure methane")</f>
        <v>4.2.1.1-2 Manure methane</v>
      </c>
      <c r="D30" s="20" t="str" cm="1">
        <f t="array" ref="D30">Common_InputFunctions.Utility_DisplayArrayInTable(Common_SourceData.Common_SourceData_WASA4Areas_Data(), Table_WASA4Areas[[#Headers],[SA 4 Name]], 0)</f>
        <v>Western Australia - Outback (South)</v>
      </c>
    </row>
    <row r="31" spans="1:4" ht="20" customHeight="1" x14ac:dyDescent="0.25">
      <c r="A31" s="5" t="str">
        <f>HYPERLINK("#'4.2.1.3-4 Soil direct N20'!A1", "4.2.1.3-4 Soil direct N2O")</f>
        <v>4.2.1.3-4 Soil direct N2O</v>
      </c>
    </row>
    <row r="32" spans="1:4" ht="20" customHeight="1" x14ac:dyDescent="0.25">
      <c r="A32" s="5" t="str">
        <f>HYPERLINK("#'4.2.1.5-6 Soil Atmos Dep'!A1", "4.2.1.5-6 Soil atm. deposition")</f>
        <v>4.2.1.5-6 Soil atm. deposition</v>
      </c>
    </row>
    <row r="33" spans="1:8" ht="20" customHeight="1" x14ac:dyDescent="0.25">
      <c r="A33" s="5" t="str">
        <f>HYPERLINK("#'4.2.1.7-8 Soil leach runoff'!A1", "4.2.1.7-8 Soil leach &amp; runoff")</f>
        <v>4.2.1.7-8 Soil leach &amp; runoff</v>
      </c>
    </row>
    <row r="34" spans="1:8" ht="20" customHeight="1" x14ac:dyDescent="0.25">
      <c r="A34" s="5" t="str">
        <f>HYPERLINK("#'5.1.1.1-2 Inorganic fert N2O'!A1", "5.1.1.1-2 Inorganic fert N2O")</f>
        <v>5.1.1.1-2 Inorganic fert N2O</v>
      </c>
      <c r="D34" s="2" t="str" cm="1">
        <f t="array" ref="D34">Common_SourceData.Common_SourceData_GWP_Title()</f>
        <v>Global warming potential for greenhouse gases</v>
      </c>
    </row>
    <row r="35" spans="1:8" ht="20" customHeight="1" x14ac:dyDescent="0.25">
      <c r="A35" s="5" t="str">
        <f>HYPERLINK("#'5.1.1.3-4 Inorganic fert CO2'!A1", "5.1.1.3-4 Inorganic fert CO2")</f>
        <v>5.1.1.3-4 Inorganic fert CO2</v>
      </c>
      <c r="D35" s="17" t="str" cm="1">
        <f t="array" ref="D35">Common_SourceData.Common_SourceData_GWP_Source()</f>
        <v>XXXXXXX</v>
      </c>
    </row>
    <row r="36" spans="1:8" ht="20" customHeight="1" x14ac:dyDescent="0.25">
      <c r="A36" s="5" t="str">
        <f>HYPERLINK("#'5.2.1.1-2 Organic Fert N2O'!A1", "5.2.1.1-2 Organic fert N2O")</f>
        <v>5.2.1.1-2 Organic fert N2O</v>
      </c>
      <c r="D36" s="20" t="s">
        <v>34</v>
      </c>
      <c r="E36" s="20" t="s">
        <v>35</v>
      </c>
    </row>
    <row r="37" spans="1:8" ht="20" customHeight="1" x14ac:dyDescent="0.25">
      <c r="A37" s="5" t="str">
        <f>HYPERLINK("#'5.3.1.1-2 Lime CO2'!A1", "5.3.1.1-2 Lime CO2")</f>
        <v>5.3.1.1-2 Lime CO2</v>
      </c>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 customHeight="1" x14ac:dyDescent="0.25">
      <c r="A38" s="5" t="str">
        <f>HYPERLINK("#'5.4.1.1-4 Atmos deposition'!A1", "5.4.1.1-4 Atmos. deposition")</f>
        <v>5.4.1.1-4 Atmos. deposition</v>
      </c>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 customHeight="1" x14ac:dyDescent="0.25">
      <c r="A39" s="5" t="str">
        <f>HYPERLINK("#'5.5.1.1-2 Leaching and runoff'!A1", "5.5.1.1-2 Leaching &amp; runoff")</f>
        <v>5.5.1.1-2 Leaching &amp; runoff</v>
      </c>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 customHeight="1" x14ac:dyDescent="0.25">
      <c r="A40" s="5" t="str">
        <f>HYPERLINK("#'6.2.1.1-2 Pasture residue N2O'!A1", "6.2.1.1-2 Pasture residue N2O")</f>
        <v>6.2.1.1-2 Pasture residue N2O</v>
      </c>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 customHeight="1" x14ac:dyDescent="0.25">
      <c r="A41" s="5" t="str">
        <f>HYPERLINK("#'6.3.1.1-2 Leach runoff pasture'!A1", "6.3.1.1-2 Leach &amp; runoff (pasture)")</f>
        <v>6.3.1.1-2 Leach &amp; runoff (pasture)</v>
      </c>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 customHeight="1" x14ac:dyDescent="0.25">
      <c r="A42" s="5" t="str">
        <f>HYPERLINK("#'8.1.1.1-2 Transport fuel'!A1", "8.1.1.1-2 Transport fuel")</f>
        <v>8.1.1.1-2 Transport fuel</v>
      </c>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 customHeight="1" x14ac:dyDescent="0.25">
      <c r="A43" s="5" t="str">
        <f>HYPERLINK("#'8.2.1.1-2 Stationary fuel'!A1", "8.2.1.1-2 Stationary fuel")</f>
        <v>8.2.1.1-2 Stationary fuel</v>
      </c>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 customHeight="1" x14ac:dyDescent="0.25">
      <c r="A44" s="5" t="str">
        <f>HYPERLINK("#'10.1.1-2 Solid waste treatment'!A1", "10.1.1.1-2 Solid waste")</f>
        <v>10.1.1.1-2 Solid waste</v>
      </c>
    </row>
    <row r="45" spans="1:8" ht="20" customHeight="1" x14ac:dyDescent="0.25">
      <c r="A45" s="5" t="str">
        <f>HYPERLINK("#'14.1.1-2 Purchased electricity'!A1", "14.1.1-2 Purchased electricity")</f>
        <v>14.1.1-2 Purchased electricity</v>
      </c>
      <c r="D45" s="2" t="str" cm="1">
        <f t="array" ref="D45">Common_SourceData.Common_SourceData_ConvertGasElementalToMolecular_Title()</f>
        <v>Factor to convert elemental mass of gas to molecular mass</v>
      </c>
    </row>
    <row r="46" spans="1:8" ht="20" customHeight="1" x14ac:dyDescent="0.25">
      <c r="A46" s="5" t="str">
        <f>HYPERLINK("#'15 Scope 3'!A1", "15 Scope 3")</f>
        <v>15 Scope 3</v>
      </c>
      <c r="D46" s="17" t="str" cm="1">
        <f t="array" ref="D46">Common_SourceData.Common_SourceData_ConvertGasElementalToMolecular_Source()</f>
        <v>XXXXXXX</v>
      </c>
    </row>
    <row r="47" spans="1:8" ht="20" customHeight="1" x14ac:dyDescent="0.25">
      <c r="A47" s="5" t="str">
        <f>HYPERLINK("#'Calcs - Manure sent off-site'!A1", "Calcs - Manure sent off-site")</f>
        <v>Calcs - Manure sent off-site</v>
      </c>
      <c r="D47" s="20" t="s">
        <v>34</v>
      </c>
      <c r="E47" s="20" t="s">
        <v>36</v>
      </c>
      <c r="F47" s="20" t="s">
        <v>37</v>
      </c>
      <c r="G47" s="20" t="s">
        <v>38</v>
      </c>
      <c r="H47" s="20" t="s">
        <v>39</v>
      </c>
    </row>
    <row r="48" spans="1:8" ht="20" customHeight="1" x14ac:dyDescent="0.25">
      <c r="A48"/>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 customHeight="1" x14ac:dyDescent="0.25">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 customHeight="1" x14ac:dyDescent="0.25">
      <c r="A50" s="85" t="s">
        <v>1</v>
      </c>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 customHeight="1" x14ac:dyDescent="0.25">
      <c r="A51" s="5" t="str">
        <f>HYPERLINK("#'Constants - Pasture Beef'!A1", "Constants - Pasture Beef")</f>
        <v>Constants - Pasture Beef</v>
      </c>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 customHeight="1" x14ac:dyDescent="0.25">
      <c r="A52" s="5" t="str">
        <f>HYPERLINK("#'Constants - Ag Residue'!A1", "Constants - Ag residue")</f>
        <v>Constants - Ag residue</v>
      </c>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 customHeight="1" x14ac:dyDescent="0.25">
      <c r="A53" s="5" t="str">
        <f>HYPERLINK("#'Constants - Common Livestock'!A1", "Constants - Common Livestock")</f>
        <v>Constants - Common Livestock</v>
      </c>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 customHeight="1" x14ac:dyDescent="0.25">
      <c r="A54" s="5" t="str">
        <f>HYPERLINK("#'Constants - Electricity'!A1", "Constants - Electricity")</f>
        <v>Constants - Electricity</v>
      </c>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 customHeight="1" x14ac:dyDescent="0.25">
      <c r="A55" s="5" t="str">
        <f>HYPERLINK("#'Constants - Fertiliser'!A1", "Constants - Fertiliser")</f>
        <v>Constants - Fertiliser</v>
      </c>
    </row>
    <row r="56" spans="1:8" ht="20" customHeight="1" x14ac:dyDescent="0.25">
      <c r="A56" s="5" t="str">
        <f>HYPERLINK("#'Constants - Fuel'!A1", "Constants - Fuel")</f>
        <v>Constants - Fuel</v>
      </c>
    </row>
    <row r="57" spans="1:8" ht="20" customHeight="1" x14ac:dyDescent="0.25">
      <c r="A57" s="5" t="str">
        <f>HYPERLINK("#'Constants - Scope 3'!A1", "Constants - Scope 3")</f>
        <v>Constants - Scope 3</v>
      </c>
      <c r="D57" s="2" t="str" cm="1">
        <f t="array" ref="D57">Common_SourceData.Common_SourceData_WetAndDryZones_Title()</f>
        <v>VEERG Australian wet and dry zones</v>
      </c>
    </row>
    <row r="58" spans="1:8" ht="20" customHeight="1" x14ac:dyDescent="0.25">
      <c r="A58" s="5" t="str">
        <f>HYPERLINK("#'Constants - Solid Waste'!A1", "Constants - Solid Waste")</f>
        <v>Constants - Solid Waste</v>
      </c>
      <c r="D58" s="17" t="str" cm="1">
        <f t="array" ref="D58">Common_SourceData.Common_SourceData_WetAndDryZones_Source()</f>
        <v>VEERG 2026: Table 1.2: Translating climate zones to wet and dry zones</v>
      </c>
    </row>
    <row r="59" spans="1:8" ht="20" customHeight="1" x14ac:dyDescent="0.25">
      <c r="A59" s="86" t="str">
        <f>HYPERLINK("#'Constants - Common'!A1", "Constants - Common")</f>
        <v>Constants - Common</v>
      </c>
      <c r="D59" s="26" t="str" cm="1">
        <f t="array" ref="D59:D61">"⚠️" &amp; Common_SourceData.Common_SourceData_WetAndDryZones_Variation()</f>
        <v>⚠️VARIATION OF SOURCE DATA:</v>
      </c>
    </row>
    <row r="60" spans="1:8" ht="20" customHeight="1" x14ac:dyDescent="0.25">
      <c r="A60" s="5" t="str">
        <f>HYPERLINK("#'Acknowledgements'!A1", "Acknowledgements")</f>
        <v>Acknowledgements</v>
      </c>
      <c r="D60" s="26" t="str">
        <v>⚠️Added warm / cool temperate moist / dry - low frost and high temp classes to accommodate climate scenarios excluded by VEERG criteria.</v>
      </c>
    </row>
    <row r="61" spans="1:8" ht="20" customHeight="1" x14ac:dyDescent="0.25">
      <c r="A61"/>
      <c r="D61" s="26" t="str">
        <v>⚠️Fixed typo - Changed 'Fry' to 'Dry'.</v>
      </c>
    </row>
    <row r="62" spans="1:8" ht="20" customHeight="1" x14ac:dyDescent="0.25">
      <c r="A62"/>
    </row>
    <row r="63" spans="1:8" ht="20" customHeight="1" x14ac:dyDescent="0.25">
      <c r="A63"/>
      <c r="D63" s="20" t="s">
        <v>40</v>
      </c>
      <c r="E63" s="20" t="s">
        <v>41</v>
      </c>
    </row>
    <row r="64" spans="1:8" ht="20" customHeight="1" x14ac:dyDescent="0.25">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 customHeight="1" x14ac:dyDescent="0.25">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 customHeight="1" x14ac:dyDescent="0.25">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 customHeight="1" x14ac:dyDescent="0.25">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 customHeight="1" x14ac:dyDescent="0.25">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 customHeight="1" x14ac:dyDescent="0.25">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 customHeight="1" x14ac:dyDescent="0.25">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 customHeight="1" x14ac:dyDescent="0.25">
      <c r="A71"/>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 customHeight="1" x14ac:dyDescent="0.25">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 customHeight="1" x14ac:dyDescent="0.25">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 customHeight="1" x14ac:dyDescent="0.25">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 customHeight="1" x14ac:dyDescent="0.25">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 customHeight="1" x14ac:dyDescent="0.25">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 customHeight="1" x14ac:dyDescent="0.25">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2" t="str" cm="1">
        <f t="array" ref="D81">Common_SourceData.Common_SourceData_ClimateZones_Title()</f>
        <v>VEERG Australian climate zones</v>
      </c>
    </row>
    <row r="82" spans="1:20" ht="20" customHeight="1" x14ac:dyDescent="0.25">
      <c r="A82"/>
      <c r="D82" s="17" t="str" cm="1">
        <f t="array" ref="D82">Common_SourceData.Common_SourceData_ClimateZones_Source()</f>
        <v>VEERG 2026: Table 1.3: Climate and Rainfall zone classifications and definitions</v>
      </c>
    </row>
    <row r="83" spans="1:20" ht="20" customHeight="1" x14ac:dyDescent="0.25">
      <c r="A83"/>
      <c r="D83" s="26" t="str" cm="1">
        <f t="array" ref="D83:D87">"⚠️" &amp; Common_SourceData.Common_SourceData_ClimateZones_Variation()</f>
        <v>⚠️VARIATION OF SOURCE DATA:</v>
      </c>
    </row>
    <row r="84" spans="1:20" ht="20" customHeight="1" x14ac:dyDescent="0.25">
      <c r="A84"/>
      <c r="D84" s="26" t="str">
        <v>⚠️Added warm / cool temperate moist / dry - low frost and high temp classes to accommodate climate scenarios excluded by VEERG criteria.</v>
      </c>
    </row>
    <row r="85" spans="1:20" ht="20" customHeight="1" x14ac:dyDescent="0.25">
      <c r="A85"/>
      <c r="D85" s="26" t="str">
        <v>⚠️Fixed typo in MAT value for warm temperate dry - changed 10 to 11.</v>
      </c>
    </row>
    <row r="86" spans="1:20" ht="20" customHeight="1" x14ac:dyDescent="0.25">
      <c r="A86"/>
      <c r="D86" s="26" t="str">
        <v>⚠️Added min and max columns for MAT, MAP, frost days per year, elevation, MAP:PET to calculate zones from real climate data.</v>
      </c>
    </row>
    <row r="87" spans="1:20" ht="20" customHeight="1" x14ac:dyDescent="0.25">
      <c r="A87"/>
      <c r="D87" s="26" t="str">
        <v>⚠️GAF accepts rainfall as a proxy for precipitation.</v>
      </c>
    </row>
    <row r="88" spans="1:20" ht="20" customHeight="1" x14ac:dyDescent="0.25">
      <c r="A88"/>
    </row>
    <row r="89" spans="1:20" ht="20" customHeight="1" x14ac:dyDescent="0.25">
      <c r="A89"/>
      <c r="D89" s="20" t="s">
        <v>40</v>
      </c>
      <c r="E89" s="20" t="s">
        <v>42</v>
      </c>
      <c r="F89" s="20" t="s">
        <v>43</v>
      </c>
      <c r="G89" s="20" t="s">
        <v>44</v>
      </c>
      <c r="H89" s="20" t="s">
        <v>45</v>
      </c>
      <c r="I89" s="20" t="s">
        <v>46</v>
      </c>
      <c r="J89" s="20" t="s">
        <v>47</v>
      </c>
      <c r="K89" s="20" t="s">
        <v>48</v>
      </c>
      <c r="L89" s="20" t="s">
        <v>49</v>
      </c>
      <c r="M89" s="20" t="s">
        <v>50</v>
      </c>
      <c r="N89" s="20" t="s">
        <v>51</v>
      </c>
      <c r="O89" s="20" t="s">
        <v>52</v>
      </c>
      <c r="P89" s="20" t="s">
        <v>53</v>
      </c>
      <c r="Q89" s="20" t="s">
        <v>54</v>
      </c>
      <c r="R89" s="20" t="s">
        <v>55</v>
      </c>
      <c r="S89" s="20" t="s">
        <v>56</v>
      </c>
      <c r="T89" s="20"/>
    </row>
    <row r="90" spans="1:20" ht="20" customHeight="1" x14ac:dyDescent="0.25">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 customHeight="1" x14ac:dyDescent="0.25">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 customHeight="1" x14ac:dyDescent="0.25">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 customHeight="1" x14ac:dyDescent="0.25">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 customHeight="1" x14ac:dyDescent="0.25">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 customHeight="1" x14ac:dyDescent="0.25">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 customHeight="1" x14ac:dyDescent="0.25">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 customHeight="1" x14ac:dyDescent="0.25">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 customHeight="1" x14ac:dyDescent="0.25">
      <c r="A98"/>
    </row>
    <row r="99" spans="1:20" ht="20" customHeight="1" x14ac:dyDescent="0.25">
      <c r="A99"/>
      <c r="D99" s="9" t="str" cm="1">
        <f t="array" ref="D99:D102">Common_SourceData.Common_SourceData_ClimateZones_Appendices()</f>
        <v>Note:</v>
      </c>
    </row>
    <row r="100" spans="1:20" ht="20" customHeight="1" x14ac:dyDescent="0.25">
      <c r="A100"/>
      <c r="D100" s="9" t="str">
        <v>MAT = mean annual temperature</v>
      </c>
    </row>
    <row r="101" spans="1:20" ht="20" customHeight="1" x14ac:dyDescent="0.25">
      <c r="A101"/>
      <c r="D101" s="9" t="str">
        <v>MAP = mean annual precipitation</v>
      </c>
    </row>
    <row r="102" spans="1:20" ht="20" customHeight="1" x14ac:dyDescent="0.25">
      <c r="A102"/>
      <c r="D102" s="9" t="str">
        <v>PET = potential evapotranspiration</v>
      </c>
    </row>
    <row r="103" spans="1:20" ht="20" customHeight="1" x14ac:dyDescent="0.25">
      <c r="A103"/>
      <c r="D103" s="9"/>
    </row>
    <row r="104" spans="1:20" ht="20" customHeight="1" x14ac:dyDescent="0.25">
      <c r="A104"/>
    </row>
    <row r="105" spans="1:20" ht="20" customHeight="1" x14ac:dyDescent="0.25">
      <c r="A105"/>
      <c r="D105" s="2" t="str" cm="1">
        <f t="array" ref="D105">Common_SourceData.Common_SourceData_TemperatureZones_Title()</f>
        <v>VEERG Australian temperature zones</v>
      </c>
    </row>
    <row r="106" spans="1:20" ht="20" customHeight="1" x14ac:dyDescent="0.25">
      <c r="A106"/>
      <c r="D106" s="17" t="str" cm="1">
        <f t="array" ref="D106">Common_SourceData.Common_SourceData_TemperatureZones_Source()</f>
        <v>VEERG 2026: Table 1.3: Climate and Rainfall zone classifications and definitions</v>
      </c>
    </row>
    <row r="107" spans="1:20" ht="20" customHeight="1" x14ac:dyDescent="0.25">
      <c r="A107"/>
      <c r="D107" s="26"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20" t="s">
        <v>57</v>
      </c>
      <c r="E109" s="20" t="s">
        <v>42</v>
      </c>
      <c r="F109" s="20" t="s">
        <v>58</v>
      </c>
      <c r="G109" s="20" t="s">
        <v>59</v>
      </c>
    </row>
    <row r="110" spans="1:20" ht="20" customHeight="1" x14ac:dyDescent="0.25">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 customHeight="1" x14ac:dyDescent="0.25">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2" t="str" cm="1">
        <f t="array" ref="D115">Common_SourceData.Common_SourceData_RainfallZones_Title()</f>
        <v>VEERG Australian rainfall zones</v>
      </c>
      <c r="BN115" s="22"/>
    </row>
    <row r="116" spans="1:66" ht="20" customHeight="1" x14ac:dyDescent="0.25">
      <c r="A116"/>
      <c r="D116" s="17" t="str" cm="1">
        <f t="array" ref="D116">Common_SourceData.Common_SourceData_RainfallZones_Source()</f>
        <v>VEERG 2026: Table 1.3: Climate and Rainfall zone classifications and definitions</v>
      </c>
      <c r="BN116" s="22"/>
    </row>
    <row r="117" spans="1:66" ht="20" customHeight="1" x14ac:dyDescent="0.25">
      <c r="A117"/>
      <c r="D117" s="26" t="str" cm="1">
        <f t="array" ref="D117">"⚠️" &amp; Common_SourceData.Common_SourceData_RainfallZones_Variation()</f>
        <v>⚠️VARIATION OF SOURCE DATA: Added extra Rainfall min and Rainfall max columns to calculate zone from real rainfall data.</v>
      </c>
      <c r="BN117" s="22"/>
    </row>
    <row r="118" spans="1:66" ht="20" customHeight="1" x14ac:dyDescent="0.25">
      <c r="A118"/>
      <c r="BN118" s="22"/>
    </row>
    <row r="119" spans="1:66" ht="20" customHeight="1" x14ac:dyDescent="0.25">
      <c r="A119"/>
      <c r="D119" s="20" t="s">
        <v>60</v>
      </c>
      <c r="E119" s="20" t="s">
        <v>61</v>
      </c>
      <c r="F119" s="20" t="s">
        <v>49</v>
      </c>
      <c r="G119" s="20" t="s">
        <v>50</v>
      </c>
      <c r="BN119" s="22"/>
    </row>
    <row r="120" spans="1:66" ht="20" customHeight="1" x14ac:dyDescent="0.25">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 customHeight="1" x14ac:dyDescent="0.25">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 customHeight="1" x14ac:dyDescent="0.25">
      <c r="A122"/>
      <c r="BN122" s="22"/>
    </row>
    <row r="123" spans="1:66" ht="20" customHeight="1" x14ac:dyDescent="0.25">
      <c r="A123"/>
    </row>
    <row r="124" spans="1:66" ht="20" customHeight="1" x14ac:dyDescent="0.25">
      <c r="A124"/>
      <c r="D124" s="2" t="str" cm="1">
        <f t="array" ref="D124">Common_SourceData.Common_SourceData_LeachingZones_Title()</f>
        <v>VEERG Australian leaching zones</v>
      </c>
    </row>
    <row r="125" spans="1:66" ht="20" customHeight="1" x14ac:dyDescent="0.25">
      <c r="A125"/>
      <c r="D125" s="17"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20" t="s">
        <v>62</v>
      </c>
      <c r="E127" s="20" t="s">
        <v>63</v>
      </c>
    </row>
    <row r="128" spans="1:66" ht="20" customHeight="1" x14ac:dyDescent="0.25">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2" t="str" cm="1">
        <f t="array" ref="D132">Common_SourceData.Common_SourceData_FracWET_Title()</f>
        <v>Fraction of N that is available for leaching and runoff</v>
      </c>
      <c r="E132" s="8"/>
    </row>
    <row r="133" spans="1:77" ht="20" customHeight="1" x14ac:dyDescent="0.25">
      <c r="A133"/>
      <c r="D133" s="17" t="str" cm="1">
        <f t="array" ref="D133">Common_SourceData.Common_SourceData_FracWET_Source()</f>
        <v>VEERG 2026:5.5.2.3 Constant Parameters</v>
      </c>
      <c r="E133" s="8"/>
    </row>
    <row r="134" spans="1:77" ht="20" customHeight="1" x14ac:dyDescent="0.25">
      <c r="A134"/>
      <c r="D134" t="s">
        <v>64</v>
      </c>
      <c r="E134" t="s">
        <v>65</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22"/>
      <c r="BO138" s="22"/>
      <c r="BP138" s="22"/>
      <c r="BQ138" s="22"/>
      <c r="BR138" s="22"/>
      <c r="BS138" s="22"/>
      <c r="BT138" s="22"/>
      <c r="BU138" s="22"/>
      <c r="BV138" s="22"/>
      <c r="BW138" s="22"/>
      <c r="BX138" s="22"/>
      <c r="BY138" s="22"/>
    </row>
    <row r="139" spans="1:77" ht="20" customHeight="1" x14ac:dyDescent="0.25">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 customHeight="1" x14ac:dyDescent="0.25">
      <c r="A140"/>
      <c r="D140" s="17"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 customHeight="1" x14ac:dyDescent="0.25">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 customHeight="1" x14ac:dyDescent="0.25">
      <c r="A142"/>
      <c r="D142" s="20" t="s">
        <v>66</v>
      </c>
      <c r="E142" s="20" t="s">
        <v>65</v>
      </c>
      <c r="BN142" s="22"/>
    </row>
    <row r="143" spans="1:77" ht="20" customHeight="1" x14ac:dyDescent="0.25">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 customHeight="1" x14ac:dyDescent="0.25">
      <c r="A148"/>
      <c r="BN148" s="22"/>
    </row>
    <row r="149" spans="1:66" ht="20" customHeight="1" x14ac:dyDescent="0.25">
      <c r="A149"/>
      <c r="BN149" s="22"/>
    </row>
    <row r="150" spans="1:66" ht="20" customHeight="1" x14ac:dyDescent="0.25">
      <c r="A150"/>
      <c r="D150" s="2" t="str" cm="1">
        <f t="array" ref="D150">Common_SourceData.Common_SourceData_DataScores_Scope3_Title()</f>
        <v>Australian data scores for scope 3</v>
      </c>
      <c r="BN150" s="22"/>
    </row>
    <row r="151" spans="1:66" ht="20" customHeight="1" x14ac:dyDescent="0.25">
      <c r="A151"/>
      <c r="D151" s="17" t="str" cm="1">
        <f t="array" ref="D151">Common_SourceData.Common_SourceData_DataScores_Scope3_Source()</f>
        <v>VEERG 2026: XXXXXXXX</v>
      </c>
      <c r="BN151" s="22"/>
    </row>
    <row r="152" spans="1:66" ht="20" customHeight="1" x14ac:dyDescent="0.25">
      <c r="A152"/>
      <c r="BN152" s="22"/>
    </row>
    <row r="153" spans="1:66" ht="20" customHeight="1" x14ac:dyDescent="0.25">
      <c r="A153"/>
      <c r="D153" s="20" t="s">
        <v>67</v>
      </c>
      <c r="E153" s="20" t="s">
        <v>68</v>
      </c>
      <c r="BC153" s="25"/>
      <c r="BD153" s="25"/>
      <c r="BE153" s="25"/>
      <c r="BF153" s="25"/>
      <c r="BG153" s="25"/>
      <c r="BH153" s="25"/>
      <c r="BI153" s="25"/>
      <c r="BJ153" s="25"/>
      <c r="BK153" s="25"/>
      <c r="BL153" s="25"/>
      <c r="BM153" s="25"/>
    </row>
    <row r="154" spans="1:66" ht="20" customHeight="1" x14ac:dyDescent="0.25">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 customHeight="1" x14ac:dyDescent="0.25">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 customHeight="1" x14ac:dyDescent="0.25">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 customHeight="1" x14ac:dyDescent="0.25">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 customHeight="1" x14ac:dyDescent="0.25">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2" t="str" cm="1">
        <f t="array" ref="D161">Common_SourceData.Common_SourceData_FracLEACH_Title()</f>
        <v>Fraction of N that is available for leaching and runoff</v>
      </c>
      <c r="E161" s="8"/>
    </row>
    <row r="162" spans="4:68" ht="20" customHeight="1" x14ac:dyDescent="0.25">
      <c r="D162" s="17" t="str" cm="1">
        <f t="array" ref="D162">Common_SourceData.Common_SourceData_FracLEACH_Source()</f>
        <v>VEERG 2026:5.5.2.3 Constant Parameters</v>
      </c>
      <c r="E162" s="8"/>
    </row>
    <row r="163" spans="4:68" ht="20" customHeight="1" x14ac:dyDescent="0.25">
      <c r="D163" s="17" t="str" cm="1">
        <f t="array" ref="D163">Common_SourceData.Common_SourceData_FracLEACH_NIRReference()</f>
        <v>National Inventory Report Volume 1: Leaching and runoff (3.D.b.2)</v>
      </c>
      <c r="E163" s="8"/>
    </row>
    <row r="164" spans="4:68" ht="20" customHeight="1" x14ac:dyDescent="0.25">
      <c r="D164" s="8" t="str" cm="1">
        <f t="array" ref="D164:E164">Common_SourceData.Common_SourceData_FracLEACH_Data()</f>
        <v>FracLEACH</v>
      </c>
      <c r="E164" s="8">
        <v>0.24</v>
      </c>
    </row>
    <row r="165" spans="4:68" ht="20" customHeight="1" x14ac:dyDescent="0.25">
      <c r="BN165" s="22"/>
      <c r="BO165" s="22"/>
      <c r="BP165" s="22"/>
    </row>
    <row r="166" spans="4:68" ht="20" customHeight="1" x14ac:dyDescent="0.25">
      <c r="BN166" s="22"/>
      <c r="BO166" s="22"/>
      <c r="BP166" s="22"/>
    </row>
    <row r="167" spans="4:68" ht="20" customHeight="1" x14ac:dyDescent="0.25">
      <c r="D167" s="2" t="str" cm="1">
        <f t="array" ref="D167">Common_SourceData.Common_SourceData_EFleach_Title()</f>
        <v>Emission factor for nitrogen leaching and runoff</v>
      </c>
      <c r="BN167" s="22"/>
      <c r="BO167" s="22"/>
      <c r="BP167" s="22"/>
    </row>
    <row r="168" spans="4:68" ht="20" customHeight="1" x14ac:dyDescent="0.25">
      <c r="D168" s="17" t="str" cm="1">
        <f t="array" ref="D168">Common_SourceData.Common_SourceData_EFleach_Source()</f>
        <v>VEERG 2026:5.5.2.3 Constant Parameters</v>
      </c>
      <c r="BN168" s="22"/>
      <c r="BO168" s="22"/>
      <c r="BP168" s="22"/>
    </row>
    <row r="169" spans="4:68" ht="20" customHeight="1" x14ac:dyDescent="0.25">
      <c r="D169" s="17" t="str" cm="1">
        <f t="array" ref="D169">Common_SourceData.Common_SourceData_EFleach_NIRReference()</f>
        <v>National Inventory Report Volume 1: Equation 3.D.B_10</v>
      </c>
      <c r="BN169" s="22"/>
      <c r="BO169" s="22"/>
      <c r="BP169" s="22"/>
    </row>
    <row r="170" spans="4:68" ht="20" customHeight="1" x14ac:dyDescent="0.25">
      <c r="D170" s="1" t="str" cm="1">
        <f t="array" ref="D170:E170">Common_SourceData.Common_SourceData_EFleach_Data()</f>
        <v>EFleach</v>
      </c>
      <c r="E170" s="1">
        <v>1.0999999999999999E-2</v>
      </c>
      <c r="BN170" s="22"/>
      <c r="BO170" s="22"/>
      <c r="BP170" s="22"/>
    </row>
    <row r="171" spans="4:68" ht="20" customHeight="1" x14ac:dyDescent="0.25">
      <c r="BN171" s="22"/>
      <c r="BO171" s="22"/>
      <c r="BP171" s="22"/>
    </row>
    <row r="172" spans="4:68" ht="20" customHeight="1" x14ac:dyDescent="0.25">
      <c r="BN172" s="22"/>
      <c r="BO172" s="22"/>
      <c r="BP172" s="22"/>
    </row>
    <row r="173" spans="4:68" ht="20" customHeight="1" x14ac:dyDescent="0.25">
      <c r="D173" s="2" t="str" cm="1">
        <f t="array" ref="D173">Common_SourceData.Common_SourceData_DensityOfMethane_Title()</f>
        <v>p = density of methane</v>
      </c>
      <c r="BN173" s="22"/>
      <c r="BO173" s="22"/>
      <c r="BP173" s="22"/>
    </row>
    <row r="174" spans="4:68" ht="20" customHeight="1" x14ac:dyDescent="0.25">
      <c r="D174" s="17" t="str" cm="1">
        <f t="array" ref="D174">Common_SourceData.Common_SourceData_DensityOfMethane_Source()</f>
        <v>National Inventory Report 2023 Volume 1: Equations 3.B.1a_2, 3.B.1c_2, 3.B.3_1, 3.B.4g_2</v>
      </c>
      <c r="BN174" s="22"/>
      <c r="BO174" s="22"/>
      <c r="BP174" s="22"/>
    </row>
    <row r="175" spans="4:68" ht="20" customHeight="1" x14ac:dyDescent="0.25">
      <c r="D175" s="1" cm="1">
        <f t="array" ref="D175">Common_SourceData.Common_SourceData_DensityOfMethane_Data()</f>
        <v>0.6784</v>
      </c>
      <c r="E175" s="9" t="str" cm="1">
        <f t="array" ref="E175">Common_SourceData.Common_SourceData_DensityOfMethane_Unit()</f>
        <v>kg/m3</v>
      </c>
      <c r="BN175" s="22"/>
      <c r="BO175" s="22"/>
      <c r="BP175" s="22"/>
    </row>
    <row r="176" spans="4:68" ht="20" customHeight="1" x14ac:dyDescent="0.25">
      <c r="BN176" s="22"/>
      <c r="BO176" s="22"/>
      <c r="BP176" s="22"/>
    </row>
    <row r="177" spans="4:68" ht="20" customHeight="1" x14ac:dyDescent="0.25">
      <c r="BN177" s="22"/>
      <c r="BO177" s="22"/>
      <c r="BP177" s="22"/>
    </row>
    <row r="178" spans="4:68" ht="20" customHeight="1" x14ac:dyDescent="0.25">
      <c r="D178" s="2" t="str" cm="1">
        <f t="array" ref="D178">Common_SourceData.Common_SourceData_EFN2O_Title()</f>
        <v>Nitrous oxide emission factors for inorganic fertiliser application</v>
      </c>
      <c r="BN178" s="22"/>
      <c r="BO178" s="22"/>
      <c r="BP178" s="22"/>
    </row>
    <row r="179" spans="4:68" ht="20" customHeight="1" x14ac:dyDescent="0.25">
      <c r="D179" s="17" t="str" cm="1">
        <f t="array" ref="D179">Common_SourceData.Common_SourceData_EFN2O_Source()</f>
        <v>VEERG 2026: Table A.2.2.1</v>
      </c>
      <c r="BN179" s="22"/>
      <c r="BO179" s="22"/>
      <c r="BP179" s="22"/>
    </row>
    <row r="180" spans="4:68" ht="20" customHeight="1" x14ac:dyDescent="0.25">
      <c r="D180" s="9" t="str" cm="1">
        <f t="array" ref="D180">Common_SourceData.Common_SourceData_EFN2O_Unit()</f>
        <v>(kg N2O-N / kg N</v>
      </c>
    </row>
    <row r="181" spans="4:68" ht="20" customHeight="1" x14ac:dyDescent="0.25">
      <c r="D181" s="26" t="str" cm="1">
        <f t="array" ref="D181:D185">Common_SourceData.Common_SourceData_EFN2O_Variation()</f>
        <v>VARIATION OF SOURCE DATA:</v>
      </c>
    </row>
    <row r="182" spans="4:68" ht="20" customHeight="1" x14ac:dyDescent="0.25">
      <c r="D182" s="26" t="str">
        <v>Removed duplicate 'Aquaculture' row.</v>
      </c>
    </row>
    <row r="183" spans="4:68" ht="20" customHeight="1" x14ac:dyDescent="0.25">
      <c r="D183" s="26" t="str">
        <v>Removed asterisks to aid lookup.</v>
      </c>
    </row>
    <row r="184" spans="4:68" ht="20" customHeight="1" x14ac:dyDescent="0.25">
      <c r="D184" s="26" t="str">
        <v>Added 'production system only', 'rainfall zone' and 'irrigation method' columns to aid lookup.</v>
      </c>
    </row>
    <row r="185" spans="4:68" ht="20" customHeight="1" x14ac:dyDescent="0.25">
      <c r="D185" s="26" t="str">
        <v>Duplicated 'non-irrigated pasture' row with same EF for low and high rainfall zones to aid lookup.</v>
      </c>
    </row>
    <row r="186" spans="4:68" ht="20" customHeight="1" x14ac:dyDescent="0.25">
      <c r="D186" s="20" t="s">
        <v>69</v>
      </c>
      <c r="E186" s="20" t="s">
        <v>70</v>
      </c>
      <c r="F186" s="20" t="s">
        <v>71</v>
      </c>
      <c r="G186" s="20" t="s">
        <v>72</v>
      </c>
      <c r="H186" s="20" t="s">
        <v>73</v>
      </c>
    </row>
    <row r="187" spans="4:68" ht="20" customHeight="1" x14ac:dyDescent="0.25">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4:68" ht="20" customHeight="1" x14ac:dyDescent="0.25">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4:68" ht="20" customHeight="1" x14ac:dyDescent="0.25">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4:68" ht="20" customHeight="1" x14ac:dyDescent="0.25">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4:68" ht="20" customHeight="1" x14ac:dyDescent="0.25">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4:68" ht="20" customHeight="1" x14ac:dyDescent="0.25">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4:8" ht="20" customHeight="1" x14ac:dyDescent="0.25">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4:8" ht="20" customHeight="1" x14ac:dyDescent="0.25">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4:8" ht="20" customHeight="1" x14ac:dyDescent="0.2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4:8" ht="20" customHeight="1" x14ac:dyDescent="0.25">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4:8" x14ac:dyDescent="0.25" ht="20" customHeight="1">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4:8" x14ac:dyDescent="0.25" ht="20" customHeight="1">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4:8" x14ac:dyDescent="0.25" ht="20" customHeight="1">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2" spans="4:8" ht="20" x14ac:dyDescent="0.25" customHeight="1">
      <c r="D202" s="2" t="str" cm="1">
        <f t="array" ref="D202">Common_SourceData.Common_SourceData_EFPastureRangeAndPaddock_Title()</f>
        <v>Emission factor for urine and dung deposited on pasture, range or paddock</v>
      </c>
    </row>
    <row r="203" spans="4:8" x14ac:dyDescent="0.25" ht="20" customHeight="1">
      <c r="D203" s="17" t="str" cm="1">
        <f t="array" ref="D203">Common_SourceData.Common_SourceData_EFPastureRangeAndPaddock_Source()</f>
        <v>VEERG 2026: Table A.2.2.2</v>
      </c>
    </row>
    <row r="204" spans="4:8" x14ac:dyDescent="0.25" ht="20" customHeight="1">
      <c r="D204" s="26" t="str" cm="1">
        <f t="array" ref="D204">Common_SourceData.Common_SourceData_EFPastureRangeAndPaddock_Variation()</f>
        <v>VARIATION FROM SOURCE DATA: Changed 'Dry climate zones' to singular 'Dry climate zone' to aid lookup.</v>
      </c>
    </row>
    <row r="205" spans="4:8" x14ac:dyDescent="0.25" ht="20" customHeight="1">
      <c r="D205" s="9" t="str" cm="1">
        <f t="array" ref="D205">Common_SourceData.Common_SourceData_EFPastureRangeAndPaddock_Unit()</f>
        <v>kg N2O - N / kg N</v>
      </c>
    </row>
    <row r="206" spans="4:8" x14ac:dyDescent="0.25" ht="20" customHeight="1">
      <c r="D206" s="20" t="s">
        <v>40</v>
      </c>
      <c r="E206" s="20" t="s">
        <v>74</v>
      </c>
    </row>
    <row r="207" spans="4:8" x14ac:dyDescent="0.25" ht="20" customHeight="1">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20" t="s">
        <v>75</v>
      </c>
      <c r="E212" s="20" t="s">
        <v>76</v>
      </c>
    </row>
    <row r="213" spans="4:5" x14ac:dyDescent="0.25" ht="20" customHeight="1">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7" spans="4:19" ht="20" x14ac:dyDescent="0.25" customHeight="1">
      <c r="D227" s="2" t="str" cm="1">
        <f t="array" ref="D227">Common_SourceData.Common_SourceData_MCFTemperatureZone_Title()</f>
        <v>Manure Management – Methane conversion factor per temperature zone (fraction) (MCFim)</v>
      </c>
    </row>
    <row r="228" spans="4:19" x14ac:dyDescent="0.25" ht="20" customHeight="1">
      <c r="D228" s="17" t="str" cm="1">
        <f t="array" ref="D228">Common_SourceData.Common_SourceData_MCFTemperatureZone_Source()</f>
        <v>VEERG 2026: Table A.1.8.1</v>
      </c>
    </row>
    <row r="229" spans="4:19" x14ac:dyDescent="0.25" ht="20" customHeight="1">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20" t="s">
        <v>77</v>
      </c>
      <c r="E231" s="20" t="s">
        <v>78</v>
      </c>
      <c r="F231" s="27" t="s">
        <v>79</v>
      </c>
      <c r="G231" s="20" t="s">
        <v>80</v>
      </c>
      <c r="H231" s="20" t="s">
        <v>81</v>
      </c>
      <c r="I231" s="20" t="s">
        <v>82</v>
      </c>
      <c r="J231" s="20" t="s">
        <v>83</v>
      </c>
      <c r="K231" s="20" t="s">
        <v>84</v>
      </c>
      <c r="L231" s="20" t="s">
        <v>85</v>
      </c>
      <c r="M231" s="20" t="s">
        <v>86</v>
      </c>
      <c r="N231" s="20" t="s">
        <v>87</v>
      </c>
      <c r="O231" s="20" t="s">
        <v>88</v>
      </c>
      <c r="P231" s="20" t="s">
        <v>89</v>
      </c>
      <c r="Q231" s="20" t="s">
        <v>90</v>
      </c>
      <c r="R231" s="20" t="s">
        <v>91</v>
      </c>
      <c r="S231" s="20" t="s">
        <v>92</v>
      </c>
    </row>
    <row r="232" spans="4:19" x14ac:dyDescent="0.25" ht="20" customHeight="1">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3" spans="4:19" ht="20" x14ac:dyDescent="0.25" customHeight="1">
      <c r="D253" s="2" t="str" cm="1">
        <f t="array" ref="D253">Common_SourceData.Common_SourceData_EFOrganicFertiliserAndCropResidues_Title()</f>
        <v>Emission factor for organic fertiliser and crop residues returned to the soil</v>
      </c>
    </row>
    <row r="254" spans="4:19" x14ac:dyDescent="0.25" ht="20" customHeight="1">
      <c r="D254" s="17"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9" t="str" cm="1">
        <f t="array" ref="D256">Common_SourceData.Common_SourceData_EFOrganicFertiliserAndCropResidues_Unit()</f>
        <v>kg N2O - N / kg N</v>
      </c>
    </row>
    <row r="257" spans="4:66" x14ac:dyDescent="0.25" ht="20" customHeight="1">
      <c r="D257" s="20" t="s">
        <v>93</v>
      </c>
      <c r="E257" s="20" t="s">
        <v>94</v>
      </c>
    </row>
    <row r="258" spans="4:66" x14ac:dyDescent="0.25" ht="20" customHeight="1">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3" spans="4:66" ht="20" x14ac:dyDescent="0.25" customHeight="1">
      <c r="D263" s="2" t="s">
        <v>192</v>
      </c>
    </row>
    <row r="264" spans="4:66" x14ac:dyDescent="0.25" ht="20" customHeight="1">
      <c r="D264" s="1" t="s">
        <v>193</v>
      </c>
    </row>
    <row r="265" spans="4:66" x14ac:dyDescent="0.25" ht="20" customHeight="1">
      <c r="D265" s="20" t="s">
        <v>269</v>
      </c>
      <c r="E265" s="20" t="s">
        <v>194</v>
      </c>
      <c r="F265" s="20" t="s">
        <v>195</v>
      </c>
      <c r="G265" s="20" t="s">
        <v>188</v>
      </c>
      <c r="V265" s="1"/>
      <c r="BN265" s="22"/>
    </row>
    <row r="266" spans="4:66" x14ac:dyDescent="0.25" ht="20" customHeight="1">
      <c r="D266" s="20" t="s">
        <v>240</v>
      </c>
      <c r="E266" s="20" t="s">
        <v>196</v>
      </c>
      <c r="F266" s="20" t="s">
        <v>197</v>
      </c>
      <c r="G266" s="20">
        <v>5</v>
      </c>
      <c r="V266" s="1"/>
      <c r="BN266" s="22"/>
    </row>
    <row r="267" spans="4:66" x14ac:dyDescent="0.25" ht="20" customHeight="1">
      <c r="D267" s="20" t="s">
        <v>247</v>
      </c>
      <c r="E267" s="20" t="s">
        <v>198</v>
      </c>
      <c r="F267" s="20" t="s">
        <v>189</v>
      </c>
      <c r="G267" s="20">
        <v>4</v>
      </c>
      <c r="V267" s="1"/>
      <c r="BN267" s="22"/>
    </row>
    <row r="268" spans="4:66" x14ac:dyDescent="0.25" ht="20" customHeight="1">
      <c r="D268" s="20" t="s">
        <v>248</v>
      </c>
      <c r="E268" s="20" t="s">
        <v>199</v>
      </c>
      <c r="F268" s="20" t="s">
        <v>200</v>
      </c>
      <c r="G268" s="20">
        <v>3</v>
      </c>
      <c r="V268" s="1"/>
      <c r="BN268" s="22"/>
    </row>
    <row r="269" spans="4:66" x14ac:dyDescent="0.25" ht="20" customHeight="1">
      <c r="D269" s="20" t="s">
        <v>267</v>
      </c>
      <c r="E269" s="20" t="s">
        <v>201</v>
      </c>
      <c r="F269" s="20" t="s">
        <v>202</v>
      </c>
      <c r="G269" s="20">
        <v>2</v>
      </c>
      <c r="V269" s="1"/>
      <c r="BN269" s="22"/>
    </row>
    <row r="270" spans="4:66" x14ac:dyDescent="0.25" ht="20" customHeight="1">
      <c r="D270" s="20" t="s">
        <v>268</v>
      </c>
      <c r="E270" s="20" t="s">
        <v>203</v>
      </c>
      <c r="F270" s="20" t="s">
        <v>204</v>
      </c>
      <c r="G270" s="20">
        <v>1</v>
      </c>
      <c r="V270" s="1"/>
      <c r="BN270" s="22"/>
    </row>
    <row r="273" spans="4:66" x14ac:dyDescent="0.25" ht="20" customHeight="1">
      <c r="D273" s="1" t="s">
        <v>205</v>
      </c>
    </row>
    <row r="274" spans="4:66" x14ac:dyDescent="0.25" ht="20" customHeight="1">
      <c r="D274" s="20" t="s">
        <v>269</v>
      </c>
      <c r="E274" s="20" t="s">
        <v>194</v>
      </c>
      <c r="F274" s="20" t="s">
        <v>195</v>
      </c>
      <c r="G274" s="20" t="s">
        <v>188</v>
      </c>
      <c r="V274" s="1"/>
      <c r="BN274" s="22"/>
    </row>
    <row r="275" spans="4:66" x14ac:dyDescent="0.25" ht="20" customHeight="1">
      <c r="D275" s="20" t="s">
        <v>265</v>
      </c>
      <c r="E275" s="20" t="s">
        <v>206</v>
      </c>
      <c r="F275" s="20" t="s">
        <v>190</v>
      </c>
      <c r="G275" s="20">
        <v>5</v>
      </c>
      <c r="V275" s="1"/>
      <c r="BN275" s="22"/>
    </row>
    <row r="276" spans="4:66" x14ac:dyDescent="0.25" ht="20" customHeight="1">
      <c r="D276" s="20" t="s">
        <v>241</v>
      </c>
      <c r="E276" s="20" t="s">
        <v>207</v>
      </c>
      <c r="F276" s="20" t="s">
        <v>208</v>
      </c>
      <c r="G276" s="20">
        <v>4</v>
      </c>
      <c r="V276" s="1"/>
      <c r="BN276" s="22"/>
    </row>
    <row r="277" spans="4:66" x14ac:dyDescent="0.25" ht="20" customHeight="1">
      <c r="D277" s="20" t="s">
        <v>244</v>
      </c>
      <c r="E277" s="20" t="s">
        <v>209</v>
      </c>
      <c r="F277" s="20" t="s">
        <v>210</v>
      </c>
      <c r="G277" s="20">
        <v>3</v>
      </c>
      <c r="V277" s="1"/>
      <c r="BN277" s="22"/>
    </row>
    <row r="278" spans="4:66" x14ac:dyDescent="0.25" ht="20" customHeight="1">
      <c r="D278" s="20" t="s">
        <v>260</v>
      </c>
      <c r="E278" s="20" t="s">
        <v>211</v>
      </c>
      <c r="F278" s="20" t="s">
        <v>212</v>
      </c>
      <c r="G278" s="20">
        <v>2</v>
      </c>
      <c r="V278" s="1"/>
      <c r="BN278" s="22"/>
    </row>
    <row r="279" spans="4:66" x14ac:dyDescent="0.25" ht="20" customHeight="1">
      <c r="D279" s="20" t="s">
        <v>266</v>
      </c>
      <c r="E279" s="20" t="s">
        <v>213</v>
      </c>
      <c r="F279" s="20" t="s">
        <v>214</v>
      </c>
      <c r="G279" s="20">
        <v>1</v>
      </c>
      <c r="V279" s="1"/>
      <c r="BN279" s="22"/>
    </row>
    <row r="282" spans="4:66" x14ac:dyDescent="0.25" ht="20" customHeight="1">
      <c r="D282" s="1" t="s">
        <v>215</v>
      </c>
    </row>
    <row r="283" spans="4:66" x14ac:dyDescent="0.25" ht="20" customHeight="1">
      <c r="D283" s="20" t="s">
        <v>269</v>
      </c>
      <c r="E283" s="20" t="s">
        <v>194</v>
      </c>
      <c r="F283" s="20" t="s">
        <v>195</v>
      </c>
      <c r="G283" s="20" t="s">
        <v>188</v>
      </c>
      <c r="V283" s="1"/>
      <c r="BN283" s="22"/>
    </row>
    <row r="284" spans="4:66" x14ac:dyDescent="0.25" ht="20" customHeight="1">
      <c r="D284" s="20" t="s">
        <v>242</v>
      </c>
      <c r="E284" s="20" t="s">
        <v>216</v>
      </c>
      <c r="F284" s="20" t="s">
        <v>217</v>
      </c>
      <c r="G284" s="20">
        <v>5</v>
      </c>
      <c r="V284" s="1"/>
      <c r="BN284" s="22"/>
    </row>
    <row r="285" spans="4:66" x14ac:dyDescent="0.25" ht="20" customHeight="1">
      <c r="D285" s="20" t="s">
        <v>245</v>
      </c>
      <c r="E285" s="20" t="s">
        <v>218</v>
      </c>
      <c r="F285" s="20" t="s">
        <v>219</v>
      </c>
      <c r="G285" s="20">
        <v>4</v>
      </c>
      <c r="V285" s="1"/>
      <c r="BN285" s="22"/>
    </row>
    <row r="286" spans="4:66" x14ac:dyDescent="0.25" ht="20" customHeight="1">
      <c r="D286" s="20" t="s">
        <v>243</v>
      </c>
      <c r="E286" s="20" t="s">
        <v>220</v>
      </c>
      <c r="F286" s="20" t="s">
        <v>191</v>
      </c>
      <c r="G286" s="20">
        <v>3</v>
      </c>
      <c r="V286" s="1"/>
      <c r="BN286" s="22"/>
    </row>
    <row r="287" spans="4:66" x14ac:dyDescent="0.25" ht="20" customHeight="1">
      <c r="D287" s="20" t="s">
        <v>254</v>
      </c>
      <c r="E287" s="20" t="s">
        <v>221</v>
      </c>
      <c r="F287" s="20" t="s">
        <v>222</v>
      </c>
      <c r="G287" s="20">
        <v>2</v>
      </c>
      <c r="V287" s="1"/>
      <c r="BN287" s="22"/>
    </row>
    <row r="288" spans="4:66" x14ac:dyDescent="0.25" ht="20" customHeight="1">
      <c r="D288" s="20" t="s">
        <v>255</v>
      </c>
      <c r="E288" s="20" t="s">
        <v>223</v>
      </c>
      <c r="F288" s="20" t="s">
        <v>224</v>
      </c>
      <c r="G288" s="20">
        <v>1</v>
      </c>
      <c r="V288" s="1"/>
      <c r="BN288" s="22"/>
    </row>
    <row r="291" spans="4:66" x14ac:dyDescent="0.25" ht="20" customHeight="1">
      <c r="D291" s="1" t="s">
        <v>225</v>
      </c>
    </row>
    <row r="292" spans="4:66" x14ac:dyDescent="0.25" ht="20" customHeight="1">
      <c r="D292" s="20" t="s">
        <v>269</v>
      </c>
      <c r="E292" s="20" t="s">
        <v>194</v>
      </c>
      <c r="F292" s="20" t="s">
        <v>195</v>
      </c>
      <c r="G292" s="20" t="s">
        <v>188</v>
      </c>
      <c r="V292" s="1"/>
      <c r="BN292" s="22"/>
    </row>
    <row r="293" spans="4:66" x14ac:dyDescent="0.25" ht="20" customHeight="1">
      <c r="D293" s="20" t="s">
        <v>270</v>
      </c>
      <c r="E293" s="20" t="s">
        <v>226</v>
      </c>
      <c r="F293" s="20" t="s">
        <v>227</v>
      </c>
      <c r="G293" s="20">
        <v>5</v>
      </c>
      <c r="V293" s="1"/>
      <c r="BN293" s="22"/>
    </row>
    <row r="294" spans="4:66" x14ac:dyDescent="0.25" ht="20" customHeight="1">
      <c r="D294" s="20" t="s">
        <v>271</v>
      </c>
      <c r="E294" s="20" t="s">
        <v>228</v>
      </c>
      <c r="F294" s="20" t="s">
        <v>229</v>
      </c>
      <c r="G294" s="20">
        <v>4</v>
      </c>
      <c r="V294" s="1"/>
      <c r="BN294" s="22"/>
    </row>
    <row r="295" spans="4:66" x14ac:dyDescent="0.25" ht="20" customHeight="1">
      <c r="D295" s="20" t="s">
        <v>272</v>
      </c>
      <c r="E295" s="20" t="s">
        <v>230</v>
      </c>
      <c r="F295" s="20" t="s">
        <v>231</v>
      </c>
      <c r="G295" s="20">
        <v>3</v>
      </c>
      <c r="V295" s="1"/>
      <c r="BN295" s="22"/>
    </row>
    <row r="296" spans="4:66" x14ac:dyDescent="0.25" ht="20" customHeight="1">
      <c r="D296" s="20" t="s">
        <v>273</v>
      </c>
      <c r="E296" s="20" t="s">
        <v>232</v>
      </c>
      <c r="F296" s="20" t="s">
        <v>233</v>
      </c>
      <c r="G296" s="20">
        <v>2</v>
      </c>
      <c r="V296" s="1"/>
      <c r="BN296" s="22"/>
    </row>
    <row r="297" spans="4:66" x14ac:dyDescent="0.25" ht="20" customHeight="1">
      <c r="D297" s="20" t="s">
        <v>274</v>
      </c>
      <c r="E297" s="20" t="s">
        <v>234</v>
      </c>
      <c r="F297" s="20" t="s">
        <v>235</v>
      </c>
      <c r="G297" s="20">
        <v>1</v>
      </c>
      <c r="V297" s="1"/>
      <c r="BN297" s="2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17A14-4503-48D8-A485-FCC399BFEAAD}">
  <sheetPr>
    <tabColor theme="2" tint="-0.499984740745262"/>
  </sheetPr>
  <dimension ref="A1:A60"/>
  <sheetViews>
    <sheetView zoomScaleNormal="100" workbookViewId="0">
      <pane xSplit="1" topLeftCell="B1" activePane="topRight" state="frozen"/>
      <selection pane="topRight" activeCell="A11" sqref="A11"/>
    </sheetView>
  </sheetViews>
  <sheetFormatPr defaultRowHeight="20" x14ac:dyDescent="0.25" customHeight="1"/>
  <cols>
    <col min="1" max="1" width="36.7109375" customWidth="1"/>
  </cols>
  <sheetData>
    <row r="1" spans="1:1" ht="30" x14ac:dyDescent="0.35" customHeight="1">
      <c r="A1" s="10" t="e" vm="1">
        <v>#VALUE!</v>
      </c>
    </row>
    <row r="3" spans="1:1" ht="20" x14ac:dyDescent="0.25" customHeight="1">
      <c r="A3" s="5" t="str">
        <f>HYPERLINK("#'Home'!A1", "Home")</f>
        <v>Home</v>
      </c>
    </row>
    <row r="4" spans="1:1" ht="20" x14ac:dyDescent="0.25" customHeight="1">
      <c r="A4" s="5" t="str">
        <f>HYPERLINK("#'Results - Activity period'!A1", "Results - Activity period")</f>
        <v>Results - Activity period</v>
      </c>
    </row>
    <row r="5" spans="1:1" ht="20" x14ac:dyDescent="0.25" customHeight="1">
      <c r="A5" s="5" t="str">
        <f>HYPERLINK("#'Results - Product EI'!A1", "Results - Product Emissions Intensity")</f>
        <v>Results - Product Emissions Intensity</v>
      </c>
    </row>
    <row r="8" spans="1:1" x14ac:dyDescent="0.25" ht="20" customHeight="1">
      <c r="A8" s="7" t="s">
        <v>0</v>
      </c>
    </row>
    <row r="9" spans="1:1" ht="20" x14ac:dyDescent="0.25" customHeight="1">
      <c r="A9" s="5" t="str">
        <f>HYPERLINK("#'Input - Enterprise'!A1", "Enterprise")</f>
        <v>Enterprise</v>
      </c>
    </row>
    <row r="10" spans="1:1" ht="20" x14ac:dyDescent="0.25" customHeight="1">
      <c r="A10" s="5" t="str">
        <f>HYPERLINK("#'Input - Site'!A1", "Site")</f>
        <v>Site</v>
      </c>
    </row>
    <row r="11" spans="1:1" ht="20" x14ac:dyDescent="0.25" customHeight="1">
      <c r="A11" s="5" t="str">
        <f>HYPERLINK("#'Input - Pasture Beef'!A1", "Pasture Beef")</f>
        <v>Pasture Beef</v>
      </c>
    </row>
    <row r="12" spans="1:1" ht="20" x14ac:dyDescent="0.25" customHeight="1">
      <c r="A12" s="5" t="str">
        <f>HYPERLINK("#'Input - Livestock sales'!A1", "Livestock sales")</f>
        <v>Livestock sales</v>
      </c>
    </row>
    <row r="13" spans="1:1" ht="20" x14ac:dyDescent="0.25" customHeight="1">
      <c r="A13" s="5" t="str">
        <f>HYPERLINK("#'Input - Beef cattle purchases'!A1", "Beef cattle purchases")</f>
        <v>Beef cattle purchases</v>
      </c>
    </row>
    <row r="14" spans="1:1" ht="20" x14ac:dyDescent="0.25" customHeight="1">
      <c r="A14" s="5" t="str">
        <f>HYPERLINK("#'Input - Pasture'!A1", "Pasture")</f>
        <v>Pasture</v>
      </c>
    </row>
    <row r="15" spans="1:1" ht="20" x14ac:dyDescent="0.25" customHeight="1">
      <c r="A15" s="5" t="str">
        <f>HYPERLINK("#'Input - Fert Prod System'!A1", "Fert Prod System")</f>
        <v>Fert Prod System</v>
      </c>
    </row>
    <row r="16" spans="1:1" ht="20" x14ac:dyDescent="0.25" customHeight="1">
      <c r="A16" s="5" t="str">
        <f>HYPERLINK("#'Input - Fertiliser'!A1", "Fertiliser")</f>
        <v>Fertiliser</v>
      </c>
    </row>
    <row r="17" spans="1:1" ht="20" x14ac:dyDescent="0.25" customHeight="1">
      <c r="A17" s="5" t="str">
        <f>HYPERLINK("#'Input - Fuel'!A1", "Fuel")</f>
        <v>Fuel</v>
      </c>
    </row>
    <row r="18" spans="1:1" ht="20" x14ac:dyDescent="0.25" customHeight="1">
      <c r="A18" s="5" t="str">
        <f>HYPERLINK("#'Input - Electricity'!A1", "Electricity")</f>
        <v>Electricity</v>
      </c>
    </row>
    <row r="19" spans="1:1" ht="20" x14ac:dyDescent="0.25" customHeight="1">
      <c r="A19" s="5" t="str">
        <f>HYPERLINK("#'Input - Common farm inputs'!A1", "Common farm inputs")</f>
        <v>Common farm inputs</v>
      </c>
    </row>
    <row r="20" spans="1:1" ht="20" x14ac:dyDescent="0.25" customHeight="1">
      <c r="A20" s="5" t="str">
        <f>HYPERLINK("#'Input - Crop pasture farm input'!A1", "Crop pasture farm input")</f>
        <v>Crop pasture farm input</v>
      </c>
    </row>
    <row r="21" spans="1:1" ht="20" x14ac:dyDescent="0.25" customHeight="1">
      <c r="A21" s="5" t="str">
        <f>HYPERLINK("#'Input - Livestock farm Inputs'!A1", "Livestock farm Inputs")</f>
        <v>Livestock farm Inputs</v>
      </c>
    </row>
    <row r="22" spans="1:1" ht="20" x14ac:dyDescent="0.25" customHeight="1">
      <c r="A22" s="5" t="str">
        <f>HYPERLINK("#'Input - Freight'!A1", "Freight")</f>
        <v>Freight</v>
      </c>
    </row>
    <row r="23" spans="1:1" ht="20" x14ac:dyDescent="0.25" customHeight="1">
      <c r="A23" s="5" t="str">
        <f>HYPERLINK("#'Input - Solid waste'!A1", "Solid waste")</f>
        <v>Solid waste</v>
      </c>
    </row>
    <row r="24" spans="1:1" ht="20" x14ac:dyDescent="0.25" customHeight="1">
      <c r="A24" s="5" t="str">
        <f>HYPERLINK("#'Input - Manure sent off-site'!A1", "Manure sent off-site")</f>
        <v>Manure sent off-site</v>
      </c>
    </row>
    <row r="25" spans="1:1" ht="20" x14ac:dyDescent="0.25" customHeight="1">
      <c r="A25" s="5" t="str">
        <f>HYPERLINK("#'Input - Data quality'!A1", "Data quality")</f>
        <v>Data quality</v>
      </c>
    </row>
    <row r="28" spans="1:1" x14ac:dyDescent="0.25" ht="20" customHeight="1">
      <c r="A28" s="6" t="s">
        <v>2</v>
      </c>
    </row>
    <row r="29" spans="1:1" ht="20" x14ac:dyDescent="0.25" customHeight="1">
      <c r="A29" s="5" t="str">
        <f>HYPERLINK("#'3.2.1.1-2 Enteric Methane'!A1", "3.2.1.1-2 Enteric Methane")</f>
        <v>3.2.1.1-2 Enteric Methane</v>
      </c>
    </row>
    <row r="30" spans="1:1" ht="20" x14ac:dyDescent="0.25" customHeight="1">
      <c r="A30" s="5" t="str">
        <f>HYPERLINK("#'4.2.1.1-2 Methane'!A1", "4.2.1.1-2 Manure methane")</f>
        <v>4.2.1.1-2 Manure methane</v>
      </c>
    </row>
    <row r="31" spans="1:1" ht="20" x14ac:dyDescent="0.25" customHeight="1">
      <c r="A31" s="5" t="str">
        <f>HYPERLINK("#'4.2.1.3-4 Soil direct N20'!A1", "4.2.1.3-4 Soil direct N2O")</f>
        <v>4.2.1.3-4 Soil direct N2O</v>
      </c>
    </row>
    <row r="32" spans="1:1" ht="20" x14ac:dyDescent="0.25" customHeight="1">
      <c r="A32" s="5" t="str">
        <f>HYPERLINK("#'4.2.1.5-6 Soil Atmos Dep'!A1", "4.2.1.5-6 Soil atm. deposition")</f>
        <v>4.2.1.5-6 Soil atm. deposition</v>
      </c>
    </row>
    <row r="33" spans="1:1" ht="20" x14ac:dyDescent="0.25" customHeight="1">
      <c r="A33" s="5" t="str">
        <f>HYPERLINK("#'4.2.1.7-8 Soil leach runoff'!A1", "4.2.1.7-8 Soil leach &amp; runoff")</f>
        <v>4.2.1.7-8 Soil leach &amp; runoff</v>
      </c>
    </row>
    <row r="34" spans="1:1" ht="20" x14ac:dyDescent="0.25" customHeight="1">
      <c r="A34" s="5" t="str">
        <f>HYPERLINK("#'5.1.1.1-2 Inorganic fert N2O'!A1", "5.1.1.1-2 Inorganic fert N2O")</f>
        <v>5.1.1.1-2 Inorganic fert N2O</v>
      </c>
    </row>
    <row r="35" spans="1:1" ht="20" x14ac:dyDescent="0.25" customHeight="1">
      <c r="A35" s="5" t="str">
        <f>HYPERLINK("#'5.1.1.3-4 Inorganic fert CO2'!A1", "5.1.1.3-4 Inorganic fert CO2")</f>
        <v>5.1.1.3-4 Inorganic fert CO2</v>
      </c>
    </row>
    <row r="36" spans="1:1" ht="20" x14ac:dyDescent="0.25" customHeight="1">
      <c r="A36" s="5" t="str">
        <f>HYPERLINK("#'5.2.1.1-2 Organic Fert N2O'!A1", "5.2.1.1-2 Organic fert N2O")</f>
        <v>5.2.1.1-2 Organic fert N2O</v>
      </c>
    </row>
    <row r="37" spans="1:1" ht="20" x14ac:dyDescent="0.25" customHeight="1">
      <c r="A37" s="5" t="str">
        <f>HYPERLINK("#'5.3.1.1-2 Lime CO2'!A1", "5.3.1.1-2 Lime CO2")</f>
        <v>5.3.1.1-2 Lime CO2</v>
      </c>
    </row>
    <row r="38" spans="1:1" ht="20" x14ac:dyDescent="0.25" customHeight="1">
      <c r="A38" s="5" t="str">
        <f>HYPERLINK("#'5.4.1.1-4 Atmos deposition'!A1", "5.4.1.1-4 Atmos. deposition")</f>
        <v>5.4.1.1-4 Atmos. deposition</v>
      </c>
    </row>
    <row r="39" spans="1:1" ht="20" x14ac:dyDescent="0.25" customHeight="1">
      <c r="A39" s="5" t="str">
        <f>HYPERLINK("#'5.5.1.1-2 Leaching and runoff'!A1", "5.5.1.1-2 Leaching &amp; runoff")</f>
        <v>5.5.1.1-2 Leaching &amp; runoff</v>
      </c>
    </row>
    <row r="40" spans="1:1" ht="20" x14ac:dyDescent="0.25" customHeight="1">
      <c r="A40" s="5" t="str">
        <f>HYPERLINK("#'6.2.1.1-2 Pasture residue N2O'!A1", "6.2.1.1-2 Pasture residue N2O")</f>
        <v>6.2.1.1-2 Pasture residue N2O</v>
      </c>
    </row>
    <row r="41" spans="1:1" ht="20" x14ac:dyDescent="0.25" customHeight="1">
      <c r="A41" s="5" t="str">
        <f>HYPERLINK("#'6.3.1.1-2 Leach runoff pasture'!A1", "6.3.1.1-2 Leach &amp; runoff (pasture)")</f>
        <v>6.3.1.1-2 Leach &amp; runoff (pasture)</v>
      </c>
    </row>
    <row r="42" spans="1:1" ht="20" x14ac:dyDescent="0.25" customHeight="1">
      <c r="A42" s="5" t="str">
        <f>HYPERLINK("#'8.1.1.1-2 Transport fuel'!A1", "8.1.1.1-2 Transport fuel")</f>
        <v>8.1.1.1-2 Transport fuel</v>
      </c>
    </row>
    <row r="43" spans="1:1" ht="20" x14ac:dyDescent="0.25" customHeight="1">
      <c r="A43" s="5" t="str">
        <f>HYPERLINK("#'8.2.1.1-2 Stationary fuel'!A1", "8.2.1.1-2 Stationary fuel")</f>
        <v>8.2.1.1-2 Stationary fuel</v>
      </c>
    </row>
    <row r="44" spans="1:1" ht="20" x14ac:dyDescent="0.25" customHeight="1">
      <c r="A44" s="5" t="str">
        <f>HYPERLINK("#'10.1.1-2 Solid waste treatment'!A1", "10.1.1.1-2 Solid waste")</f>
        <v>10.1.1.1-2 Solid waste</v>
      </c>
    </row>
    <row r="45" spans="1:1" ht="20" x14ac:dyDescent="0.25" customHeight="1">
      <c r="A45" s="5" t="str">
        <f>HYPERLINK("#'14.1.1-2 Purchased electricity'!A1", "14.1.1-2 Purchased electricity")</f>
        <v>14.1.1-2 Purchased electricity</v>
      </c>
    </row>
    <row r="46" spans="1:1" ht="20" x14ac:dyDescent="0.25" customHeight="1">
      <c r="A46" s="5" t="str">
        <f>HYPERLINK("#'15 Scope 3'!A1", "15 Scope 3")</f>
        <v>15 Scope 3</v>
      </c>
    </row>
    <row r="47" spans="1:1" ht="20" x14ac:dyDescent="0.25" customHeight="1">
      <c r="A47" s="5" t="str">
        <f>HYPERLINK("#'Calcs - Manure sent off-site'!A1", "Calcs - Manure sent off-site")</f>
        <v>Calcs - Manure sent off-site</v>
      </c>
    </row>
    <row r="50" spans="1:1" x14ac:dyDescent="0.25" ht="20" customHeight="1">
      <c r="A50" s="85" t="s">
        <v>1</v>
      </c>
    </row>
    <row r="51" spans="1:1" ht="20" x14ac:dyDescent="0.25" customHeight="1">
      <c r="A51" s="5" t="str">
        <f>HYPERLINK("#'Constants - Pasture Beef'!A1", "Constants - Pasture Beef")</f>
        <v>Constants - Pasture Beef</v>
      </c>
    </row>
    <row r="52" spans="1:1" ht="20" x14ac:dyDescent="0.25" customHeight="1">
      <c r="A52" s="5" t="str">
        <f>HYPERLINK("#'Constants - Ag Residue'!A1", "Constants - Ag residue")</f>
        <v>Constants - Ag residue</v>
      </c>
    </row>
    <row r="53" spans="1:1" ht="20" x14ac:dyDescent="0.25" customHeight="1">
      <c r="A53" s="5" t="str">
        <f>HYPERLINK("#'Constants - Common Livestock'!A1", "Constants - Common Livestock")</f>
        <v>Constants - Common Livestock</v>
      </c>
    </row>
    <row r="54" spans="1:1" ht="20" x14ac:dyDescent="0.25" customHeight="1">
      <c r="A54" s="5" t="str">
        <f>HYPERLINK("#'Constants - Electricity'!A1", "Constants - Electricity")</f>
        <v>Constants - Electricity</v>
      </c>
    </row>
    <row r="55" spans="1:1" ht="20" x14ac:dyDescent="0.25" customHeight="1">
      <c r="A55" s="5" t="str">
        <f>HYPERLINK("#'Constants - Fertiliser'!A1", "Constants - Fertiliser")</f>
        <v>Constants - Fertiliser</v>
      </c>
    </row>
    <row r="56" spans="1:1" ht="20" x14ac:dyDescent="0.25" customHeight="1">
      <c r="A56" s="5" t="str">
        <f>HYPERLINK("#'Constants - Fuel'!A1", "Constants - Fuel")</f>
        <v>Constants - Fuel</v>
      </c>
    </row>
    <row r="57" spans="1:1" ht="20" x14ac:dyDescent="0.25" customHeight="1">
      <c r="A57" s="5" t="str">
        <f>HYPERLINK("#'Constants - Scope 3'!A1", "Constants - Scope 3")</f>
        <v>Constants - Scope 3</v>
      </c>
    </row>
    <row r="58" spans="1:1" ht="20" x14ac:dyDescent="0.25" customHeight="1">
      <c r="A58" s="5" t="str">
        <f>HYPERLINK("#'Constants - Solid Waste'!A1", "Constants - Solid Waste")</f>
        <v>Constants - Solid Waste</v>
      </c>
    </row>
    <row r="59" spans="1:1" ht="20" x14ac:dyDescent="0.25" customHeight="1">
      <c r="A59" s="5" t="str">
        <f>HYPERLINK("#'Constants - Common'!A1", "Constants - Common")</f>
        <v>Constants - Common</v>
      </c>
    </row>
    <row r="60" spans="1:1" ht="20" x14ac:dyDescent="0.25" customHeight="1">
      <c r="A60" s="8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QBGAF8AUABSAFAAXAAiACwAIABcACIAZQBtAGkAcwBzAGkAbwBuACAAZgBhAGMAdABvAHIAIABmAG8AcgAgAG4AaQB0AHIAbwB1AHMAIABvAHgAaQBkAGUAIABmAHIAbwBtACAAdQByAGkAbgBlACAAYQBuAGQAIABkAHUAbgBnACAAZABlAHAAbwBzAGkAdABlAGQAIAB0AG8AIABzAG8AaQBs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egBcACIALAAgAFwAIgB3AGUAdAAgAG8AcgAgAGQAcgB5ACAAYwBsAGkAbQBhAHQAZQ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XAAiACwAIABcACIAaABlAGEAZABcACIALAAgAFwAIgBJAG4AcAB1AHQAXAAiADsAXABuACAAIAAgACAAIAAgACAAIAAgACAAXAAiAE4ARQBfAGoAawBsAFwAIgAsACAAXAAiAG4AaQB0AHIAbwBnAGUAbgAgAGUAeABjAHIAZQB0AGUAZAAgAGkAbgAgAGUAYQBjAGgAIAB0AGkAbQBlAC0AcABlAHIAaQBvAGQALAAgAGIAeQAgAGUAYQBjAGgAIABjAGwAYQBzAHMAIABhAG4AZAAgAHMAdQBiAGMAbABhAHMAcwBcACIALAAgAFwAIgBrAGcAIABOAC8AaABlAGEAZAAvAGQAYQB5AFwAIgAsACAAXAAiAEMAYQBsAGMAdQBsAGEAdABlAGQAIABmAHIAbwBtACAANAAuADIALgAxAC4AMwAgACgAMwApAFwAIgA7AFwAbgAgACAAIAAgACAAIAAgACAAIAAgAFwAIgBEAF8AagBcACIALAAgAFwAIgBuAHUAbQBiAGUAcgAgAG8AZgAgAGQAYQB5AHMAIABpAG4AIABlAGEAYwBoACAAdABpAG0AZQAtAHAAZQByAGkAbwBkACAAKABkAGEAeQBzACk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CwAIABcACIAawBnACAARABNAC8AaABlAGEAZAAvAGQAYQB5AFwAIgAsACAAXAAiAEMAYQBsAGMAdQBsAGEAdABlAGQAIABmAHIAbwBtACAAMwAuADIALgAxAC4AMQAgACgAMwApAFwAIgA7AFwAbgAgACAAIAAgACAAIAAgACAAIAAgAFwAIgBDAFAAXwBqAFwAIgAsACAAXAAiAGMAcgB1AGQAZQAgAHAAcgBvAHQAZQBpAG4AIABjAG8AbgB0AGUAbgB0ACAAbwBmACAAZAByAHkAIABtAGEAdAB0AGUAcgAgAGkAbgB0AGEAawBlAFwAIgAsACAAXAAiAGYAcgBhAGMAdABpAG8AbgBcACIALAAgAFwAIgBJAG4AcAB1AHQAXAAiADsAXABuACAAIAAgACAAIAAgACAAIAAgACAAXAAiAE0AQwBfAGoAawAxADMANgBcACIALAAgAFwAIgBtAGkAbABrACAAaQBuAHQAYQBrAGUAIAAoAGsAZwAvAGgAZQBhAGQALwBkAGEAeQApAFwAIgAsACAAXAAiAGsAZwAvAGgAZQBhAGQALwBkAGEAeQBcACIALAAgAFwAIgBDAG8AbgBzAHQAYQBuAHQAXAAiADsAXABuACAAIAAgACAAIAAgACAAIAAgACAAXAAiAE4AUgBfAGoAawBsAFwAIgAsACAAXAAiAHQAaABlACAAYQBtAG8AdQBuAHQAIABvAGYAIABuAGkAdAByAG8AZwBlAG4AIAByAGUAdABhAGkAbgBlAGQAIABiAHkAIAB0AGgAZQAgAGIAbwBkAHkAIAAoAGsAZwAgAE4ALwBoAGUAYQBkAC8AZABhAHkAKQBcACIALAAgAFwAIgBrAGcAIABOAC8AaABlAGEAZAAvAGQAYQB5AFwAIgAsACAAXAAiAEMAYQBsAGMAdQBsAGEAdABlAGQAIABmAHIAbwBtACAANAAuADIALgAxAC4AMwAgACgANAApAFwAIgA7AFwAbgAgACAAIAAgACAAIAAgACAAIAAgAFwAIgBXAF8AagBrAGwAXAAiACwAIABcACIAbABpAHYAZQB3AGUAaQBnAGgAdAAgACgAawBnAC8AaABlAGEAZAApAFwAIgAsACAAXAAiAGsAZwAvAGgAZQBhAGQAXAAiACwAIABcACIASQBuAHAAdQB0AFwAIgA7AFwAbgAgACAAIAAgACAAIAAgACAAIAAgAFwAIgBiAFwAIgAsACAAXAAiAGIAcgBlAGUAZAAgAG8AZgAgAGMAYQB0AHQAbABlAFwAIgAsACAAXAAiAFwAIgAsACAAXAAiAEkAbgBwAHUAdABcACIAOwBcAG4AIAAgACAAIAAgACAAIAAgACAAIABcACIAcwBcACIALAAgAFwAIgBDAGEAbAB2AGkAbgBnACAAcwBlAGEAcw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QALABcAG4AIAAgACAAIAAgACAATABBAE0AQgBEAEEAKAByACwAYwAsAFwAbgAgACAAIAAgACAAIAAgACAASQBOAEQARQBYACgAewBcAG4AIAAgACAAIAAgACAAIAAgACAAIABcACIATQBQAF8AagBrADUAXAAiACwAIABcACIAbQBpAGwAawAgAHAAcgBvAGQAdQBjAHQAaQBvAG4AIAAoAGsAZwAvAGgAZQBhAGQALwBkAGEAeQApAFwAIgAsACAAXAAiAGsAZwAvAGgAZQBhAGQALwBkAGEAeQBcACIALAAgAFwAIgBDAGEAbABjAHUAbABhAHQAZQBkACAAZgByAG8AbQAgADQALgAyAC4AMQAuADMAIAAoADUAKQBcACIAOwBcAG4AIAAgACAAIAAgACAAIAAgACAAIABcACIATABfAGoAawBsAFwAIgAsACAAXAAiAGkAbgB0AGEAawBlACAAcgBlAGwAYQB0AGkAdgBlACAAdABvACAAdABoAGEAdAAgAG4AZQBlAGQAZQBkACAAZgBvAHIAIABtAGEAaQBuAHQAZQBuAGEAbgBjAGUAXAAiACwAIABcACIAXAAiACwAIABcACIAQwBhAGwAYwB1AGwAYQB0AGUAZAAgAGYAcgBvAG0AIAA0AC4AMgAuADEALgAzACAAKAA2ACkAXAAiADsAXABuACAAIAAgACAAIAAgACAAIAAgACAAXAAiAFoAXwBqAGsAbABcACIALAAgAFwAIgByAGUAbABhAHQAaQB2AGUAIABzAGkAegBlAFwAIgAsACAAXAAiAFwAIgAsACAAXAAiAEMAYQBsAGMAdQBsAGEAdABlAGQAIABmAHIAbwBtACAANAAuADIALgAxAC4AMwAgACgANwApAFwAIgA7AFwAbgAgACAAIAAgACAAIAAgACAAIAAgAFwAIgBMAFcARwBfAGoAawBsAFwAIgAsACAAXAAiAGwAaQB2AGUAdwBlAGkAZwBoAHQAIABnAGEAaQBuACAAKABrAGcALwBoAGUAYQBkAC8AZABhAHkAKQBcACIALAAgAFwAIgBrAGcALwBoAGUAYQBkAC8AZABhAHk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Q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LAAgAFwAIgBmAHIAYQBjAHQAaQBvAG4AXAAiACwAIABcACIASQBuAHAAdQB0AFwAIgA7AFwAbgAgACAAIAAgACAAIAAgACAAIAAgAFwAIgBEAE0AUABfAGoAawA1AFwAIgAsACAAXAAiAGQAYQBpAGwAeQAgAG0AaQBsAGsAIABwAHIAbwBkAHUAYwB0AGkAbwBu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NA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sACAAXAAiAGYAcgBhAGMAdABpAG8AbgBcACIALAAgAFwAIgBJAG4AcAB1AHQAXAAiADsAXABuACAAIAAgACAAIAAgACAAIAAgACAAXAAiAEwAQwBfAGoAawA1AHAAcgBlAHYAXAAiACwAIABcACIAcAByAG8AcABvAHIAdABpAG8AbgAgAG8AZgAgAGMAbwB3AHMAIABnAHIAZQBhAHQAZQByACAAdABoAGEAbgAgADIAIAB5AGUAYQByAHMAIABsAGEAYwB0AGEAdABpAG4AZwAgAGYAbwByACAAdABoAGUAIABzAGUAYQBzAG8AbgAgAGEAZgB0AGUAcgAgAGMAYQBsAHYAaQBuAGcAXAAiACwAIABcACIAZgByAGEAYwB0AGkAbwBuAFwAIgAsACAAXAAiAEkAbgBwAHUAdABcACIAOwBcAG4AIAAgACAAIAAgACAAIAAgACAAIABcACIARABNAFAAXwBqAGsANQBjAGEAbAB2AFwAIgAsACAAXAAiAGQAYQBpAGwAeQAgAG0AaQBsAGsAIABwAHIAbwBkAHUAYwB0AGkAbwBuACAAZgBvAHIAIAB0AGgAZQAgAHMAZQBhAHMAbwBuACAAbwBmACAAYwBhAGwAdgBpAG4AZwAgACgAawBnAC8AaABlAGEAZAAvAGQAYQB5ACkAXAAiACwAIABcACIAawBnAC8AaABlAGEAZAAvAGQAYQB5AFwAIgAsACAAXAAiAEMAbwBuAHMAdABhAG4AdABcACIAOwBcAG4AIAAgACAAIAAgACAAIAAgACAAIABcACIARABNAFAAXwBqAGsANQBhAGYAdABlAHIAXAAiACwAIABcACIAZABhAGkAbAB5ACAAbQBpAGwAawAgAHAAcgBvAGQAdQBjAHQAaQBvAG4AIABmAG8AcgAgAHQAaABlACAAcwBlAGEAcwBvAG4AIABhAGYAdABlAHIAIABjAGEAbAB2AGkAbgBn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FcAXwBqAGsAbABcACIALAAgAFwAIgBsAGkAdgBlAHcAZQBpAGcAaAB0ACAAKABrAGcALwBoAGUAYQBkACkAXAAiACwAIABcACIAawBnAC8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FMAUgBXAF8AawBcACIALAAgAFwAIgBzAHQAYQBuAGQAYQByAGQAIAByAGUAZgBlAHIAZQBuAGMAZQAgAHcAZQBpAGcAaAB0ACAAKABrAGcAKQBcACIALAAgAFwAIgBrAGcAXAAiACwAIABcACIAQwBvAG4AcwB0AGEAbgB0AFwAIgA7AFwAbgAgACAAIAAgACAAIAAgACAAIAAgAFwAIgBpAFwAIgAsACAAXAAiAHMAdABhAHQAZQBcACIALAAgAFwAIgBcACIALAAgAFwAIgBJAG4AcAB1AHQ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I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UAXwBfADIAXwBNAGEAcwBzAE8AZgBOAGkAdAByAG8AZwBlAG4AVgBvAGwAYQB0AGkAbABpAHMAZQBkAE8AbgBQAGEAcwB0AHUAcgBlAFwAbgBNAGEAcwBzACAAbwBmACAAbgBpAHQAcgBvAGcAZQBuACAAdgBvAGwAYQB0AGkAbABpAHMAZQBkAFwAbgBNAF8AdgBvAGwAXABuAGsAZwAgAE4AXABuAE0AXwB7AHYAbwBsAH0APQBBAEUAXABcAHQAaQBtAGUAcwAgAEYAcgBhAGMARwBBAFMATQBzAG8AaQBsAFwAbgBBAEUAIAA9ACAAdABvAHQAYQBsACAAbQBhAHMAcwAgAG8AZgAgAG4AaQB0AHIAbwBnAGUAbgAgAGUAeABjAHIAZQB0AGUAZAAgAG8AbgAgAFAAUgBQACAAZgBvAHIAIABiAGUAZQBmACAAYwBhAHQAdABsAGU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yAF8AMQBfADUAXwBfADIAXwBNAGEAcwBzAE8AZgBOAGkAdAByAG8AZwBlAG4AVgBvAGwAYQB0AGkAbABpAHMAZQBkAE8AbgBQAGEAcwB0AHUAcgBlAFwAbgAgACAAPQBMAEEATQBCAEQAQQAoAFwAbgAgACAAIAAgAEEARQAsACAARgByAGEAYwBHAEEAUwBNAHMAbwBpAGwALABcAG4AIAAgACAAIABBAEUAIAAqACAARgByAGEAYwBHAEEAUwBNAHMAbwBpAGwAXABuACAAIAApADsAXABuAFwAbgBWAEUARQBSAEcAXwA0AF8AMgBfADEAXwA1AF8AXwAyAF8ATQBhAHMAcwBPAGYATgBpAHQAcgBvAGcAZQBuAFYAbwBsAGEAdABpAGwAaQBzAGUAZABPAG4AUABhAHMAdAB1AHIAZQBfAFQAaQB0AGwAZQBcAG4AIAAgAD0ATABBAE0AQgBEAEEAKABcACIATQBhAHMAcwAgAG8AZgAgAG4AaQB0AHIAbwBnAGUAbgAgAHYAbwBsAGEAdABpAGwAaQBzAGUAZABcACIAKQA7AFwAbgBcAG4AVgBFAEUAUgBHAF8ANABfADIAXwAxAF8ANQBfAF8AMgBfAE0AYQBzAHMATwBmAE4AaQB0AHIAbwBnAGUAbgBWAG8AbABhAHQAaQBsAGkAcwBlAGQATwBuAFAAYQBzAHQAdQByAGUAXwBWAGEAcgBpAGEAYgBsAGUAXABuACAAIAA9AEwAQQBNAEIARABBACgAXAAiAE0AXwB2AG8AbABcACIAKQA7AFwAbgBcAG4AVgBFAEUAUgBHAF8ANABfADIAXwAxAF8ANQBfAF8AMgBfAE0AYQBzAHMATwBmAE4AaQB0AHIAbwBnAGUAbgBWAG8AbABhAHQAaQBsAGkAcwBlAGQATwBuAFAAYQBzAHQAdQByAGUAXwBVAG4AaQB0AFwAbgAgACAAPQBMAEEATQBCAEQAQQAoAFwAIgBrAGcAIABOAFwAIgApADsAXABuAFwAbgBWAEUARQBSAEcAXwA0AF8AMgBfADEAXwA1AF8AXwAyAF8ATQBhAHMAcwBPAGYATgBpAHQAcgBvAGcAZQBuAFYAbwBsAGEAdABpAGwAaQBzAGUAZABPAG4AUABhAHMAdAB1AHIAZQBfAFMAbwB1AHIAYwBlAFwAbgAgACAAPQBMAEEATQBCAEQAQQAoAFwAIgBWAEUARQBSAEcAIAAyADAAMgA2ADoAIAA0AC4AMgAuADEALgA1ACwAIABFAHEAdQBhAHQAaQBvAG4AIAAoADIAKQBcACIAKQA7AFwAbgBcAG4AVgBFAEUAUgBHAF8ANABfADIAXwAxAF8ANQBfAF8AMgBfAE0AYQBzAHMATwBmAE4AaQB0AHIAbwBnAGUAbgBWAG8AbABhAHQAaQBsAGkAcwBlAGQATwBuAFAAYQBzAHQAdQByAGUAXwBOAEkAUgBSAGUAZgBlAHIAZQBuAGMAZQBcAG4AIAAgAD0ATABBAE0AQgBEAEEAKABcACIAXAAiACkAOwBcAG4AXABuAFYARQBFAFIARwBfADQAXwAyAF8AMQBfADUAXwBfADIAXwBNAGEAcwBzAE8AZgBOAGkAdAByAG8AZwBlAG4AVgBvAGwAYQB0AGkAbABpAHMAZQBkAE8AbgBQAGEAcwB0AHUAcgBlAF8ATABhAHQAZQB4AEUAcQB1AGEAdABpAG8AbgBcAG4AIAAgAD0ATABBAE0AQgBEAEEAKABcACIATQBfAHsAdgBvAGwAfQA9AEEARQBcAFwAdABpAG0AZQBzACAARgByAGEAYwBHAEEAUwBNAHMAbwBpAGwAXAAiACkAOwBcAG4AXABuAFYARQBFAFIARwBfADQAXwAyAF8AMQBfADU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AgACgAKABrAGcAIABOAEgAMwAtAE4AIAArACAATgBPAHgALQBOACkALwBrAGcAIABOACk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FwAIgAsACAAXAAiAGsAZwAgAE4AXAAiACwAIABcACIAQwBhAGwAYwB1AGwAYQB0AGUAZAAgAGYAcgBvAG0AIAA0AC4AMg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IABcACIAZgByAGEAYwB0AGkAbwBuACAAbwBmACAAYQBsAGw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TABvAG8AawB1AHAAVgBhAGwAdQBlAEYAcgBvAG0AUwB0AGEAdABlAFIAZQBnAGkAbwBuAFMAZQBhAHMAbwBuAFwAbgA9AEwAQQBNAEIARABBACgAXABuACAAIAAgACAAUwB0AGEAdABlACwAIABSAGUAZwBpAG8AbgAsACAAUwBlAGEAcwBvAG4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BMAG8AbwBrAHUAcABWAGEAbAB1AGUARgByAG8AbQBTAHQAYQB0AGUAUgBlAGcAaQBvAG4ATQBvAG4AdABoAFwAbgA9AEwAQQBNAEIARABBACgAXABuACAAIAAgACAAUwB0AGEAdABlACwAIABSAGUAZwBpAG8AbgAsACAATQBvAG4AdABo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AgAE0AbwBuAHQAaABBAHIAcgBhAHkALAAgAE0AbwBuAHQAaABUAG8AUwBlAGEAcw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MAZQBhAHMAbwBuACwAIABYAEwATwBPAEsAVQBQACgAVABFAFgAVAAoAE0AbwBuAHQAaAAsACAAXAAiAG0AbQBtAG0AXAAiACkALAAgAE0AbwBuAHQAaABBAHIAcgBhAHkALAAgAE0AbwBuAHQAaABUAG8AUwBlAGEAcw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LAB7ACIAcABhAHQAaAAiADoAIgAvAHAAcgBvAGoAZQBjAHQAcwAvAEUAbABlAGMAdAByAGkAYwBpAHQAeQBfAFMAbwB1AHIAYwBlAEQAYQB0AGEAIgAsACIAdABlAHgAdAAiADoAIgAvACoAXABuAD0APQA9AD0APQA9AD0APQA9AD0APQA9AD0APQA9AD0APQA9AD0APQA9AD0APQA9AD0APQA9AD0APQA9AD0APQA9AD0APQA9AD0APQA9AD0APQA9AD0APQA9AD0APQA9AD0APQA9AD0APQA9AD0APQA9AD0APQA9AD0APQA9AD0APQA9AD0APQA9AD0APQA9AD0APQA9AD0AXABu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IA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ABvAGMAYQB0AGkAbwBuAEIAYQBzAGUAZABfAFQAaQB0AGwAZQBcAG4APQBMAEEATQBCAEQAQQAoACgAXAAiAEUAbABlAGMAdAByAGkAYwBpAHQAeQAgAHMAYwBvAHAAZQAgADIAIABhAG4AZAAgAHMAYwBvAHAAZQAgADMAIABsAG8AYwBhAHQAaQBvAG4ALQBiAGEAcwBlAGQAIABlAG0AaQBzAHMAaQBvAG4AIABmAGEAYwB0AG8AcgBzAFwAIgApACkAOwBcAG4AXABuAEUAbABlAGMAdAByAGkAYwBpAHQAeQBfAFMAYwBvAHAAZQAyAEwAbwBjAGEAdABpAG8AbgBCAGEAcwBlAGQAXwBEAGUAcwBjAHIAaQBwAHQAaQBvAG4AXABuAD0ATABBAE0AQgBEAEEAKAAoAFwAI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FwAIgApACkAOwBcAG4AXABuAEUAbABlAGMAdAByAGkAYwBpAHQAeQBfAFMAYwBvAHAAZQAyAFMAYwBvAHAAZQAzAEwAbwBjAGEAdABpAG8AbgBCAGEAcwBlAGQAXwBTAG8AdQByAGMAZQBcAG4APQBMAEEATQBCAEQAQQAoACgAXAAiAEEAdQBzAHQAcgBhAGwAaQBhAG4AIABOAGEAdABpAG8AbgBhAGwAIABHAHIAZQBlAG4AaABvAHUAcwBlACAAQQBjAGMAbwB1AG4AdABzACAARgBhAGMAdABvAHIAcwAgADIAMAAyADUAIAAtACAAVABhAGIAbABlACAAMQBcACIAKQApADsAXABuAFwAbgBFAGwAZQBjAHQAcgBpAGMAaQB0AHkAXwBTAGMAbwBwAGUAMgBTAGMAbwBwAGUAMwBMAG8AYwBhAHQAaQBvAG4AQgBhAHMAZQBkAF8ARABhAHQAYQBcAG4APQBMAEEATQBCAEQAQQAoAFwAbgAgACAATQBBAEsARQBBAFIAUgBBAFkAKAAxADEALAAgADM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wAgAEUAbQBpAHMAcwBpAG8AbgAgAEYAYQBjAHQAbwByAHMAIAAoAGsAZwAgAEMATwAyAC0AZQAvAGsAVwBoACkAXAAiADsAXABuACAAIAAgACAAIAAgACAAIABcACIATgBlAHcAIABTAG8AdQB0AGgAIABXAGEAbABlAHMAXAAiACwAIAAwAC4ANgA0ACwAIAAwAC4AMAAzADsAXABuACAAIAAgACAAIAAgACAAIABcACIAQQBDAFQAXAAiACwAIAAwAC4ANgA0ACwAIAAwAC4AMAAzADsAXABuACAAIAAgACAAIAAgACAAIABcACIAVgBpAGMAdABvAHIAaQBhAFwAIgAsACAAMAAuADcAOAAsACAAMAAuADAAOQA7AFwAbgAgACAAIAAgACAAIAAgACAAXAAiAFEAdQBlAGUAbgBzAGwAYQBuAGQAXAAiACwAIAAwAC4ANgA3ACwAIAAwAC4AMAA5ADsAXABuACAAIAAgACAAIAAgACAAIABcACIAUwBvAHUAdABoACAAQQB1AHMAdAByAGEAbABpAGEAXAAiACwAIAAwAC4AMgAyACwAIAAwAC4AMAA0ADsAXABuACAAIAAgACAAIAAgACAAIABcACIAVwBlAHMAdABlAHIAbgAgAEEAdQBzAHQAcgBhAGwAaQBhACAALQAgAFMAbwB1AHQAaAAgAFcAZQBzAHQAIABJAG4AdABlAHIAYwBvAG4AbgBlAGMAdABlAGQAIABTAHkAcwB0AGUAbQAgACgAUwBXAEkAUwApAFwAIgAsACAAMAAuADUAMAAsACAAMAAuADAANgA7AFwAbgAgACAAIAAgACAAIAAgACAAXAAiAFcAZQBzAHQAZQByAG4AIABBAHUAcwB0AHIAYQBsAGkAYQAgAC0AIABOAG8AcgB0AGgAIABXAGUAcwB0AGUAcgBuACAASQBuAHQAZQByAGMAbwBuAG4AZQBjAHQAZQBkACAAUwB5AHMAdABlAG0AIAAoAE4AVwBJAFMAKQBcACIALAAgADAALgA1ADYALAAgADAALgAwADkAOwBcAG4AIAAgACAAIAAgACAAIAAgAFwAIgBUAGEAcwBtAGEAbgBpAGEAXAAiACwAIAAwAC4AMgAwACwAIAAwAC4AMAAzADsAXABuACAAIAAgACAAIAAgACAAIABcACIATgBvAHIAdABoAGUAcgBuACAAVABlAHIAcgBpAHQAbwByAHkAIAAtACAARABhAHIAdwBpAG4AIABLAGEAdABoAGUAcgBpAG4AZQAgAEkAbgB0AGUAcgBjAG8AbgBuAGUAYwB0AGUAZAAgAFMAeQBzAHQAZQBtACAAKABEAEsASQBTACkAXAAiACwAIAAwAC4ANQA2ACwAIAAwAC4AMAA5ADsAXABuACAAIAAgACAAIAAgACAAIABcACIATgBhAHQAaQBvAG4AYQBsAFwAIgAsACAAMAAuADYAMgAsACAAMAAuADAANwBcAG4AIAAgACAAIAAgACAAfQAsACAAcgAsACAAYwApAFwAbgApACkAKQA7AFwAbgBcAG4ARQBsAGUAYwB0AHIAaQBjAGkAdAB5AF8AUwBjAG8AcABlADIAUwBjAG8AcABlADMATABvAGMAYQB0AGkAbwBuAEIAYQBzAGUAZABfAFYAYQByAGkAYQB0AGkAbwBuAFwAbgA9AEwAQQBNAEIARABBACgAKABcACIAVgBBAFIASQBBAFQASQBPAE4AIABPAEYAIABTAE8AVQBSAEMARQAgAEQAQQBUAEEAOgAgAE4AUwBXACAAYQBuAGQAIABBAEMAVAAgAHMAcABsAGkAdAAgAGkAbgB0AG8AIABzAGUAcABhAHIAYQB0AGUAIAByAG8AdwBzAC4AXAAiACkAKQA7AFwAbgBcAG4AXABuAC8AKgBcAG4APQA9AD0APQA9AD0APQA9AD0APQA9AD0APQA9AD0APQA9AD0APQA9AD0APQA9AD0APQA9AD0APQA9AD0APQA9AD0APQA9AD0APQA9AD0APQA9AD0APQA9AD0APQA9AD0APQA9AD0APQA9AD0APQA9AD0APQA9AD0APQA9AD0APQA9AD0APQA9AD0APQA9AD0APQA9AD0APQBcAG4AUgBlAHMAaQBkAHUAYQBsACAATQBpAHgAIABGAGEAYwB0AG8AcgAgAGYAbwByACAAbQBhAHIAawBlAHQALQBiAGEAcwBlAGQAIABlAHEAdQBhAHQAaQBvAG4Acw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QBhAHIAawBlAHQAQgBhAHMAZQBkAF8AVABpAHQAbABlAFwAbgA9AEwAQQBNAEIARABBACgAKABcACIARQBsAGUAYwB0AHIAaQBjAGkAdAB5ACAAcwBjAG8AcABlACAAMgAgAGEAbgBkACAAcwBjAG8AcABlACAAMwAgAG0AYQByAGsAZQB0AC0AYgBhAHMAZQBkACAAZQBtAGkAcwBzAGkAbwBuACAAZgBhAGMAdABvAHIAcwBcACIAKQApADsAXABuAFwAbgBFAGwAZQBjAHQAcgBpAGMAaQB0AHkAXwBTAGMAbwBwAGUAMgBNAGEAcgBrAGUAdABCAGEAcwBlAGQAXwBEAGUAcwBjAHIAaQBwAHQAaQBvAG4AXABuAD0ATABBAE0AQgBEAEEAKAAoAFwAIgBUAGEAYgBsAGUAIAAyAGEAIABJAG4AZABpAHIAZQBjAHQAIAAoAHMAYwBvAHAAZQAgADIAIABhAG4AZAAgAHMAYwBvAHAAZQAgADMAKQAgAGUAbQBpAHMAcwBpAG8AbgAgAGYAYQBjAHQAbwByAHMAIABmAHIAbwBtACAAYwBvAG4AcwB1AG0AcAB0AGkAbwBuACAAbwBmACAAcAB1AHIAYwBoAGEAcwBlAGQAIABvAHIAIABhAGMAcQB1AGkAcgBlAGQAIABlAGwAZQBjAHQAcgBpAGMAaQB0AHkAOgAgAG0AYQByAGsAZQB0AC0AYgBhAHMAZQBkACAAZgBhAGMAdABvAHIAcwAgAFwAIgApACkAOwBcAG4AXABuAEUAbABlAGMAdAByAGkAYwBpAHQAeQBfAFMAYwBvAHAAZQAyAFMAYwBvAHAAZQAzAE0AYQByAGsAZQB0AEIAYQBzAGUAZABfAFMAbwB1AHIAYwBlAFwAbgA9AEwAQQBNAEIARABBACgAKABcACIAQQB1AHMAdAByAGEAbABpAGEAbgAgAE4AYQB0AGkAbwBuAGEAbAAgAEcAcgBlAGUAbgBoAG8AdQBzAGUAIABBAGMAYwBvAHUAbgB0AHMAIABGAGEAYwB0AG8AcgBzACAAMgAwADIANQAgAC0AIABUAGEAYgBsAGUAIAAyAGEAXAAiACkAKQA7AFwAbgBcAG4ARQBsAGUAYwB0AHIAaQBjAGkAdAB5AF8AUwBjAG8AcABlADIAUwBjAG8AcABlADMATQBhAHIAawBlAHQAQgBhAHMAZQBkAF8ARABhAHQAYQBcAG4APQBMAEEATQBCAEQAQQAoAFwAbgAgACAATQBBAEsARQBBAFIAUgBBAFkAKAAyACwAIAA1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IAIABFAG0AaQBzAHMAaQBvAG4AIABGAGEAYwB0AG8AcgBzACAAKABrAGcAIABDAE8AMgAtAGUALwBHAEoAKQBcACIALAAgAFwAIgBTAGMAbwBwAGUAIAAzACAARQBtAGkAcwBzAGkAbwBuACAARgBhAGMAdABvAHIAcwAgACgAawBnACAAQwBPADIAIAAtACAAZQAgAC8AIABrAFcAaAApAFwAIgAsACAAXAAiAFMAYwBvAHAAZQAgADMAIABFAG0AaQBzAHMAaQBvAG4AIABGAGEAYwB0AG8AcgBzACAAKABrAGcAIABDAE8AMgAgAC0AIABlACAALwAgAEcASgApAFwAIgA7AFwAbgAgACAAIAAgACAAIAAgACAAXAAiAE4AYQB0AGkAbwBuAGEAbABcACIALAAgADAALgA4ADEALAAgADIAMgA2ACwAIAAwAC4AMQAwACwAIAAyADkAXABuACAAIAAgACAAIAAgAH0ALAAgAHIALAAgAGMAKQBcAG4AKQApACkAOwBcAG4AXABuAEUAbABlAGMAdAByAGkAYwBpAHQAeQBfAFMAYwBvAHAAZQAyAFMAYwBvAHAAZQAzAE0AYQByAGsAZQB0AEIAYQBzAGUAZABfAFYAYQByAGkAYQB0AGkAbwBuAFwAbgA9AEwAQQBNAEIARABBACgAKABcACIAXAAiACk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VwBhAHMAdABlAFMAbwBsAGkAZABfAEUAcQB1AGEAdABpAG8AbgBzACIALAAiAHQAZQB4AHQAIgA6ACIALwAqAFwAbgA9AD0APQA9AD0APQA9AD0APQA9AD0APQA9AD0APQA9AD0APQA9AD0APQA9AD0APQA9AD0APQA9AD0APQA9AD0APQA9AD0APQA9AD0APQA9AD0APQA9AD0APQA9AD0APQA9AD0APQA9AD0APQA9AD0APQA9AD0APQA9AD0APQA9AD0APQA9AD0APQA9AD0APQA9AD0APQA9AFwAbgAxADAALgAxADoAIABXAGEAcwB0AGUAXABuAD0APQA9AD0APQA9AD0APQA9AD0APQA9AD0APQA9AD0APQA9AD0APQA9AD0APQA9AD0APQA9AD0APQA9AD0APQA9AD0APQA9AD0APQA9AD0APQA9AD0APQA9AD0APQA9AD0APQA9AD0APQA9AD0APQA9AD0APQA9AD0APQA9AD0APQA9AD0APQA9AD0APQA9AD0APQA9AD0AXABuADEAMAAuADEALgAxAC4AMQAgAE0AZQB0AGgAbwBkACAAMQAgAC0AIABTAG8AbABpAGQAIABXAGEAcwB0AGUAIABUAHIAZQBhAHQ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ABfADEAXwAxAF8AMQBfAF8AMQBfAEUAbQBpAHMAcwBpAG8AbgBzAEYAcgBvAG0AVwBhAHMAdABlAE0AYQBuAGEAZwBlAG0AZQBuAHQAXABuAEUAbQBpAHMAcwBpAG8AbgBzACAAZgByAG8AbQAgAHcAYQBzAHQAZQAgAG0AYQBuAGEAZwBlAG0AZQBuAHQAIABiAHkAIABnAHIAZQBlAG4AaABvAHUAcwBlACAAZwBhAHMAXABuAEUAXwBnAFwAbgB0ACAAQwBPADIAZQBcAG4ARQBfAGcAPQBcAFwAcwB1AG0AXwB0AFwAXABzAHUAbQBfAHcAKABRAF8AdwB0AFwAXAB0AGkAbQBlAHMAIABFAEYAXwB3AHQAZwApAFwAbgBRAF8AdwB0ACAAPQAgAHEAdQBhAG4AdABpAHQAeQAgAG8AZgAgAHMAbwBsAGkAZAAgAHcAYQBzAHQAZQAgAG8AZgAgAHQAeQBwAGUAIAB3ACAAYgBlAGkAbgBnACAAcwBlAG4AdAAgAHQAbwAgAHQAcgBlAGEAdABtAGUAbgB0ACAAZgBhAGMAaQBsAGkAdAB5ACAAdAAsACAAbwBuACAAYQAgAHcAZQB0ACAAdwBlAGkAZwBoAHQAIABiAGEAcwBpAHMAIAAoAHQAKQBcAG4ARQBGAF8AdwB0AGcAIAA9ACAAZQBtAGkAcwBzAGkAbwBuACAAZgBhAGMAdABvAHIAIABmAG8AcgAgAGcAcgBlAGUAbgBoAG8AdQBzAGUAIABnAGEAcwAgAGcAIABmAG8AcgAgAHQAaABlACAAbQBhAG4AYQBnAGUAbQBlAG4AdAAgAG8AZgAgAHcAYQBzAHQAZQAgAGEAdAAgAHQAcgBlAGEAdABtAGUAbgB0ACAAZgBhAGMAaQBsAGkAdAB5ACAAdAAgACgAdAAgAEMATwAyAGUALwB0ACkAXABuAC0ALQAtAC0ALQAtAC0ALQAtAC0ALQAtAC0ALQAtAC0ALQAtAC0ALQAtAC0ALQAtAC0ALQAtAC0ALQAtAC0ALQAtAC0ALQAtAC0ALQBcAG4AKgAvAFwAbgBcAG4AVgBFAEUAUgBHAF8AMQAwAF8AMQBfADEAXwAxAF8AXwAxAF8ARQBtAGkAcwBzAGkAbwBuAHMARgByAG8AbQBXAGEAcwB0AGUATQBhAG4AYQBnAGUAbQBlAG4AdABcAG4AIAAgAD0ATABBAE0AQgBEAEEAKABcAG4AIAAgACAAIABRAF8AdwB0ACwAIABFAEYAXwB3AHQAZwAsAFwAbgAgACAAIAAgAFEAXwB3AHQAIAAqACAARQBGAF8AdwB0AGcAXABuACAAIAApADsAXABuAFwAbgBWAEUARQBSAEcAXwAxADAAXwAxAF8AMQBfADEAXwBfADEAXwBFAG0AaQBzAHMAaQBvAG4AcwBGAHIAbwBtAFcAYQBzAHQAZQBNAGEAbgBhAGcAZQBtAGUAbgB0AF8AVABpAHQAbABlAFwAbgAgACAAPQBMAEEATQBCAEQAQQAoAFwAIgBFAG0AaQBzAHMAaQBvAG4AcwAgAGYAcgBvAG0AIAB3AGEAcwB0AGUAIABtAGEAbgBhAGcAZQBtAGUAbgB0ACAAYgB5ACAAZwByAGUAZQBuAGgAbwB1AHMAZQAgAGcAYQBzAFwAIgApADsAXABuAFwAbgBWAEUARQBSAEcAXwAxADAAXwAxAF8AMQBfADEAXwBfADEAXwBFAG0AaQBzAHMAaQBvAG4AcwBGAHIAbwBtAFcAYQBzAHQAZQBNAGEAbgBhAGcAZQBtAGUAbgB0AF8AVgBhAHIAaQBhAGIAbABlAFwAbgAgACAAPQBMAEEATQBCAEQAQQAoAFwAIgBFAF8AZwBcACIAKQA7AFwAbgBcAG4AVgBFAEUAUgBHAF8AMQAwAF8AMQBfADEAXwAxAF8AXwAxAF8ARQBtAGkAcwBzAGkAbwBuAHMARgByAG8AbQBXAGEAcwB0AGUATQBhAG4AYQBnAGUAbQBlAG4AdABfAFUAbgBpAHQAXABuACAAIAA9AEwAQQBNAEIARABBACgAXAAiAHQAIABDAE8AMgBlAFwAIgApADsAXABuAFwAbgBWAEUARQBSAEcAXwAxADAAXwAxAF8AMQBfADEAXwBfADEAXwBFAG0AaQBzAHMAaQBvAG4AcwBGAHIAbwBtAFcAYQBzAHQAZQBNAGEAbgBhAGcAZQBtAGUAbgB0AF8AUwBvAHUAcgBjAGUAXABuACAAIAA9AEwAQQBNAEIARABBACgAXAAiAFYARQBFAFIARwAgADIAMAAyADYAOgAgADEAMAAuADEALgAxAC4AMQAsACAARQBxAHUAYQB0AGkAbwBuACAAKAAxACkAXAAiACkAOwBcAG4AXABuAFYARQBFAFIARwBfADEAMABfADEAXwAxAF8AMQBfAF8AMQBfAEUAbQBpAHMAcwBpAG8AbgBzAEYAcgBvAG0AVwBhAHMAdABlAE0AYQBuAGEAZwBlAG0AZQBuAHQAXwBOAEkAUgBSAGUAZgBlAHIAZQBuAGMAZQBcAG4AIAAgAD0ATABBAE0AQgBEAEEAKABcACIAXAAiACkAOwBcAG4AXABuAFYARQBFAFIARwBfADEAMABfADEAXwAxAF8AMQBfAF8AMQBfAEUAbQBpAHMAcwBpAG8AbgBzAEYAcgBvAG0AVwBhAHMAdABlAE0AYQBuAGEAZwBlAG0AZQBuAHQAXwBMAGEAdABlAHgARQBxAHUAYQB0AGkAbwBuAFwAbgAgACAAPQBMAEEATQBCAEQAQQAoAFwAIgBFAF8AZwA9AFwAXABzAHUAbQBcAFwAbgBvAGwAaQBtAGkAdABzAF8AdABcAFwAcwB1AG0AXABcAG4AbwBsAGkAbQBpAHQAcwBfAHcAKABRAF8AewB3AHQAfQBcAFwAdABpAG0AZQBzACAARQBGAF8AewB3AHQAZwB9ACkAXAAiACkAOwBcAG4AXABuAFYARQBFAFIARwBfADEAMABfADEAXwAxAF8AMQBfAF8AMQBfAEUAbQBpAHMAcwBpAG8AbgBzAEYAcgBvAG0AVwBhAHMAdABlAE0AYQBuAGEAZwBlAG0AZQBuAHQAXwBBAHIAZwB1AG0AZQBuAHQAcwBcAG4AIAAgAD0ATABBAE0AQgBEAEEAKABcAG4AIAAgACAAIABNAEEASwBFAEEAUgBSAEEAWQAoADcALAAgADQALABcAG4AIAAgACAAIAAgACAATABBAE0AQgBEAEEAKAByACwAYwAsAFwAbgAgACAAIAAgACAAIAAgACAASQBOAEQARQBYACgAewBcAG4AIAAgACAAIAAgACAAIAAgACAAIABcACIAUQBfAHcAdABcACIALAAgAFwAIgBxAHUAYQBuAHQAaQB0AHkAIABvAGYAIABzAG8AbABpAGQAIAB3AGEAcwB0AGUAIABvAGYAIAB0AHkAcABlACAAdwAgAGIAZQBpAG4AZwAgAHMAZQBuAHQAIAB0AG8AIAB0AHIAZQBhAHQAbQBlAG4AdAAgAGYAYQBjAGkAbABpAHQAeQAgAHQALAAgAG8AbgAgAGEAIAB3AGUAdAAgAHcAZQBpAGcAaAB0ACAAYgBhAHMAaQBzAFwAIgAsACAAXAAiAHQAXAAiACwAIABcACIAUwB1AG0AIABvAGYAIABRAF8AdgBvAGwAdwB0ACAAYQBuAGQAIABRAF8AbQBhAHMAcwB3AHQAXAAiADsAXABuACAAIAAgACAAIAAgACAAIAAgACAAXAAiAEUARgBfAHcAdABnAFwAIgAsACAAXAAiAGUAbQBpAHMAcwBpAG8AbgAgAGYAYQBjAHQAbwByACAAZgBvAHIAIABnAHIAZQBlAG4AaABvAHUAcwBlACAAZwBhAHMAIABnACAAZgBvAHIAIAB0AGgAZQAgAG0AYQBuAGEAZwBlAG0AZQBuAHQAIABvAGYAIAB3AGEAcwB0AGUAIABhAHQAIAB0AHIAZQBhAHQAbQBlAG4AdAAgAGYAYQBjAGkAbABpAHQAeQAgAHQAXAAiACwAIABcACIAdAAgAEMATwAyAGUALwB0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DsAXABuACAAIAAgACAAIAAgACAAIAAgACAAXAAiAGcAXAAiACwAIABcACIAZwByAGUAZQBuAGgAbwB1AHMAZQAgAGcAYQBzAFwAIgAsACAAXAAiAFwAIgAsACAAXAAiAEkAbgBwAHUAdABcACIAOwBcAG4AIAAgACAAIAAgACAAIAAgACAAIABcACIAUQBfAHYAbwBsAHcAdABcACIALAAgAFwAIgBxAHUAYQBuAHQAaQB0AHkAIABvAGYAIABzAG8AbABkACAAdwBhAHMAdABlACAAaQBuAHAAdQB0ACAAYQBzACAAdgBvAGwAdQBtAGUAIABhAG4AZAAgAGMAbwBuAHYAZQByAHQAZQBkACAAdABvACAAdABvAG4AbgBlAHMAXAAiACwAIABcACIAdABvAG4AbgBlAHMAXAAiACwAIABcACIAQwBhAGwAYwB1AGwAYQB0AGUAZAAgAGYAcgBvAG0AIAAxADAALgAxAC4AMQAuADEAIAAoADIAKQBcACIAOwBcAG4AIAAgACAAIAAgACAAIAAgACAAIABcACIAUQBfAG0AYQBzAHMAdwB0AFwAIgAsACAAXAAiAHEAdQBhAG4AdABpAHQAeQAgAG8AZgAgAHMAbwBsAGkAZAAgAHcAYQBzAHQAZQAgAGkAbgBwAHUAdAAgAGEAcwAgAG0AYQBzAHMAXAAiACwAIABcACIAdABvAG4AbgBlAHMAXAAiACwAIABcACIASQBuAHAAdQB0AFwAIgBcAG4AIAAgACAAIAAgACAAIAAgAH0ALAAgAHIALAAgAGMAKQBcAG4AIAAgACAAIAAgACAAKQBcAG4AIAAgACAAIAApAFwAbgAgACAAKQA7AFwAbgBcAG4AVgBFAEUAUgBHAF8AMQAwAF8AMQBfADEAXwAxAF8AXwAxAF8ARQBtAGkAcwBzAGkAbwBuAHMARgByAG8AbQBXAGEAcwB0AGUATQBhAG4AYQBnAGUAbQBlAG4AdABfAFYAYQByAGkAYQB0AGkAbwBuAFwAbgAgACAAPQBMAEEATQBCAEQAQQAoAFwAIgBWAEEAUgBJAEEAVABJAE8ATgAgAE8ATgAgAFMATwBVAFIAQwBFADoAIABBAGQAZABlAGQAIABRAF8AdgBvAGwAdwB0ACAAYQBuAGQAIABRAF8AbQBhAHMAcwB3AHQAIAB2AGEAcgBpAGEAYgBsAGUAcwAgAHQAbwAgAGMAbABlAGEAcgBsAHkAIAB0AHIAYQBjAGsAIABpAG4AcAB1AHQAIABvAHIAIABjAGEAbABjAHUAbABhAHQAZQBkACAAUQAgAHYAYQBsAHUAZQBzAFwAIgApADsAXABuAFwAbgAvACoAXABuAC0ALQAtAC0ALQAtAC0ALQAtAC0ALQAtAC0ALQAtAC0ALQAtAC0ALQAtAC0ALQAtAC0ALQAtAC0ALQAtAC0ALQAtAC0ALQAtAC0ALQBcAG4AVgBFAEUAUgBHAF8AMQAwAF8AMQBfADEAXwAxAF8AXwAyAF8ATQBhAHMAcwBPAGYAVwBhAHMAdABlAEYAcgBvAG0AVgBvAGwAdQBtAGUAXABuAE0AYQBzAHMAIABvAGYAIAB3AGEAcwB0AGUAIABmAHIAbwBtACAAdwBhAHMAdABlACAAdgBvAGwAdQBtAGUAXABuAFEAXwB3AHQAXABuAHQAXABuAFEAXwB3AHQAPQBWAF8AdwB0AFwAXAB0AGkAbQBlAHMAIABWAFQATQBfAHcAXABuAFYAXwB3AHQAIAA9ACAAdgBvAGwAdQBtAGUAIABvAGYAIABzAG8AbABpAGQAIAB3AGEAcwB0AGUAIAB0AHkAcABlACAAdwAgAGIAZQBpAG4AZwAgAHMAZQBuAHQAIAB0AG8AIAB0AHIAZQBhAHQAbQBlAG4AdAAgAGYAYQBjAGkAbABpAHQAeQAgAHQAIAAoAG0AMwApAFwAbgBWAFQATQBfAHcAIAA9ACAAYwBvAG4AdgBlAHIAcwBpAG8AbgAgAGYAYQBjAHQAbwByACAAbwBmACAAdgBvAGwAdQBtAGUAIAB0AG8AIABtAGEAcwBzACAAZgBvAHIAIAB3AGEAcwB0AGUAIAB0AHkAcABlACAAdwAgACgAdAAvAG0AMwApAFwAbgAtAC0ALQAtAC0ALQAtAC0ALQAtAC0ALQAtAC0ALQAtAC0ALQAtAC0ALQAtAC0ALQAtAC0ALQAtAC0ALQAtAC0ALQAtAC0ALQAtAC0AXABuACoALwBcAG4AXABuAFYARQBFAFIARwBfADEAMABfADEAXwAxAF8AMQBfAF8AMgBfAE0AYQBzAHMATwBmAFcAYQBzAHQAZQBGAHIAbwBtAFYAbwBsAHUAbQBlAFwAbgAgACAAPQBMAEEATQBCAEQAQQAoAFwAbgAgACAAIAAgAFYAXwB3AHQALAAgAFYAVABNAF8AdwAsAFwAbgAgACAAIAAgAFYAXwB3AHQAIAAqACAAVgBUAE0AXwB3AFwAbgAgACAAKQA7AFwAbgBcAG4AVgBFAEUAUgBHAF8AMQAwAF8AMQBfADEAXwAxAF8AXwAyAF8ATQBhAHMAcwBPAGYAVwBhAHMAdABlAEYAcgBvAG0AVgBvAGwAdQBtAGUAXwBUAGkAdABsAGUAXABuACAAIAA9AEwAQQBNAEIARABBACgAXAAiAE0AYQBzAHMAIABvAGYAIAB3AGEAcwB0AGUAIABmAHIAbwBtACAAdwBhAHMAdABlACAAdgBvAGwAdQBtAGUAXAAiACkAOwBcAG4AXABuAFYARQBFAFIARwBfADEAMABfADEAXwAxAF8AMQBfAF8AMgBfAE0AYQBzAHMATwBmAFcAYQBzAHQAZQBGAHIAbwBtAFYAbwBsAHUAbQBlAF8AVgBhAHIAaQBhAGIAbABlAFwAbgAgACAAPQBMAEEATQBCAEQAQQAoAFwAIgBRAF8AdwB0AFwAIgApADsAXABuAFwAbgBWAEUARQBSAEcAXwAxADAAXwAxAF8AMQBfADEAXwBfADIAXwBNAGEAcwBzAE8AZgBXAGEAcwB0AGUARgByAG8AbQBWAG8AbAB1AG0AZQBfAFUAbgBpAHQAXABuACAAIAA9AEwAQQBNAEIARABBACgAXAAiAHQAXAAiACkAOwBcAG4AXABuAFYARQBFAFIARwBfADEAMABfADEAXwAxAF8AMQBfAF8AMgBfAE0AYQBzAHMATwBmAFcAYQBzAHQAZQBGAHIAbwBtAFYAbwBsAHUAbQBlAF8AUwBvAHUAcgBjAGUAXABuACAAIAA9AEwAQQBNAEIARABBACgAXAAiAFYARQBFAFIARwAgADIAMAAyADYAOgAgADEAMAAuADEALgAxAC4AMQAsACAARQBxAHUAYQB0AGkAbwBuACAAKAAyACkAXAAiACkAOwBcAG4AXABuAFYARQBFAFIARwBfADEAMABfADEAXwAxAF8AMQBfAF8AMgBfAE0AYQBzAHMATwBmAFcAYQBzAHQAZQBGAHIAbwBtAFYAbwBsAHUAbQBlAF8ATgBJAFIAUgBlAGYAZQByAGUAbgBjAGUAXABuACAAIAA9AEwAQQBNAEIARABBACgAXAAiAFwAIgApADsAXABuAFwAbgBWAEUARQBSAEcAXwAxADAAXwAxAF8AMQBfADEAXwBfADIAXwBNAGEAcwBzAE8AZgBXAGEAcwB0AGUARgByAG8AbQBWAG8AbAB1AG0AZQBfAEwAYQB0AGUAeABFAHEAdQBhAHQAaQBvAG4AXABuACAAIAA9AEwAQQBNAEIARABBACgAXAAiAFEAXwB7AHcAdAB9AD0AVgBfAHsAdwB0AH0AXABcAHQAaQBtAGUAcwAgAFYAVABNAF8AdwBcACIAKQA7AFwAbgBcAG4AVgBFAEUAUgBHAF8AMQAwAF8AMQBfADEAXwAxAF8AXwAyAF8ATQBhAHMAcwBPAGYAVwBhAHMAdABlAEYAcgBvAG0AVgBvAGwAdQBtAGUAXwBBAHIAZwB1AG0AZQBuAHQAcwBcAG4AIAAgAD0ATABBAE0AQgBEAEEAKABcAG4AIAAgACAAIABNAEEASwBFAEEAUgBSAEEAWQAoADQALAAgADQALABcAG4AIAAgACAAIAAgACAATABBAE0AQgBEAEEAKAByACwAYwAsAFwAbgAgACAAIAAgACAAIAAgACAASQBOAEQARQBYACgAewBcAG4AIAAgACAAIAAgACAAIAAgACAAIABcACIAVgBfAHcAdABcACIALAAgAFwAIgB2AG8AbAB1AG0AZQAgAG8AZgAgAHMAbwBsAGkAZAAgAHcAYQBzAHQAZQAgAHQAeQBwAGUAIAB3ACAAYgBlAGkAbgBnACAAcwBlAG4AdAAgAHQAbwAgAHQAcgBlAGEAdABtAGUAbgB0ACAAZgBhAGMAaQBsAGkAdAB5ACAAdABcACIALAAgAFwAIgBtADMAXAAiACwAIABcACIASQBuAHAAdQB0AFwAIgA7AFwAbgAgACAAIAAgACAAIAAgACAAIAAgAFwAIgBWAFQATQBfAHcAXAAiACwAIABcACIAYwBvAG4AdgBlAHIAcwBpAG8AbgAgAGYAYQBjAHQAbwByACAAbwBmACAAdgBvAGwAdQBtAGUAIAB0AG8AIABtAGEAcwBzACAAZgBvAHIAIAB3AGEAcwB0AGUAIAB0AHkAcABlACAAdwBcACIALAAgAFwAIgB0AC8AbQAz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FwAbgBkAGkAbQBlAG4AcwBpAG8AbgBsAGUAcwBzAFwAbgBGAEYATwBEAF8AewBjAH0APQBcAFwAZgByAGEAYwB7AEIAXABcAHQAaQBtAGUAcwAgAE0AXwB7AEIAfQB9AHsAUABfAHsAYwB9AFwAXAB0AGkAbQBlAHMAIABSAF8AewBBAEcALABjAH0AfQBcAG4AQgAgAD0AIABuAHUAbQBiAGUAcgAgAG8AZgAgAGIAYQBsAGUAcwAgAGcAZQBuAGUAcgBhAHQAZQBkACAAKABuAHUAbQBiAGUAcg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YAcgBhAGMAdABpAG8AbgApAFwAbgBjACAAPQAgAEMAcgBvAHAAIAB0AHkAcABlAFwAbgAtAC0ALQAtAC0ALQAtAC0ALQAtAC0ALQAtAC0ALQAtAC0ALQAtAC0ALQAtAC0ALQAtAC0ALQAtAC0ALQAtAC0ALQAtAC0ALQAtAC0AXABuACoALwBcAG4AXABuAFYARQBFAFIARwBfADYAXwAxAF8AMQBfADIAXwBfADEAXwBfAEYAcgBhAGMAdABpAG8AbgBPAGYAQwByAG8AcABSAGUAcwBpAGQAdQBlAFIAZQBtAG8AdgBlAGQAQgBhAGwAZQBkAFwAbgAgACAAPQBMAEEATQBCAEQAQQAoAFwAbgAgACAAIAAgAEIALAAgAE0AXwBCACwAIABQAF8AYwAsACAAUgBfAEEARwBjACwAXABuACAAIAAgACAASQBGAEUAUgBSAE8AUgAoACgAQgAgACoAIABNAF8AQgApACAALwAgACgAUABfAGMAIAAqACAAUgBfAEEARwBjACkALAAgADAAKQBcAG4AIAAgACkAXABuADsAXABuAFwAbgBWAEUARQBSAEcAXwA2AF8AMQBfADEAXwAyAF8AXwAxAF8AXwBGAHIAYQBjAHQAaQBvAG4ATwBmAEMAcgBvAHAAUgBlAHMAaQBkAHUAZQBSAGUAbQBvAHYAZQBkAEIAYQBsAGUAZABfAFQAaQB0AGwAZQBcAG4AIAAgAD0ATABBAE0AQgBEAEEAKABcACIARgByAGEAYwB0AGkAbwBuACAAbwBmACAAYwByAG8AcAAgAHIAZQBzAGkAZAB1AGUAIAB0AGgAYQB0ACAAaQBzACAAcgBlAG0AbwB2AGUAZAAgAGYAbwByACAAYwByAG8AcAAgAGMALAAgAGMAYQBsAGMAdQBsAGEAdABlAGQAIAB3AGgAZQByAGUAIAByAGUAcwBpAGQAdQBlAHMAIABhAHIAZQAgAGIAYQBsAGUAZABcACIAKQA7AFwAbgBcAG4AVgBFAEUAUgBHAF8ANgBfADEAXwAxAF8AMgBfAF8AMQBfAF8ARgByAGEAYwB0AGkAbwBuAE8AZgBDAHIAbwBwAFIAZQBzAGkAZAB1AGUAUgBlAG0AbwB2AGUAZABCAGEAbABlAGQAXwBWAGEAcgBpAGEAYgBsAGUAXABuACAAIAA9AEwAQQBNAEIARABBACgAXAAiAEYARgBPAEQAXwBjAFwAIgApADsAXABuAFwAbgBWAEUARQBSAEcAXwA2AF8AMQBfADEAXwAyAF8AXwAxAF8AXwBGAHIAYQBjAHQAaQBvAG4ATwBmAEMAcgBvAHAAUgBlAHMAaQBkAHUAZQBSAGUAbQBvAHYAZQBkAEIAYQBsAGUAZABfAFUAbgBpAHQAXABuACAAIAA9AEwAQQBNAEIARABBACgAXAAiAGYAcgBhAGMAdABpAG8Abg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XAAiACkAOwBcAG4AXABuAFwAbgBcAG4ALwAqACAAXABuAC0ALQAtAC0ALQAtAC0ALQAtAC0ALQAtAC0ALQAtAC0ALQAtAC0ALQAtAC0ALQAtAC0ALQAtAC0ALQAtAC0ALQAtAC0ALQAtAC0ALQBcAG4AVgBFAEUAUgBHAF8ANgBfADEAXwAxAF8AMgBfAF8AMQBhAF8AXwBGAHIAYQBjAHQAaQBvAG4ATwBmAEMAcgBvAHAAUgBlAHMAaQBkAHUAZQBSAGUAbQBvAHYAZQBkAFwAbgBGAHIAYQBjAHQAaQBvAG4AIABvAGYAIABjAHIAbwBwACAAcgBlAHMAaQBkAHUAZQAgAHQAaABhAHQAIABpAHMAIAByAGUAbQBvAHYAZQBkACAAZgBvAHIAIABjAHIAbwBwACAAYwBcAG4ARgBGAE8ARABjAFwAbgBkAGkAbQBlAG4AcwBpAG8AbgBsAGUAcwBzAFwAbgBcAG4ALQAtAC0ALQAtAC0ALQAtAC0ALQAtAC0ALQAtAC0ALQAtAC0ALQAtAC0ALQAtAC0ALQAtAC0ALQAtAC0ALQAtAC0ALQAtAC0ALQAtAFwAbgAqAC8AXABuAFwAbgAvACoAXABuAFYARQBFAFIARwBfADYAXwAxAF8AMQBfADIAXwBfADEAYQBfAF8ARgByAGEAYwB0AGkAbwBuAE8AZgBDAHIAbwBwAFIAZQBzAGkAZAB1AGUAUgBlAG0AbwB2AGUAZABcAG4AIAAgAD0ATABBAE0AQgBEAEEAKABcAG4AIAAgACAAIABGAEYATwBEAF8AYwBiAGEAbABlAGQALAAgAEYARgBPAEQAXwBjAG8AdABoAGUAcgAsAFwAbgAgACAAIAAgAEYARgBPAEQAXwBjAGIAYQBsAGUAZAAgACsAIABGAEYATwBEAF8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F8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QALAAgAFwAbgAgACAAIAAgACAAIABMAEEATQBCAEQAQQAoAHIALABjACwAIABcAG4AIAAgACAAIAAgACAAIAAgAEkATgBEAEUAWAAoAHsAXABuACAAIAAgACAAIAAgACAAIAAgACAAXAAiAEYARgBPAEQAXwBjAGIAYQBsAGUAZABcACIALABcACIARgByAGEAYwB0AGkAbwBuACAAbwBmACAAYwByAG8AcAAgAHIAZQBzAGkAZAB1AGUAIAB0AGgAYQB0ACAAaQBzACAAcgBlAG0AbwB2AGUAZAAgAGYAbwByACAAYwByAG8AcAAgAGMALAAgAGMAYQBsAGMAdQBsAGEAdABlAGQAIAB3AGgAZQByAGUAIAByAGUAcwBpAGQAdQBlAHMAIABhAHIAZQAgAGIAYQBsAGUAZABcACIALAAgAFwAIgBmAHIAYQBjAHQAaQBvAG4AXAAiACwAIABcACIAQwBhAGwAYwB1AGwAYQB0AGUAZAAgAGYAcgBvAG0AIAA2AC4AMQAuADEALgAyACwAIAAoADEAKQBcACIAOwBcAG4AIAAgACAAIAAgACAAIAAgACAAIABcACIARgBGAE8ARABf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LAAgAFwAIgBmAHIAYQBjAHQAaQBvAG4AXAAiACwAIABcACIASQBuAHAAdQB0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XABuACAAIAAqAC8AIgB9ACwAewAiAHAAYQB0AGgAIgA6ACIALwBwAHIAbwBqAGUAYwB0AHMALwBBAGcAUgBlAHMAaQBkAHUAZQBfAEUAcQB1AGEAdABpAG8AbgBzAF8AUABhAHMAdAB1AHIAZQBSAGUAcwBpAGQAdQBlACIALAAiAHQAZQB4AHQAIgA6ACIALwAqACAAXABuAC0ALQAtAC0ALQAtAC0ALQAtAC0ALQAtAC0ALQAtAC0ALQAtAC0ALQAtAC0ALQAtAC0ALQAtAC0ALQAtAC0ALQAtAC0ALQAtAC0ALQBcAG4AVgBFAEUAUgBHAF8ANgBfADIAXwAxAF8AMQBfAF8AMQBfAF8ATgBpAHQAcgBvAHUAcwBPAHgAaQBkAGUARQBtAGkAcwBzAGkAbwBuAHMARgByAG8AbQBQAGEAcwB0AHUAcgBlAFIAZQBzAGkAZAB1AGUAcwBcAG4ATgBpAHQAcgBvAHUAcwAgAG8AeABpAGQAZQAgAGUAbQBpAHMAcwBpAG8AbgBzACAAZgByAG8AbQAgAHQAaABlACAAcgBlAHQAdQByAG4AIABvAGYAIABwAGEAcwB0AHUAcgBlACAAcgBlAHMAaQBkAHUAZQBzACAAZgByAG8AbQAgAGEAbABsACAAcABhAHMAdAB1AHIAZQAgAHQAeQBwAGUAcwAgAHQAbwAgAHQAaABlACAAcwBvAGkAbABcAG4ARQBOADIATwBcAG4AdAAgAE4AMgBPAFwAbgBFAF8AewBOADIATwB9AD0AXABcAHMAdQBtAF8AewBwAH0AXABcAGwAZQBmAHQAKABNAF8AcABcAFwAdABpAG0AZQBzACAARQBGAF8AewBOAGkAfQBcAFwAdABpAG0AZQBzACAAQwBfAHsATgAyAE8AfQBcAFwAdABpAG0AZQBzAHsAMQAwAH0AXgB7AC0AMwB9AFwAXAByAGkAZwBoAHQAKQBcAG4ATQBwACAAPQAgAG0AYQBzAHMAIABvAGYAIABuAGkAdAByAG8AZwBlAG4AIABpAG4AIABwAGEAcwB0AHUAcgBlACAAcAAgAHIAZQBzAGkAZAB1AGUAcwAgAHIAZQB0AHUAcgBuAGUAZAAgAHQAbwAgAHQAaABlACAAcwBvAGkAbAAgACgAawBnACAATgApAFwAbgBFAEYATgBpACAAPQAgAGUAbQBpAHMAcwBpAG8AbgAgAGYAYQBjAHQAbwByACAAZgBvAHIAIABjAHIAbwBwACAAcgBlAHMAaQBkAHUAZQBzACAAcgBlAHQAdQByAG4AZQBkACAAdABvACAAdABoAGUAIABzAG8AaQBsACAAaQBuACAAYwBsAGkAbQBhAHQAZQAgAHoAbwBuAGUAIABp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wACAAPQAgAFAAYQBzAHQAdQByAGUAIAB0AHkAcABlAFwAbgBpACAAPQAgAEMAbABpAG0AYQB0AGUAIAB6AG8AbgBlAFwAbgAtAC0ALQAtAC0ALQAtAC0ALQAtAC0ALQAtAC0ALQAtAC0ALQAtAC0ALQAtAC0ALQAtAC0ALQAtAC0ALQAtAC0ALQAtAC0ALQAtAC0AXABuACoALwBcAG4AXABuAFYARQBFAFIARwBfADYAXwAyAF8AMQBfADEAXwBfADEAXwBfAE4AaQB0AHIAbwB1AHMATwB4AGkAZABlAEUAbQBpAHMAcwBpAG8AbgBzAEYAcgBvAG0AUABhAHMAdAB1AHIAZQBSAGUAcwBpAGQAdQBlAHMAXABuACAAIAA9AEwAQQBNAEIARABBACgAXABuACAAIAAgACAATQBfAHAALAAgAEUARgBfAE4AaQAsACAAQwBfAE4AMgBPACwAXABuACAAIAAgACAAKABNAF8AcAAgACoAIABFAEYAXwBOAGkAKQAgACoAIABDAF8ATgAyAE8AIAAqACAAMQAwAF4AKAAtADMAKQBcAG4AIAAgACkAOwBcAG4AXABuAFYARQBFAFIARwBfADYAXwAyAF8AMQBfADEAXwBfADEAXwBfAE4AaQB0AHIAbwB1AHMATwB4AGkAZABlAEUAbQBpAHMAcwBpAG8AbgBzAEYAcgBvAG0AUABhAHMAdAB1AHIAZQBSAGUAcwBpAGQAdQBlAHMAXwBUAGkAdABsAGUAXABuACAAIAA9AEwAQQBNAEIARABBACgAXAAiAE4AaQB0AHIAbwB1AHMAIABvAHgAaQBkAGUAIABlAG0AaQBzAHMAaQBvAG4AcwAgAGYAcgBvAG0AIAB0AGgAZQAgAHIAZQB0AHUAcgBuACAAbwBmACAAcABhAHMAdAB1AHIAZQAgAHIAZQBzAGkAZAB1AGUAcwAgAGYAcgBvAG0AIABhAGwAbAAgAHAAYQBzAHQAdQByAGUAIAB0AHkAcABlAHMAIAB0AG8AIAB0AGgAZQAgAHMAbwBpAGwAXAAiACkAOwBcAG4AXABuAFYARQBFAFIARwBfADYAXwAyAF8AMQBfADEAXwBfADEAXwBfAE4AaQB0AHIAbwB1AHMATwB4AGkAZABlAEUAbQBpAHMAcwBpAG8AbgBzAEYAcgBvAG0AUABhAHMAdAB1AHIAZQBSAGUAcwBpAGQAdQBlAHMAXwBWAGEAcgBpAGEAYgBsAGUAXABuACAAIAA9AEwAQQBNAEIARABBACgAXAAiAEUATgAyAE8AXAAiACkAOwBcAG4AXABuAFYARQBFAFIARwBfADYAXwAyAF8AMQBfADEAXwBfADEAXwBfAE4AaQB0AHIAbwB1AHMATwB4AGkAZABlAEUAbQBpAHMAcwBpAG8AbgBzAEYAcgBvAG0AUABhAHMAdAB1AHIAZQBSAGUAcwBpAGQAdQBlAHMAXwBVAG4AaQB0AFwAbgAgACAAPQBMAEEATQBCAEQAQQAoAFwAIgB0ACAATgAyAE8AXAAiACkAOwBcAG4AXABuAFYARQBFAFIARwBfADYAXwAyAF8AMQBfADEAXwBfADEAXwBfAE4AaQB0AHIAbwB1AHMATwB4AGkAZABlAEUAbQBpAHMAcwBpAG8AbgBzAEYAcgBvAG0AUABhAHMAdAB1AHIAZQBSAGUAcwBpAGQAdQBlAHMAXwBTAG8AdQByAGMAZQBcAG4AIAAgAD0ATABBAE0AQgBEAEEAKABcACIAVgBFAEUAUgBHACAAMgAwADIANgA6ACAANgAuADIALgAxAC4AMQAsACAARQBxAHUAYQB0AGkAbwBuACAAKAAxACkAXAAiACkAOwBcAG4AXABuAFYARQBFAFIARwBfADYAXwAyAF8AMQBfADEAXwBfADEAXwBfAE4AaQB0AHIAbwB1AHMATwB4AGkAZABlAEUAbQBpAHMAcwBpAG8AbgBzAEYAcgBvAG0AUABhAHMAdAB1AHIAZQBSAGUAcwBpAGQAdQBlAHMAXwBOAEkAUgBSAGUAZgBlAHIAZQBuAGMAZQBcAG4AIAAgAD0ATABBAE0AQgBEAEEAKABcACIAXAAiACkAOwBcAG4AXABuAFYARQBFAFIARwBfADYAXwAyAF8AMQBfADEAXwBfADEAXwBfAE4AaQB0AHIAbwB1AHMATwB4AGkAZABlAEUAbQBpAHMAcwBpAG8AbgBzAEYAcgBvAG0AUABhAHMAdAB1AHIAZQBSAGUAcwBpAGQAdQBlAHMAXwBMAGEAdABlAHgARQBxAHUAYQB0AGkAbwBuAFwAbgAgACAAPQBMAEEATQBCAEQAQQAoAFwAIgBFAF8AewBOADIATwB9AD0AXABcAHMAdQBtAFwAXABuAG8AbABpAG0AaQB0AHMAXwBwAFwAXABsAGUAZgB0ACgATQBfAHAAXABcAHQAaQBtAGUAcwAgAEUARgBfAHsATgBpAH0AXABcAHIAaQBnAGgAdAApAFwAXAB0AGkAbQBlAHMAIABDAF8AewBOADIATwB9AFwAXAB0AGkAbQBlAHMAewAxADAAfQBeAHsALQAzAH0AXAAiACkAOwBcAG4AXABuAFYARQBFAFIARwBfADYAXwAyAF8AMQBfADEAXwBfADEAXwBfAE4AaQB0AHIAbwB1AHMATwB4AGkAZABlAEUAbQBpAHMAcwBpAG8AbgBzAEYAcgBvAG0AUABhAHMAdAB1AHIAZQBSAGUAcwBpAGQAdQBlAHMAXwBBAHIAZwB1AG0AZQBuAHQAcwBcAG4AIAAgAD0ATABBAE0AQgBEAEEAKABcAG4AIAAgACAAIABNAEEASwBFAEEAUgBSAEEAWQAoADUALAAgADQALAAgAFwAbgAgACAAIAAgACAAIABMAEEATQBCAEQAQQAoAHIALABjACwAIABcAG4AIAAgACAAIAAgACAAIAAgAEkATgBEAEUAWAAoAHsAXABuACAAIAAgACAAIAAgACAAIAAgACAAXAAiAE0AXwBwAFwAIgAsAFwAIgBtAGEAcwBzACAAbwBmACAAbgBpAHQAcgBvAGcAZQBuACAAaQBuACAAcABhAHMAdAB1AHIAZQAgAHAAIAByAGUAcwBpAGQAdQBlAHMAIAByAGUAdAB1AHIAbgBlAGQAIAB0AG8AIAB0AGgAZQAgAHMAbwBpAGwAXAAiACwAIABcACIAawBnACAATgBcACIALAAgAFwAIgBDAGEAbABjAHUAbABhAHQAZQBkACAAZgByAG8AbQAgADYALgAyAC4AMQAuADEAIAAoADIAKQBcACIAOwBcAG4AIAAgACAAIAAgACAAIAAgACAAIABcACIARQBGAF8ATgBpAFwAIgAsAFwAIgBlAG0AaQBzAHMAaQBvAG4AIABmAGEAYwB0AG8AcgAgAGYAbwByACAAYwByAG8AcAAgAHIAZQBzAGkAZAB1AGUAcwAgAHIAZQB0AHUAcgBuAGUAZAAgAHQAbwAgAHQAaABlACAAcwBvAGkAbAAgAGkAbgAgAGMAbABpAG0AYQB0AGUAIAB6AG8AbgBlACAAaQ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wAFwAIgAsAFwAIgBQAGEAcwB0AHUAcgBlACAAdAB5AHAAZ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gBfADEAXwAxAF8AXwAyAF8AXwBNAGEAcwBzAE8AZgBOAGkAdAByAG8AZwBlAG4ASQBuAFAAYQBzAHQAdQByAGUAUgBlAHMAaQBkAHUAZQBzAFwAbgBNAGEAcwBzACAAbwBmACAAbgBpAHQAcgBvAGcAZQBuACAAaQBuACAAcABhAHMAdAB1AHIAZQAgAHIAZQBzAGkAZAB1AGUAcwAgAHIAZQB0AHUAcgBuAGUAZAAgAHQAbwAgAHQAaABlACAAcwBvAGkAbABcAG4ATQBwAFwAbgBrAGcAIABOAFwAbgBNAF8AcAAgAD0AIAAoAEEAXwBwACAA1w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G4AQQBfAHAAIAA9ACAAYQByAGUAYQAgAG8AZgAgAHAAYQBzAHQAdQByAGUAIAByAGUAbgBlAHcAZQBkACAAbwByACAAcgBlAG0AbwB2AGUAZAAgACgAaABhACkAXABuAFkAcAAgAD0AIABhAHYAZQByAGEAZwBlACAAeQBpAGUAbABkACAAbwBmACAAcABhAHMAdAB1AHIAZQAgAGMAcgBvAHAAIAAoAHQAIABEAE0ALwBoAGEAKQBcAG4ATgBDAEEARwBwACAAPQAgAE4AIABjAG8AbgB0AGUAbgB0ACAAbwBmACAAYQBiAG8AdgBlAC0AZwByAG8AdQBuAGQAIABwAGEAcwB0AHUAcgBlACAAcgBlAHMAaQBkAHUAZQAgACgAawBnACAATgAvAGsAZwAgAEQATQApAFwAbgBSAF8AQgBHAHAAIAA9ACAAYgBlAGwAbwB3AC0AZwByAG8AdQBuAGQAIAByAGUAcwBpAGQAdQBlACAAdABvACAAYQBiAG8AdgBlAC0AZwByAG8AdQBuAGQAIAByAGUAcwBpAGQAdQBlACAAcgBhAHQAaQBvACAAZgBvAHIAIABwAGEAcwB0AHUAcgBlACAAYwByAG8AcAAgACgAZABpAG0AZQBuAHMAaQBvAG4AbABlAHMAcwApAFwAbgBOAEMAXwBCAEcAcAAgAD0AIABOACAAYwBvAG4AdABlAG4AdAAgAG8AZgAgAGIAZQBsAG8AdwAtAGcAcgBvAHUAbgBkACAAcABhAHMAdAB1AHIAZQAgAGMAcgBvAHAAIAByAGUAcwBpAGQAdQBlACAAKABrAGcAIABOAC8AawBnACAARABNACkAXABuAEYARgBPAEQAcAAgAD0AIABmAHIAYQBjAHQAaQBvAG4AIABvAGYAIABwAGEAcwB0AHUAcgBlACAAeQBpAGUAbABkACAAdABoAGEAdAAgAGkAcwAgAHIAZQBtAG8AdgBlAGQAIAAoAGQAaQBtAGUAbgBzAGkAbwBuAGwAZQBzAHMAKQBcAG4AcAAgAD0AIABQAGEAcwB0AHUAcgBlACAAdAB5AHAAZQBcAG4ALQAtAC0ALQAtAC0ALQAtAC0ALQAtAC0ALQAtAC0ALQAtAC0ALQAtAC0ALQAtAC0ALQAtAC0ALQAtAC0ALQAtAC0ALQAtAC0ALQAtAFwAbgAqAC8AXABuAFwAbgBWAEUARQBSAEcAXwA2AF8AMgBfADEAXwAxAF8AXwAyAF8AXwBNAGEAcwBzAE8AZgBOAGkAdAByAG8AZwBlAG4ASQBuAFAAYQBzAHQAdQByAGUAUgBlAHMAaQBkAHUAZQBzAFwAbgAgACAAPQBMAEEATQBCAEQAQQAoAFwAbgAgACAAIAAgAEEAXwBwACwAIABZAF8AcAAsACAARgBGAE8ARABfAHAALAAgAE4AQwBfAEEARwBwACwAIABSAF8AQgBHAHAALAAgAE4AQwBfAEIARwBwACwAXABuACAAIAAgACAAKABBAF8AcAAgACoAIAAoAFkAXwBwACAAKgAgADEAMABeACgALQAzACkAKQAgACoAIAAoADEAIAAtACAARgBGAE8ARABfAHAAKQAgACoAIABOAEMAXwBBAEcAcAApACAAKwAgACgAQQBfAHAAIAAqACAAKABZAF8AcAAgACoAIAAxADAAXgAoAC0AMwApACkAIAAqACAAUgBfAEIARwBwACAAKgAgAE4AQwBfAEIARwBwACkAXABuACAAIAApADsAXABuAFwAbgBWAEUARQBSAEcAXwA2AF8AMgBfADEAXwAxAF8AXwAyAF8AXwBNAGEAcwBzAE8AZgBOAGkAdAByAG8AZwBlAG4ASQBuAFAAYQBzAHQAdQByAGUAUgBlAHMAaQBkAHUAZQBzAF8AVABpAHQAbABlAFwAbgAgACAAPQBMAEEATQBCAEQAQQAoAFwAIgBNAGEAcwBzACAAbwBmACAAbgBpAHQAcgBvAGcAZQBuACAAaQBuACAAcABhAHMAdAB1AHIAZQAgAHIAZQBzAGkAZAB1AGUAcwAgAHIAZQB0AHUAcgBuAGUAZAAgAHQAbwAgAHQAaABlACAAcwBvAGkAbABcACIAKQA7AFwAbgBcAG4AVgBFAEUAUgBHAF8ANgBfADIAXwAxAF8AMQBfAF8AMgBfAF8ATQBhAHMAcwBPAGYATgBpAHQAcgBvAGcAZQBuAEkAbgBQAGEAcwB0AHUAcgBlAFIAZQBzAGkAZAB1AGUAcwBfAFYAYQByAGkAYQBiAGwAZQBcAG4AIAAgAD0ATABBAE0AQgBEAEEAKABcACIATQBwAFwAIgApADsAXABuAFwAbgBWAEUARQBSAEcAXwA2AF8AMgBfADEAXwAxAF8AXwAyAF8AXwBNAGEAcwBzAE8AZgBOAGkAdAByAG8AZwBlAG4ASQBuAFAAYQBzAHQAdQByAGUAUgBlAHMAaQBkAHUAZQBzAF8AVQBuAGkAdABcAG4AIAAgAD0ATABBAE0AQgBEAEEAKABcACIAawBnACAATgBcACIAKQA7AFwAbgBcAG4AVgBFAEUAUgBHAF8ANgBfADIAXwAxAF8AMQBfAF8AMgBfAF8ATQBhAHMAcwBPAGYATgBpAHQAcgBvAGcAZQBuAEkAbgBQAGEAcwB0AHUAcgBlAFIAZQBzAGkAZAB1AGUAcwBfAFMAbwB1AHIAYwBlAFwAbgAgACAAPQBMAEEATQBCAEQAQQAoAFwAIgBWAEUARQBSAEcAIAAyADAAMgA2ADoAIAA2AC4AMgAuADEALgAxACwAIABFAHEAdQBhAHQAaQBvAG4AIAAoADIAKQBcACIAKQA7AFwAbgBcAG4AVgBFAEUAUgBHAF8ANgBfADIAXwAxAF8AMQBfAF8AMgBfAF8ATQBhAHMAcwBPAGYATgBpAHQAcgBvAGcAZQBuAEkAbgBQAGEAcwB0AHUAcgBlAFIAZQBzAGkAZAB1AGUAcwBfAE4ASQBSAFIAZQBmAGUAcgBlAG4AYwBlAFwAbgAgACAAPQBMAEEATQBCAEQAQQAoAFwAIgBcACIAKQA7AFwAbgBcAG4AVgBFAEUAUgBHAF8ANgBfADIAXwAxAF8AMQBfAF8AMgBfAF8ATQBhAHMAcwBPAGYATgBpAHQAcgBvAGcAZQBuAEkAbgBQAGEAcwB0AHUAcgBlAFIAZQBzAGkAZAB1AGUAcwBfAEwAYQB0AGUAeABFAHEAdQBhAHQAaQBvAG4AXABuACAAIAA9AEwAQQBNAEIARABBACgAXAAiAE0AXwBwACAAPQAgACgAQQBfAHAAIABcAFwAdABpAG0AZQBzACA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AiACkAOwBcAG4AXABuAFYARQBFAFIARwBfADYAXwAyAF8AMQBfADEAXwBfADIAXwBfAE0AYQBzAHMATwBmAE4AaQB0AHIAbwBnAGUAbgBJAG4AUABhAHMAdAB1AHIAZQBSAGUAcwBpAGQAdQBlAHMAXwBBAHIAZwB1AG0AZQBuAHQAcw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DAG8AbgBzAHQAYQBu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WAEUARQBSAEcAXwA2AF8AMgBfADEAXwAxAF8AXwAyAF8AXwBNAGEAcwBzAE8AZgBOAGkAdAByAG8AZwBlAG4ASQBuAFAAYQBzAHQAdQByAGUAUgBlAHMAaQBkAHUAZQBzAF8AQQByAGcAdQBtAGUAbgB0AHMAXwBNAGUAdABoAG8AZAAy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kAbgBwAHU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wAbgBcAG4AIgB9ACwAewAiAHAAYQB0AGgAIgA6ACIALwBwAHIAbwBqAGUAYwB0AHMALwBBAGcAUgBlAHMAaQBkAHUAZQBfAEUAcQB1AGEAdABpAG8AbgBzAF8ATABlAGEAYwBoAGkAbgBnACIALAAiAHQAZQB4AHQAIgA6ACIALwAqACAAXABuAC0ALQAtAC0ALQAtAC0ALQAtAC0ALQAtAC0ALQAtAC0ALQAtAC0ALQAtAC0ALQAtAC0ALQAtAC0ALQAtAC0ALQAtAC0ALQAtAC0ALQBcAG4AVgBFAEUAUgBHAF8ANgBfADMAXwAxAF8AMQBfAF8AMQBfAF8ATABlAGEAYwBoAGkAbgBnAEEAbgBkAFIAdQBuAG8AZgBmAEUAbQBpAHMAcwBpAG8AbgBzAEMAcgBvAHAAQQBuAGQAUABhAHMAdAB1AHIAZQBSAGUAcwBpAGQAdQBlAFwAbgBOAGkAdAByAG8AdQBzACAAbwB4AGkAZABlACAAbABlAGEAYwBoAGkAbgBnACAAYQBuAGQAIAByAHUAbgBvAGYAZgAgAGUAbQBpAHMAcwBpAG8AbgBzACAAZgByAG8AbQAgAGMAcgBvAHAAIABhAG4AZAAgAHAAYQBzAHQAdQByAGUAIAByAGUAcwBpAGQAdQBlAHMAIAByAGUAdAB1AHIAbgBlAGQAIAB0AG8AIAB0AGgAZQAgAHMAbwBpAGwALAAgAGEAYwByAG8AcwBzACAAYQBsAGwAIABjAHIAbwBwACAAcgBlAHMAaQBkAHUAZQBzACAAYwAgAGEAbgBkACAAcABhAHMAdAB1AHIAZQAgAHIAZQBzAGkAZAB1AGUAcwAgAHAAXABuAEUATgAyAE8AXABuAHQAIABOADIATwBcAG4ARQBfAHsATgAyAE8AfQA9AFwAXABzAHUAbQBfAHsAYwB9AFwAXABzAHUAbQBfAHsAcAB9ACgATQBfAHsAbABlAGEAYwBoACwAYwBwAH0AXABcAHQAaQBtAGUAcwAgAEUARgBfAHsAbABlAGEAYwBoAH0AXABcAHQAaQBtAGUAcwAgAEMAXwB7AE4AMgBPAH0AXABcAHQAaQBtAGUAcwAgADEAMABeAHsALQAzAH0AKQBcAG4ATQBfAGwAZQBhAGMAaABjAHAAIAA9ACAAbQBhAHMAcwAgAG8AZgAgAG4AaQB0AHIAbwBnAGUAbgAgAGwAbwBzAHQAIAB0AGgAcgBvAHUAZwBoACAAbABlAGEAYwBoAGkAbgBnACAAYQBuAGQAIAByAHUAbgBvAGYAZgAgAGYAcgBvAG0AIAB0AGgAZQAgAGMAcgBvAHAAIAByAGUAcwBpAGQAdQBlACAAYwAgAG8AcgAgAHAAYQBzAHQAdQByAGUAIAByAGUAcwBpAGQAdQBlACAAcAAgACgAawBnACAATgApAFwAbgBFAEYAXwBsAGUAYQBjAGgAIAA9ACAAZQBtAGkAcwBzAGkAbwBuACAAZgBhAGMAdABvAHIAIABmAG8AcgAgAGwAZQBhAGMAaABpAG4AZwAgAGEAbgBkACAAcgB1AG4AbwBmAGY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GMAIAA9ACAAQwByAG8AcAAgAHIAZQBzAGkAZAB1AGUAIAB0AHkAcABlAFwAbgBwACAAPQAgAFAAYQBzAHQAdQByAGUAIAByAGUAcwBpAGQAdQBlACAAdAB5AHAAZQBcAG4ALQAtAC0ALQAtAC0ALQAtAC0ALQAtAC0ALQAtAC0ALQAtAC0ALQAtAC0ALQAtAC0ALQAtAC0ALQAtAC0ALQAtAC0ALQAtAC0ALQAtAFwAbgAqAC8AXABuAFwAbgBWAEUARQBSAEcAXwA2AF8AMwBfADEAXwAxAF8AXwAxAF8AXwBMAGUAYQBjAGgAaQBuAGcAQQBuAGQAUgB1AG4AbwBmAGYARQBtAGkAcwBzAGkAbwBuAHMAQwByAG8AcABBAG4AZABQAGEAcwB0AHUAcgBlAFIAZQBzAGkAZAB1AGUAXABuACAAIAA9AEwAQQBNAEIARABBACgAXABuACAAIAAgACAATQBfAGwAZQBhAGMAaABjAHAALAAgAEUARgBfAGwAZQBhAGMAaAAsACAAQwBfAE4AMgBPACwAXABuACAAIAAgACAAKABNAF8AbABlAGEAYwBoAGMAcAAgACoAIABFAEYAXwBsAGUAYQBjAGgAKQAgACoAIABDAF8ATgAyAE8AIAAqACAAMQAwAF4AKAAtADMAKQBcAG4AIAAgACkAXABuADsAXABuAFwAbgBWAEUARQBSAEcAXwA2AF8AMwBfADEAXwAxAF8AXwAxAF8AXwBMAGUAYQBjAGgAaQBuAGcAQQBuAGQAUgB1AG4AbwBmAGYARQBtAGkAcwBzAGkAbwBuAHMAQwByAG8AcABBAG4AZABQAGEAcwB0AHUAcgBlAFIAZQBzAGkAZAB1AGUAXwBUAGkAdABsAGUAXABuACAAIAA9AEwAQQBNAEIARABBACgAXAAiAE4AaQB0AHIAbwB1AHMAIABvAHgAaQBkAGUAIABsAGUAYQBjAGgAaQBuAGcAIABhAG4AZAAgAHIAdQBuAG8AZgBmACAAZQBtAGkAcwBzAGkAbwBuAHMAIABmAHIAbwBtACAAYwByAG8AcAAgAGEAbgBkACAAcABhAHMAdAB1AHIAZQAgAHIAZQBzAGkAZAB1AGUAcwAgAHIAZQB0AHUAcgBuAGUAZAAgAHQAbwAgAHQAaABlACAAcwBvAGkAbABcACIAKQA7AFwAbgBcAG4AVgBFAEUAUgBHAF8ANgBfADMAXwAxAF8AMQBfAF8AMQBfAF8ATABlAGEAYwBoAGkAbgBnAEEAbgBkAFIAdQBuAG8AZgBmAEUAbQBpAHMAcwBpAG8AbgBzAEMAcgBvAHAAQQBuAGQAUABhAHMAdAB1AHIAZQBSAGUAcwBpAGQAdQBlAF8AVgBhAHIAaQBhAGIAbABlAFwAbgAgACAAPQBMAEEATQBCAEQAQQAoAFwAIgBFAE4AMgBPAFwAIgApADsAXABuAFwAbgBWAEUARQBSAEcAXwA2AF8AMwBfADEAXwAxAF8AXwAxAF8AXwBMAGUAYQBjAGgAaQBuAGcAQQBuAGQAUgB1AG4AbwBmAGYARQBtAGkAcwBzAGkAbwBuAHMAQwByAG8AcABBAG4AZABQAGEAcwB0AHUAcgBlAFIAZQBzAGkAZAB1AGUAXwBVAG4AaQB0AFwAbgAgACAAPQBMAEEATQBCAEQAQQAoAFwAIgB0ACAATgAyAE8AXAAiACkAOwBcAG4AXABuAFYARQBFAFIARwBfADYAXwAzAF8AMQBfADEAXwBfADEAXwBfAEwAZQBhAGMAaABpAG4AZwBBAG4AZABSAHUAbgBvAGYAZgBFAG0AaQBzAHMAaQBvAG4AcwBDAHIAbwBwAEEAbgBkAFAAYQBzAHQAdQByAGUAUgBlAHMAaQBkAHUAZQBfAFMAbwB1AHIAYwBlAFwAbgAgACAAPQBMAEEATQBCAEQAQQAoAFwAIgBWAEUARQBSAEcAIAAyADAAMgA2ADoAIAA2AC4AMwAuADEALgAxACwAIABFAHEAdQBhAHQAaQBvAG4AIAAoADEAKQBcACIAKQA7AFwAbgBcAG4AVgBFAEUAUgBHAF8ANgBfADMAXwAxAF8AMQBfAF8AMQBfAF8ATABlAGEAYwBoAGkAbgBnAEEAbgBkAFIAdQBuAG8AZgBmAEUAbQBpAHMAcwBpAG8AbgBzAEMAcgBvAHAAQQBuAGQAUABhAHMAdAB1AHIAZQBSAGUAcwBpAGQAdQBlAF8ATgBJAFIAUgBlAGYAZQByAGUAbgBjAGUAXABuACAAIAA9AEwAQQBNAEIARABBACgAXAAiAFwAIgApADsAXABuAFwAbgBWAEUARQBSAEcAXwA2AF8AMwBfADEAXwAxAF8AXwAxAF8AXwBMAGUAYQBjAGgAaQBuAGcAQQBuAGQAUgB1AG4AbwBmAGYARQBtAGkAcwBzAGkAbwBuAHMAQwByAG8AcABBAG4AZABQAGEAcwB0AHUAcgBlAFIAZQBzAGkAZAB1AGUAXwBMAGEAdABlAHgARQBxAHUAYQB0AGkAbwBuAFwAbgAgACAAPQBMAEEATQBCAEQAQQAoAFwAIgBFAF8AewBOADIATwB9AD0AXABcAHMAdQBtAFwAXABuAG8AbABpAG0AaQB0AHMAXwBjAFwAXABzAHUAbQBcAFwAbgBvAGwAaQBtAGkAdABzAF8AcAAoAE0AXwB7AGwAZQBhAGMAaAAsAGMAcAB9AFwAXAB0AGkAbQBlAHMAIABFAEYAXwB7AGwAZQBhAGMAaAB9AFwAXAB0AGkAbQBlAHMAIABDAF8AewBOADIATwB9AFwAXAB0AGkAbQBlAHMAIAAxADAAXgB7AC0AMwB9ACkAXAAiACkAOwBcAG4AXABuAFYARQBFAFIARwBfADYAXwAzAF8AMQBfADEAXwBfADEAXwBfAEwAZQBhAGMAaABpAG4AZwBBAG4AZABSAHUAbgBvAGYAZgBFAG0AaQBzAHMAaQBvAG4AcwBDAHIAbwBwAEEAbgBkAFAAYQBzAHQAdQByAGUAUgBlAHMAaQBkAHUAZQBfAEEAcgBnAHUAbQBlAG4AdABzAFwAbgAgACAAPQBMAEEATQBCAEQAQQAoAFwAbgAgACAAIAAgAE0AQQBLAEUAQQBSAFIAQQBZACgANQAsACAANAAsACAAXABuACAAIAAgACAAIAAgAEwAQQBNAEIARABBACgAcgAsAGMALAAgAFwAbgAgACAAIAAgACAAIAAgACAASQBOAEQARQBYACgAewBcAG4AIAAgACAAIAAgACAAIAAgACAAIABcACIATQBfAGwAZQBhAGMAaABjAHAAXAAiACwAXAAiAG0AYQBzAHMAIABvAGYAIABuAGkAdAByAG8AZwBlAG4AIABsAG8AcwB0ACAAdABoAHIAbwB1AGcAaAAgAGwAZQBhAGMAaABpAG4AZwAgAGEAbgBkACAAcgB1AG4AbwBmAGYAIABmAHIAbwBtACAAdABoAGUAIABjAHIAbwBwACAAcgBlAHMAaQBkAHUAZQAgAGMAIABvAHIAIABwAGEAcwB0AHUAcgBlACAAcgBlAHMAaQBkAHUAZQAgAHAAXAAiACwAIABcACIAawBnACAATgBcACIALAAgAFwAIgBDAGEAbABjAHUAbABhAHQAZQBkACAAZgByAG8AbQAgADYALgAzAC4AMQAuADE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MAXwAxAF8AMQBfAF8AMgBfAF8ATQBhAHMAcwBPAGYATgBpAHQAcgBvAGcAZQBuAEwAbwBzAHQAVABoAHIAbwB1AGcAaABMAGUAYQBjAGgAaQBuAGcAQQBuAGQAUgB1AG4AbwBmAGYAXABuAE0AYQBzAHMAIABvAGYAIABuAGkAdAByAG8AZwBlAG4AIABsAG8AcwB0ACAAdABoAHIAbwB1AGcAaAAgAGwAZQBhAGMAaABpAG4AZwAgAGEAbgBkACAAcgB1AG4AbwBmAGYAXABuAE0AXwBsAGUAYQBjAGgAYwBwAFwAbgBrAGcAIABOAFwAbgBNAF8AewBsAGUAYQBjAGgALABjAHAAfQA9AE0AXwB7AGMAcAB9AFwAXAB0AGkAbQBlAHMAIABGAHIAYQBjAFcARQBUAF8AewBqAH0AXABcAHQAaQBtAGUAcwAgAEYAcgBhAGMATABFAEEAQwBIAFwAbgBNAF8AYwBwACAAPQAgAG0AYQBzAHMAIABvAGYAIABuAGkAdAByAG8AZwBlAG4AIABpAG4AIABjAHIAbwBwACAAcgBlAHMAaQBkAHUAZQBzACAAYwAgAG8AcgAgAHAAYQBzAHQAdQByAGUAIAByAGUAcwBpAGQAdQBlAHMAIABwACAAYQBwAHAAbABpAGUAZAAgAHQAbwAgAHMAbwBpAGwAcwAgACgAawBnACAATgApAFwAbgBGAHIAYQBjAFcARQBUAGoAIAA9ACAAZgByAGEAYwB0AGkAbwBuACAAbwBmACAATgAgAHQAaABhAHQAIABpAHMAIABhAHYAYQBpAGwAYQBiAGwAZQAgAGYAbwByACAAbABlAGEAYwBoAGkAbgBnACAAYQBuAGQAIAByAHUAbgBvAGYAZgAgAGYAcgBvAG0AIABwAHIAbwBkAHUAYwB0AGkAbwBuACAAcwB5AHMAdABlAG0AIABqACAAKABkAGkAbQBlAG4AcwBpAG8AbgBsAGUAcwBzACkAXABuAEYAcgBhAGMATABFAEEAQwBIACAAPQAgAGYAcgBhAGMAdABpAG8AbgAgAG8AZgAgAE4AIAB0AGgAYQB0ACAAaQBzACAAbABvAHMAdAAgAHQAaAByAG8AdQBnAGgAIABsAGUAYQBjAGgAaQBuAGcAIABhAG4AZAAgAHIAdQBuAG8AZgBmACAAKABkAGkAbQBlAG4AcwBpAG8AbgBsAGUAcwBzACkAXABuAGMAIAA9ACAAQwByAG8AcAAgAHIAZQBzAGkAZAB1AGUAIAB0AHkAcABlAFwAbgBwACAAPQAgAFAAYQBzAHQAdQByAGUAIAByAGUAcwBpAGQAdQBlACAAdAB5AHAAZQBcAG4AaQByACAAPQAgAGkAcgByAGkAZwBhAHQAaQBvAG4AIAB0AHkAcABlAFwAbgAtAC0ALQAtAC0ALQAtAC0ALQAtAC0ALQAtAC0ALQAtAC0ALQAtAC0ALQAtAC0ALQAtAC0ALQAtAC0ALQAtAC0ALQAtAC0ALQAtAC0AXABuACoALwBcAG4AXABuAFYARQBFAFIARwBfADYAXwAzAF8AMQBfADEAXwBfADIAXwBfAE0AYQBzAHMATwBmAE4AaQB0AHIAbwBnAGUAbgBMAG8AcwB0AFQAaAByAG8AdQBnAGgATABlAGEAYwBoAGkAbgBnAEEAbgBkAFIAdQBuAG8AZgBmAFwAbgAgACAAPQBMAEEATQBCAEQAQQAoAFwAbgAgACAAIAAgAE0AXwBjAHAALAAgAEYAcgBhAGMAVwBFAFQAXwBqACwAIABGAHIAYQBjAEwARQBBAEMASAAsAFwAbgAgACAAIAAgAE0AXwBjAHAAIAAqACAARgByAGEAYwBXAEUAVABfAGoAIAAqACAARgByAGEAYwBMAEUAQQBDAEgAXABuACAAIAApAFwAbgA7AFwAbgBcAG4AVgBFAEUAUgBHAF8ANgBfADMAXwAxAF8AMQBfAF8AMgBfAF8ATQBhAHMAcwBPAGYATgBpAHQAcgBvAGcAZQBuAEwAbwBzAHQAVABoAHIAbwB1AGcAaABMAGUAYQBjAGgAaQBuAGcAQQBuAGQAUgB1AG4AbwBmAGYAXwBUAGkAdABsAGUAXABuACAAIAA9AEwAQQBNAEIARABBACgAXAAiAE0AYQBzAHMAIABvAGYAIABuAGkAdAByAG8AZwBlAG4AIABsAG8AcwB0ACAAdABoAHIAbwB1AGcAaAAgAGwAZQBhAGMAaABpAG4AZwAgAGEAbgBkACAAcgB1AG4AbwBmAGYAXAAiACkAOwBcAG4AXABuAFYARQBFAFIARwBfADYAXwAzAF8AMQBfADEAXwBfADIAXwBfAE0AYQBzAHMATwBmAE4AaQB0AHIAbwBnAGUAbgBMAG8AcwB0AFQAaAByAG8AdQBnAGgATABlAGEAYwBoAGkAbgBnAEEAbgBkAFIAdQBuAG8AZgBmAF8AVgBhAHIAaQBhAGIAbABlAFwAbgAgACAAPQBMAEEATQBCAEQAQQAoAFwAIgBNAF8AbABlAGEAYwBoAGMAcABcACIAKQA7AFwAbgBcAG4AVgBFAEUAUgBHAF8ANgBfADMAXwAxAF8AMQBfAF8AMgBfAF8ATQBhAHMAcwBPAGYATgBpAHQAcgBvAGcAZQBuAEwAbwBzAHQAVABoAHIAbwB1AGcAaABMAGUAYQBjAGgAaQBuAGcAQQBuAGQAUgB1AG4AbwBmAGYAXwBVAG4AaQB0AFwAbgAgACAAPQBMAEEATQBCAEQAQQAoAFwAIgBrAGcAIABOAFwAIgApADsAXABuAFwAbgBWAEUARQBSAEcAXwA2AF8AMwBfADEAXwAxAF8AXwAyAF8AXwBNAGEAcwBzAE8AZgBOAGkAdAByAG8AZwBlAG4ATABvAHMAdABUAGgAcgBvAHUAZwBoAEwAZQBhAGMAaABpAG4AZwBBAG4AZABSAHUAbgBvAGYAZgBfAFMAbwB1AHIAYwBlAFwAbgAgACAAPQBMAEEATQBCAEQAQQAoAFwAIgBWAEUARQBSAEcAIAAyADAAMgA2ADoAIAA2AC4AMwAuADEALgAxACwAIABFAHEAdQBhAHQAaQBvAG4AIAAoADIAKQBcACIAKQA7AFwAbgBcAG4AVgBFAEUAUgBHAF8ANgBfADMAXwAxAF8AMQBfAF8AMgBfAF8ATQBhAHMAcwBPAGYATgBpAHQAcgBvAGcAZQBuAEwAbwBzAHQAVABoAHIAbwB1AGcAaABMAGUAYQBjAGgAaQBuAGcAQQBuAGQAUgB1AG4AbwBmAGYAXwBOAEkAUgBSAGUAZgBlAHIAZQBuAGMAZQBcAG4AIAAgAD0ATABBAE0AQgBEAEEAKABcACIAXAAiACkAOwBcAG4AXABuAFYARQBFAFIARwBfADYAXwAzAF8AMQBfADEAXwBfADIAXwBfAE0AYQBzAHMATwBmAE4AaQB0AHIAbwBnAGUAbgBMAG8AcwB0AFQAaAByAG8AdQBnAGgATABlAGEAYwBoAGkAbgBnAEEAbgBkAFIAdQBuAG8AZgBmAF8ATABhAHQAZQB4AEUAcQB1AGEAdABpAG8AbgBcAG4AIAAgAD0ATABBAE0AQgBEAEEAKABcACIATQBfAHsAbABlAGEAYwBoACwAYwBwAH0APQBNAF8AewBjAHAAfQBcAFwAdABpAG0AZQBzACAARgByAGEAYwBXAEUAVABfAHsAagB9AFwAXAB0AGkAbQBlAHMAIABGAHIAYQBjAEwARQBBAEMASABcACIAKQA7AFwAbgBcAG4AVgBFAEUAUgBHAF8ANgBfADMAXwAxAF8AMQBfAF8AMgBfAF8ATQBhAHMAcwBPAGYATgBpAHQAcgBvAGcAZQBuAEwAbwBzAHQAVABoAHIAbwB1AGcAaABMAGUAYQBjAGgAaQBuAGcAQQBuAGQAUgB1AG4AbwBmAGYAXwBBAHIAZwB1AG0AZQBuAHQAcwBcAG4AIAAgAD0ATABBAE0AQgBEAEEAKABcAG4AIAAgACAAIABNAEEASwBFAEEAUgBSAEEAWQAoADcALAAgADQALAAgAFwAbgAgACAAIAAgACAAIABMAEEATQBCAEQAQQAoAHIALABjACwAIABcAG4AIAAgACAAIAAgACAAIAAgAEkATgBEAEUAWAAoAHsAXABuACAAIAAgACAAIAAgACAAIAAgACAAXAAiAE0AXwBjAHAAXAAiACwAXAAiAG0AYQBzAHMAIABvAGYAIABuAGkAdAByAG8AZwBlAG4AIABpAG4AIABjAHIAbwBwACAAcgBlAHMAaQBkAHUAZQBzACAAYwAgAG8AcgAgAHAAYQBzAHQAdQByAGUAIAByAGUAcwBpAGQAdQBlAHMAIABwACAAYQBwAHAAbABpAGUAZAAgAHQAbwAgAHMAbwBpAGwAcwBcACIALAAgAFwAIgBrAGcAIABOAFwAIgAsACAAXAAiAEMAYQBsAGMAIABmAHIAbwBtACAANgAuADEALgAxAC4AMQAgACgAMgApACAAYQBuAGQAIAA2AC4AMgAuADEALgAxACAAKAAyACkAXAAiADsAXABuACAAIAAgACAAIAAgACAAIAAgACAAXAAiAEYAcgBhAGMAVwBFAFQAXwBqAFwAIgAs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EwAbwBjAGEAdABpAG8AbgAgAGkAbgAgAGwAZQBhAGMAaABpAG4AZwAgAHoAbwBuAGUAXAAiACwAIABcACIAXAAiACwAIABcACIASQBuAHAAdQ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A7AFwAbgAgACAAIAAgACAAIAAgACAAIAAgAFwAIgBpAHIAXAAiACwAIABcACIASQByAHIAaQBnAGEAdABpAG8AbgAgAHQAeQBwAGUAXAAiACwAIABcACIAXAAiACwAIABcACIASQBuAHAAdQB0AFwAIgBcAG4AIAAgACAAIAAgACAAIAAgAH0ALAAgAHIALAAgAGMAKQBcAG4AIAAgACAAIAAgACAAKQBcAG4AIAAgACAAIAApAFwAbgAgACAAKQA7AFwAbgBcAG4AIAAgAFYARQBFAFIARwBfADYAXwAzAF8AMQBfADEAXwBfADIAXwBfAE0AYQBzAHMATwBmAE4AaQB0AHIAbwBnAGUAbgBMAG8AcwB0AFQAaAByAG8AdQBnAGgATABlAGEAYwBoAGkAbgBnAEEAbgBkAFIAdQBuAG8AZgBmAF8AVgBhAHIAaQBhAHQAaQBvAG4AXABuACAAIAA9AEwAQQBNAEIARABBACgAXAAiAFwAIgApADsAXABuAFwAbgBcAG4AXABuACIAfQAsAHsAIgBwAGEAdABoACIAOgAiAC8AcAByAG8AagBlAGMAdABzAC8AQQBnAFIAZQBzAGkAZAB1AGUAXwBFAHEAdQBhAHQAaQBvAG4AcwBfAEYAaQBlAGwAZABCAHUAcgBuAGkAbgBnACIALAAiAHQAZQB4AHQAIgA6ACIALwAqACAAXABuAC0ALQAtAC0ALQAtAC0ALQAtAC0ALQAtAC0ALQAtAC0ALQAtAC0ALQAtAC0ALQAtAC0ALQAtAC0ALQAtAC0ALQAtAC0ALQAtAC0ALQBcAG4AVgBFAEUAUgBHAF8ANgBfADQAXwAxAF8AMQBfAF8AMQBfAF8ATQBlAHQAaABhAG4AZQBFAG0AaQBzAHMAaQBvAG4AcwBGAHIAbwBtAEIAdQByAG4AaQBuAGcATwBmAEMAcgBvAHAAUgBlAHMAaQBkAHUAZQBzAFwAbgBNAGUAdABoAGEAbgBlACAAZQBtAGkAcwBzAGkAbwBuAHMAIABmAHIAbwBtACAAdABoAGUAIABiAHUAcgBuAGkAbgBnACAAbwBmACAAYwByAG8AcAAgAHIAZQBzAGkAZAB1AGUAcwBcAG4ARQBDAEgANABcAG4AdAAgAEMASAA0AFwAbgBFAF8AewBDAEgANAB9AD0AXABuAFwAXABzAHUAbQBfAHsAYwB9ACgATQBfAHsAYgB1AHIAbgAsAGMAfQBcAFwAdABpAG0AZQBzACAAQwBDAF8AewBjAH0AXABcAHQAaQBtAGUAcwAgAEUARgBfAHsAQwBIADQAfQBcAFwAdABpAG0AZQBzACAAQwBfAHsAQwBIADQAfQBcAFwAdABpAG0AZQBzACAAMQAwAF4AewAtADMAfQApAFwAbgBNAF8AYgB1AHIAbgBjACAAPQAgAG0AYQBzAHMAIABvAGYAIAByAGUAcwBpAGQAdQBlACAAYgB1AHIAbgB0ACAAZgBvAHIAIABjAHIAbwBwACAAdAB5AHAAZQAgAGMAIAAoAGsAZwApAFwAbgBDAEMAXwBjACAAPQAgAGMAYQByAGIAbwBuACAAbQBhAHMAcwAgAGYAcgBhAGMAdABpAG8AbgAgAGkAbgAgAHQAaABlACAAcgBlAHMAaQBkAHUAZQBzACAAbwBmACAAYwByAG8AcAAgAHQAeQBwAGUAIABjACAAKABkAGkAbQBlAG4AcwBpAG8AbgBsAGUAcwBzACkAXABuAEUARgBfAEMASAA0ACAAPQAgAGUAbQBpAHMAcwBpAG8AbgAgAGYAYQBjAHQAbwByACAAZgBvAHIAIABtAGUAdABoAGEAbgBlACAAZgByAG8AbQAgAGIAdQByAG4AaQBuAGcAIABvAGYAIABjAHIAbwBwACAAcgBlAHMAaQBkAHUAZQBzACAAKABrAGcAIABDAEgANAAvAGsAZwAgAEMASAA0ACAAYgB1AHIAbgB0ACkAXABuAEMAQwBIADQAIAA9ACAAZgBhAGMAdABvAHIAIAB0AG8AIABjAG8AbgB2AGUAcgB0ACAAZQBsAGUAbQBlAG4AdABhAGwAIABtAGEAcwBzACAAbwBmACAAbQBlAHQAaABhAG4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EAXwBfAE0AZQB0AGgAYQBuAGUARQBtAGkAcwBzAGkAbwBuAHMARgByAG8AbQBCAHUAcgBuAGkAbgBnAE8AZgBDAHIAbwBwAFIAZQBzAGkAZAB1AGUAcwBcAG4AIAAgAD0ATABBAE0AQgBEAEEAKABcAG4AIAAgACAAIABNAF8AYgB1AHIAbgBjACwAIABDAEMAXwBjACwAIABFAEYAXwBDAEgANAAsACAAQwBfAEMASAA0ACwAXABuACAAIAAgACAAKABNAF8AYgB1AHIAbgBjACAAKgAgAEMAQwBfAGMAKQAgACoAIABFAEYAXwBDAEgANAAgACoAIABDAF8AQwBIADQAIAAqACAAMQAwAF4AKAAtADMAKQBcAG4AIAAgACkAOwBcAG4AXABuAFYARQBFAFIARwBfADYAXwA0AF8AMQBfADEAXwBfADEAXwBfAE0AZQB0AGgAYQBuAGUARQBtAGkAcwBzAGkAbwBuAHMARgByAG8AbQBCAHUAcgBuAGkAbgBnAE8AZgBDAHIAbwBwAFIAZQBzAGkAZAB1AGUAcwBfAEYAdQBuAGMAdABpAG8AbgBOAGEAbQBlAFwAbgAgACAAPQBMAEEATQBCAEQAQQAoAFwAIgBWAEUARQBSAEcAXwA2AF8ANABfADEAXwAxAF8AXwAxAF8AXwBNAGUAdABoAGEAbgBlAEUAbQBpAHMAcwBpAG8AbgBzAEYAcgBvAG0AQgB1AHIAbgBpAG4AZwBPAGYAQwByAG8AcABSAGUAcwBpAGQAdQBlAHMAXAAiACkAOwBcAG4AXABuAFYARQBFAFIARwBfADYAXwA0AF8AMQBfADEAXwBfADEAXwBfAE0AZQB0AGgAYQBuAGUARQBtAGkAcwBzAGkAbwBuAHMARgByAG8AbQBCAHUAcgBuAGkAbgBnAE8AZgBDAHIAbwBwAFIAZQBzAGkAZAB1AGUAcwBfAFQAaQB0AGwAZQBcAG4AIAAgAD0ATABBAE0AQgBEAEEAKABcACIATQBlAHQAaABhAG4AZQAgAGUAbQBpAHMAcwBpAG8AbgBzACAAZgByAG8AbQAgAHQAaABlACAAYgB1AHIAbgBpAG4AZwAgAG8AZgAgAGMAcgBvAHAAIAByAGUAcwBpAGQAdQBlAHMAXAAiACkAOwBcAG4AXABuAFYARQBFAFIARwBfADYAXwA0AF8AMQBfADEAXwBfADEAXwBfAE0AZQB0AGgAYQBuAGUARQBtAGkAcwBzAGkAbwBuAHMARgByAG8AbQBCAHUAcgBuAGkAbgBnAE8AZgBDAHIAbwBwAFIAZQBzAGkAZAB1AGUAcwBfAFYAYQByAGkAYQBiAGwAZQBcAG4AIAAgAD0ATABBAE0AQgBEAEEAKABcACIARQBDAEgANABcACIAKQA7AFwAbgBcAG4AVgBFAEUAUgBHAF8ANgBfADQAXwAxAF8AMQBfAF8AMQBfAF8ATQBlAHQAaABhAG4AZQBFAG0AaQBzAHMAaQBvAG4AcwBGAHIAbwBtAEIAdQByAG4AaQBuAGcATwBmAEMAcgBvAHAAUgBlAHMAaQBkAHUAZQBzAF8AVQBuAGkAdABcAG4AIAAgAD0ATABBAE0AQgBEAEEAKABcACIAdAAgAEMASAA0AFwAIgApADsAXABuAFwAbgBWAEUARQBSAEcAXwA2AF8ANABfADEAXwAxAF8AXwAxAF8AXwBNAGUAdABoAGEAbgBlAEUAbQBpAHMAcwBpAG8AbgBzAEYAcgBvAG0AQgB1AHIAbgBpAG4AZwBPAGYAQwByAG8AcABSAGUAcwBpAGQAdQBlAHMAXwBTAG8AdQByAGMAZQBcAG4AIAAgAD0ATABBAE0AQgBEAEEAKABcACIAVgBFAEUAUgBHACAAMgAwADIANgA6ACAANgAuADQALgAxAC4AMQAsACAARQBxAHUAYQB0AGkAbwBuACAAKAAxACkAXAAiACkAOwBcAG4AXABuAFYARQBFAFIARwBfADYAXwA0AF8AMQBfADEAXwBfADEAXwBfAE0AZQB0AGgAYQBuAGUARQBtAGkAcwBzAGkAbwBuAHMARgByAG8AbQBCAHUAcgBuAGkAbgBnAE8AZgBDAHIAbwBwAFIAZQBzAGkAZAB1AGUAcwBfAE4ASQBSAFIAZQBmAGUAcgBlAG4AYwBlAFwAbgAgACAAPQBMAEEATQBCAEQAQQAoAFwAIgBcACIAKQA7AFwAbgBcAG4AVgBFAEUAUgBHAF8ANgBfADQAXwAxAF8AMQBfAF8AMQBfAF8ATQBlAHQAaABhAG4AZQBFAG0AaQBzAHMAaQBvAG4AcwBGAHIAbwBtAEIAdQByAG4AaQBuAGcATwBmAEMAcgBvAHAAUgBlAHMAaQBkAHUAZQBzAF8ATABhAHQAZQB4AEUAcQB1AGEAdABpAG8AbgBcAG4AIAAgAD0ATABBAE0AQgBEAEEAKABcACIARQBfAHsAQwBIADQAfQA9AFwAXABzAHUAbQBcAFwAbgBvAGwAaQBtAGkAdABzAF8AYwAoAE0AXwB7AGIAdQByAG4ALABjAH0AXABcAHQAaQBtAGUAcwAgAEMAQwBfAHsAYwB9ACkAXABcAHQAaQBtAGUAcwAgAEUARgBfAHsAQwBIADQAfQBcAFwAdABpAG0AZQBzACAAQwBfAHsAQwBIADQAfQBcAFwAdABpAG0AZQBzACAAMQAwAF4AewAtADMAfQBcACIAKQA7AFwAbgBcAG4AVgBFAEUAUgBHAF8ANgBfADQAXwAxAF8AMQBfAF8AMQBfAF8ATQBlAHQAaABhAG4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DAEMAXwBjAFwAIgAsAFwAIgBjAGEAcgBiAG8AbgAgAG0AYQBzAHMAIABmAHIAYQBjAHQAaQBvAG4AIABpAG4AIAB0AGgAZQAgAHIAZQBzAGkAZAB1AGUAcwAgAG8AZgAgAGMAcgBvAHAAIAB0AHkAcABlACAAYwBcACIALAAgAFwAIgBmAHIAYQBjAHQAaQBvAG4AXAAiACwAIABcACIAQwBvAG4AcwB0AGEAbgB0AFwAIgA7AFwAbgAgACAAIAAgACAAIAAgACAAIAAgAFwAIgBFAEYAXwBDAEgANABcACIALABcACIAZQBtAGkAcwBzAGkAbwBuACAAZgBhAGMAdABvAHIAIABmAG8AcgAgAG0AZQB0AGgAYQBuAGUAIABmAHIAbwBtACAAYgB1AHIAbgBpAG4AZwAgAG8AZgAgAGMAcgBvAHAAIAByAGUAcwBpAGQAdQBlAHMAXAAiACwAIABcACIAawBnACAAQwBIADQAIAAvACAAawBnACAAQwBIADQAIABiAHUAcgBuAHQAXAAiACwAIABcACIAQwBvAG4AcwB0AGEAbgB0AFwAIgA7AFwAbgAgACAAIAAgACAAIAAgACAAIAAgAFwAIgBDAF8AQwBIADQAXAAiACwAXAAiAGYAYQBjAHQAbwByACAAdABvACAAYwBvAG4AdgBlAHIAdAAgAGUAbABlAG0AZQBuAHQAYQBsACAAbQBhAHMAcwAgAG8AZgAgAG0AZQB0AGgAYQBu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IAXwBfAE4AaQB0AHIAbwB1AHMATwB4AGkAZABlAEUAbQBpAHMAcwBpAG8AbgBzAEYAcgBvAG0AQgB1AHIAbgBpAG4AZwBPAGYAQwByAG8AcABSAGUAcwBpAGQAdQBlAHMAXABuAE4AaQB0AHIAbwB1AHMAIABvAHgAaQBkAGUAIABlAG0AaQBzAHMAaQBvAG4AcwAgAGYAcgBvAG0AIAB0AGgAZQAgAGIAdQByAG4AaQBuAGcAIABvAGYAIABjAHIAbwBwACAAcgBlAHMAaQBkAHUAZQBzAFwAbgBFAE4AMgBPAFwAbgB0ACAATgAyAE8AXABuAEUAXwB7AE4AMgBPAH0APQBcAFwAcwB1AG0AXwB7AGMAfQAoAE0AXwB7AGIAdQByAG4ALABjAH0AXABcAHQAaQBtAGUAcwAgAE4AQwBfAHsAQQBHAGMAfQBcAFwAdABpAG0AZQBzACAARQBGAF8AewBOADIATwB9AFwAXAB0AGkAbQBlAHMAIABDAF8AewBOADIATwB9AFwAXAB0AGkAbQBlAHMAIAAxADAAXgB7AC0AMwB9ACkAXABuAE0AXwBiAHUAcgBuAGMAIAA9ACAAbQBhAHMAcwAgAG8AZgAgAHIAZQBzAGkAZAB1AGUAIABiAHUAcgBuAHQAIABmAG8AcgAgAGMAcgBvAHAAIAB0AHkAcABlACAAYwAgACgAawBnACkAXABuAE4AQwBfAEEARwBjACAAPQAgAG4AaQB0AHIAbwBnAGUAbgAgAGMAbwBuAHQAZQBuAHQAIABpAG4AIAB0AGgAZQAgAGEAYgBvAHYAZQAtAGcAcgBvAHUAbgBkACAAcgBlAHMAaQBkAHUAZQAgAG8AZgAgAGMAcgBvAHAAIAB0AHkAcABlACAAYwAgACgAawBnACAATgAvAGsAZwAgAEQATQApAFwAbgBFAEYAXwBOADIATwAgAD0AIABlAG0AaQBzAHMAaQBvAG4AIABmAGEAYwB0AG8AcgAgAGYAbwByACAAbgBpAHQAcgBvAHUAcwAgAG8AeABpAGQAZQAgAGYAcgBvAG0AIABiAHUAcgBuAGkAbgBnACAAbwBmACAAYwByAG8AcAAgAHIAZQBzAGkAZAB1AGUAcwAgACgAawBnACAATgAyAE8ALwBrAGcAIABOADIATwAgAGIAdQByAG4AdAApAFwAbgBDAF8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IAXwBfAE4AaQB0AHIAbwB1AHMATwB4AGkAZABlAEUAbQBpAHMAcwBpAG8AbgBzAEYAcgBvAG0AQgB1AHIAbgBpAG4AZwBPAGYAQwByAG8AcABSAGUAcwBpAGQAdQBlAHMAXABuACAAIAA9AEwAQQBNAEIARABBACgAXABuACAAIAAgACAATQBfAGIAdQByAG4AYwAsACAATgBDAF8AQQBHAGMALAAgAEUARgBfAE4AMgBPACwAIABDAF8ATgAyAE8ALABcAG4AIAAgACAAIAAoAE0AXwBiAHUAcgBuAGMAIAAqACAATgBDAF8AQQBHAGMAKQAgACoAIABFAEYAXwBOADIATwAgACoAIABDAF8ATgAyAE8AIAAqACAAMQAwAF4AKAAtADMAKQBcAG4AIAAgACkAOwBcAG4AXABuAFYARQBFAFIARwBfADYAXwA0AF8AMQBfADEAXwBfADIAXwBfAE4AaQB0AHIAbwB1AHMATwB4AGkAZABlAEUAbQBpAHMAcwBpAG8AbgBzAEYAcgBvAG0AQgB1AHIAbgBpAG4AZwBPAGYAQwByAG8AcABSAGUAcwBpAGQAdQBlAHMAXwBGAHUAbgBjAHQAaQBvAG4ATgBhAG0AZQBcAG4AIAAgAD0ATABBAE0AQgBEAEEAKABcACIAVgBFAEUAUgBHAF8ANgBfADQAXwAxAF8AMQBfAF8AMgBfAF8ATgBpAHQAcgBvAHUAcwBPAHgAaQBkAGUARQBtAGkAcwBzAGkAbwBuAHMARgByAG8AbQBCAHUAcgBuAGkAbgBnAE8AZgBDAHIAbwBwAFIAZQBzAGkAZAB1AGUAcwBcACIAKQA7AFwAbgBcAG4AVgBFAEUAUgBHAF8ANgBfADQAXwAxAF8AMQBfAF8AMgBfAF8ATgBpAHQAcgBvAHUAcwBPAHgAaQBkAGUARQBtAGkAcwBzAGkAbwBuAHMARgByAG8AbQBCAHUAcgBuAGkAbgBnAE8AZgBDAHIAbwBwAFIAZQBzAGkAZAB1AGUAcwBfAFQAaQB0AGwAZQBcAG4AIAAgAD0ATABBAE0AQgBEAEEAKABcACIATgBpAHQAcgBvAHUAcwAgAG8AeABpAGQAZQAgAGUAbQBpAHMAcwBpAG8AbgBzACAAZgByAG8AbQAgAHQAaABlACAAYgB1AHIAbgBpAG4AZwAgAG8AZgAgAGMAcgBvAHAAIAByAGUAcwBpAGQAdQBlAHMAXAAiACkAOwBcAG4AXABuAFYARQBFAFIARwBfADYAXwA0AF8AMQBfADEAXwBfADIAXwBfAE4AaQB0AHIAbwB1AHMATwB4AGkAZABlAEUAbQBpAHMAcwBpAG8AbgBzAEYAcgBvAG0AQgB1AHIAbgBpAG4AZwBPAGYAQwByAG8AcABSAGUAcwBpAGQAdQBlAHMAXwBWAGEAcgBpAGEAYgBsAGUAXABuACAAIAA9AEwAQQBNAEIARABBACgAXAAiAEUATgAyAE8AXAAiACkAOwBcAG4AXABuAFYARQBFAFIARwBfADYAXwA0AF8AMQBfADEAXwBfADIAXwBfAE4AaQB0AHIAbwB1AHMATwB4AGkAZABlAEUAbQBpAHMAcwBpAG8AbgBzAEYAcgBvAG0AQgB1AHIAbgBpAG4AZwBPAGYAQwByAG8AcABSAGUAcwBpAGQAdQBlAHMAXwBVAG4AaQB0AFwAbgAgACAAPQBMAEEATQBCAEQAQQAoAFwAIgB0ACAATgAyAE8AXAAiACkAOwBcAG4AXABuAFYARQBFAFIARwBfADYAXwA0AF8AMQBfADEAXwBfADIAXwBfAE4AaQB0AHIAbwB1AHMATwB4AGkAZABlAEUAbQBpAHMAcwBpAG8AbgBzAEYAcgBvAG0AQgB1AHIAbgBpAG4AZwBPAGYAQwByAG8AcABSAGUAcwBpAGQAdQBlAHMAXwBTAG8AdQByAGMAZQBcAG4AIAAgAD0ATABBAE0AQgBEAEEAKABcACIAVgBFAEUAUgBHACAAMgAwADIANgA6ACAANgAuADQALgAxAC4AMQAsACAARQBxAHUAYQB0AGkAbwBuACAAKAAyACkAXAAiACkAOwBcAG4AXABuAFYARQBFAFIARwBfADYAXwA0AF8AMQBfADEAXwBfADIAXwBfAE4AaQB0AHIAbwB1AHMATwB4AGkAZABlAEUAbQBpAHMAcwBpAG8AbgBzAEYAcgBvAG0AQgB1AHIAbgBpAG4AZwBPAGYAQwByAG8AcABSAGUAcwBpAGQAdQBlAHMAXwBOAEkAUgBSAGUAZgBlAHIAZQBuAGMAZQBcAG4AIAAgAD0ATABBAE0AQgBEAEEAKABcACIAXAAiACkAOwBcAG4AXABuAFYARQBFAFIARwBfADYAXwA0AF8AMQBfADEAXwBfADIAXwBfAE4AaQB0AHIAbwB1AHMATwB4AGkAZABlAEUAbQBpAHMAcwBpAG8AbgBzAEYAcgBvAG0AQgB1AHIAbgBpAG4AZwBPAGYAQwByAG8AcABSAGUAcwBpAGQAdQBlAHMAXwBMAGEAdABlAHgARQBxAHUAYQB0AGkAbwBuAFwAbgAgACAAPQBMAEEATQBCAEQAQQAoAFwAIgBFAF8AewBOADIATwB9AD0AXABcAHMAdQBtAFwAXABuAG8AbABpAG0AaQB0AHMAXwBjACgATQBfAHsAYgB1AHIAbgAsAGMAfQBcAFwAdABpAG0AZQBzACAATgBDAF8AewBBAEcAYwB9ACkAXABcAHQAaQBtAGUAcwAgAEUARgBfAHsATgAyAE8AfQBcAFwAdABpAG0AZQBzACAAQwBfAHsATgAyAE8AfQBcAFwAdABpAG0AZQBzACAAMQAwAF4AewAtADMAfQBcACIAKQA7AFwAbgBcAG4AVgBFAEUAUgBHAF8ANgBfADQAXwAxAF8AMQBfAF8AMgBfAF8ATgBpAHQAcgBvAHUAcwBPAHgAaQBk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TgBDAF8AQQBHAGMAXAAiACwAXAAiAG4AaQB0AHIAbwBnAGUAbgAgAGMAbwBuAHQAZQBuAHQAIABpAG4AIAB0AGgAZQAgAGEAYgBvAHYAZQAtAGcAcgBvAHUAbgBkACAAcgBlAHMAaQBkAHUAZQAgAG8AZgAgAGMAcgBvAHAAIAB0AHkAcABlACAAYwBcACIALAAgAFwAIgBrAGcAIABOAC8AawBnACAARABNAFwAIgAsACAAXAAiAEMAbwBuAHMAdABhAG4AdABcACIAOwBcAG4AIAAgACAAIAAgACAAIAAgACAAIABcACIARQBGAF8ATgAyAE8AXAAiACwAXAAiAGUAbQBpAHMAcwBpAG8AbgAgAGYAYQBjAHQAbwByACAAZgBvAHIAIABuAGkAdAByAG8AdQBzACAAbwB4AGkAZABlACAAZgByAG8AbQAgAGIAdQByAG4AaQBuAGcAIABvAGYAIABjAHIAbwBwACAAcgBlAHMAaQBkAHUAZQBzAFwAIgAsACAAXAAiAGsAZwAgAE4AMgBPAC8AawBnACAATgAyAE8AIABiAHUAcgBuAH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MAXwBfAE0AYQBzAHMATwBmAEMAcgBvAHAAUgBlAHMAaQBkAHUAZQBCAHUAcgBuAHQAXABuAE0AYQBzAHMAIABvAGYAIAByAGUAcwBpAGQAdQBlACAAbwBmACAAYwByAG8AcAAgAGMAIABiAHUAcgBuAHQAXABuAE0AXwBiAHUAcgBuAGMAXABuAGsAZwBcAG4ATQBfAHsAYgB1AHIAbgAsAGMAfQA9AFAAXwB7AGMAfQBcAFwAdABpAG0AZQBzACAAUgBfAHsAQQBHAGMAfQBcAFwAdABpAG0AZQBzACAAUwBfAHsAYwB9AFwAXAB0AGkAbQBlAHMAIABEAE0AXwB7AGMAfQBcAFwAdABpAG0AZQBzACAAWgBfAHsAYwB9AFwAXAB0AGkAbQBlAHMAIABGAF8AewBjAH0AXABuAFAAXwBjACAAPQAgAGEAbgBuAHUAYQBsACAAcAByAG8AZAB1AGMAdABpAG8AbgAgAG8AZgAgAGMAcgBvAHAAIAB0AHkAcABlACAAYwAgACgAawBnACkAXABuAFIAXwBBAEcAYwAgAD0AIAByAGUAcwBpAGQAdQBlACAAdABvACAAYwByAG8AcAAgAHIAYQB0AGkAbwAgAG8AZgAgAGMAcgBvAHAAIAB0AHkAcABlACAAYwAgACgAawBnACAAYwByAG8AcAAgAHIAZQBzAGkAZAB1AGUALwBrAGcAIABjAHIAbwBwACkAXABuAFMAXwBjACAAPQAgAGYAcgBhAGMAdABpAG8AbgAgAG8AZgAgAHIAZQBzAGkAZAB1AGUAcwAgAG8AZgAgAGMAcgBvAHAAIAB0AHkAcABlACAAYwAgAHIAZQBtAGEAaQBuAGkAbgBnACAAYQB0ACAAYgB1AHIAbgBpAG4AZwAgACgAZABpAG0AZQBuAHMAaQBvAG4AbABlAHMAcwApAFwAbgBEAE0AXwBjACAAPQAgAGQAcgB5ACAAbQBhAHQAdABlAHIAIABjAG8AbgB0AGUAbgB0ACAAbwBmACAAYwByAG8AcAAgAHQAeQBwAGUAIABjACAAKABrAGcAIABkAHIAeQAgAHcAZQBpAGcAaAB0AC8AawBnACAAYwByAG8AcAAgAHIAZQBzAGkAZAB1AGUAKQBcAG4AWgBfAGMAIAA9ACAAYgB1AHIAbgBpAG4AZwAgAGUAZgBmAGkAYwBpAGUAbgBjAHkAIAAoAHIAYQB0AGkAbwAgAG8AZgAgAGYAdQBlAGwAIABiAHUAcgBuAHQAIAB0AG8AIABmAHUAZQBsACAAbABvAGEAZAApACAAbwBmACAAYwByAG8AcAAgAHQAeQBwAGUAIABjACAAKABkAGkAbQBlAG4AcwBpAG8AbgBsAGUAcwBzACkAXABuAEYAXwBjACAAPQAgAGYAcgBhAGMAdABpAG8AbgAgAG8AZgAgAHQAaABlACAAYQBuAG4AdQBhAGwAIABwAHIAbwBkAHUAYwB0AGkAbwBuACAAbwBmACAAYwByAG8AcAAgAHQAeQBwAGUAIABjACAAdABoAGEAdAAgAGkAcwAgAGIAdQByAG4AdAAgACgAZABpAG0AZQBuAHMAaQBvAG4AbABlAHMAcwApAFwAbgBjACAAPQAgAEMAcgBvAHAAIAB0AHkAcABlAFwAbgAtAC0ALQAtAC0ALQAtAC0ALQAtAC0ALQAtAC0ALQAtAC0ALQAtAC0ALQAtAC0ALQAtAC0ALQAtAC0ALQAtAC0ALQAtAC0ALQAtAC0AXABuACoALwBcAG4AXABuAFYARQBFAFIARwBfADYAXwA0AF8AMQBfADEAXwBfADMAXwBfAE0AYQBzAHMATwBmAEMAcgBvAHAAUgBlAHMAaQBkAHUAZQBCAHUAcgBuAHQAXABuACAAIAA9AEwAQQBNAEIARABBACgAXABuACAAIAAgACAAUABfAGMALAAgAFIAXwBBAEcAYwAsACAAUwBfAGMALAAgAEQATQBfAGMALAAgAFoAXwBjACwAIABGAF8AYwAsAFwAbgAgACAAIAAgAFAAXwBjACAAKgAgAFIAXwBBAEcAYwAgACoAIABTAF8AYwAgACoAIABEAE0AXwBjACAAKgAgAFoAXwBjACAAKgAgAEYAXwBjAFwAbgAgACAAKQA7AFwAbgBcAG4AVgBFAEUAUgBHAF8ANgBfADQAXwAxAF8AMQBfAF8AMwBfAF8ATQBhAHMAcwBPAGYAQwByAG8AcABSAGUAcwBpAGQAdQBlAEIAdQByAG4AdABfAEYAdQBuAGMAdABpAG8AbgBOAGEAbQBlAFwAbgAgACAAPQBMAEEATQBCAEQAQQAoAFwAIgBWAEUARQBSAEcAXwA2AF8ANABfADEAXwAxAF8AXwAzAF8AXwBNAGEAcwBzAE8AZgBDAHIAbwBwAFIAZQBzAGkAZAB1AGUAQgB1AHIAbgB0AFwAIgApADsAXABuAFwAbgBWAEUARQBSAEcAXwA2AF8ANABfADEAXwAxAF8AXwAzAF8AXwBNAGEAcwBzAE8AZgBDAHIAbwBwAFIAZQBzAGkAZAB1AGUAQgB1AHIAbgB0AF8AVABpAHQAbABlAFwAbgAgACAAPQBMAEEATQBCAEQAQQAoAFwAIgBNAGEAcwBzACAAbwBmACAAcgBlAHMAaQBkAHUAZQAgAG8AZgAgAGMAcgBvAHAAIABjACAAYgB1AHIAbgB0AFwAIgApADsAXABuAFwAbgBWAEUARQBSAEcAXwA2AF8ANABfADEAXwAxAF8AXwAzAF8AXwBNAGEAcwBzAE8AZgBDAHIAbwBwAFIAZQBzAGkAZAB1AGUAQgB1AHIAbgB0AF8AVgBhAHIAaQBhAGIAbABlAFwAbgAgACAAPQBMAEEATQBCAEQAQQAoAFwAIgBNAF8AYgB1AHIAbgBjAFwAIgApADsAXABuAFwAbgBWAEUARQBSAEcAXwA2AF8ANABfADEAXwAxAF8AXwAzAF8AXwBNAGEAcwBzAE8AZgBDAHIAbwBwAFIAZQBzAGkAZAB1AGUAQgB1AHIAbgB0AF8AVQBuAGkAdABcAG4AIAAgAD0ATABBAE0AQgBEAEEAKABcACIAawBnAFwAIgApADsAXABuAFwAbgBWAEUARQBSAEcAXwA2AF8ANABfADEAXwAxAF8AXwAzAF8AXwBNAGEAcwBzAE8AZgBDAHIAbwBwAFIAZQBzAGkAZAB1AGUAQgB1AHIAbgB0AF8AUwBvAHUAcgBjAGUAXABuACAAIAA9AEwAQQBNAEIARABBACgAXAAiAFYARQBFAFIARwAgADIAMAAyADYAOgAgADYALgA0AC4AMQAuADEALAAgAEUAcQB1AGEAdABpAG8AbgAgACgAMwApAFwAIgApADsAXABuAFwAbgBWAEUARQBSAEcAXwA2AF8ANABfADEAXwAxAF8AXwAzAF8AXwBNAGEAcwBzAE8AZgBDAHIAbwBwAFIAZQBzAGkAZAB1AGUAQgB1AHIAbgB0AF8ATgBJAFIAUgBlAGYAZQByAGUAbgBjAGUAXABuACAAIAA9AEwAQQBNAEIARABBACgAXAAiAFwAIgApADsAXABuAFwAbgBWAEUARQBSAEcAXwA2AF8ANABfADEAXwAxAF8AXwAzAF8AXwBNAGEAcwBzAE8AZgBDAHIAbwBwAFIAZQBzAGkAZAB1AGUAQgB1AHIAbgB0AF8ATABhAHQAZQB4AEUAcQB1AGEAdABpAG8AbgBcAG4AIAAgAD0ATABBAE0AQgBEAEEAKABcACIATQBfAHsAYgB1AHIAbgAsAGMAfQA9AFAAXwB7AGMAfQBcAFwAdABpAG0AZQBzACAAUgBfAHsAQQBHAGMAfQBcAFwAdABpAG0AZQBzACAAUwBfAHsAYwB9AFwAXAB0AGkAbQBlAHMAIABEAE0AXwB7AGMAfQBcAFwAdABpAG0AZQBzACAAWgBfAHsAYwB9AFwAXAB0AGkAbQBlAHMAIABGAF8AewBjAH0AXAAiACkAOwBcAG4AXABuAFYARQBFAFIARwBfADYAXwA0AF8AMQBfADEAXwBfADMAXwBfAE0AYQBzAHMATwBmAEMAcgBvAHAAUgBlAHMAaQBkAHUAZQBCAHUAcgBuAHQAXwBBAHIAZwB1AG0AZQBuAHQAcwBcAG4AIAAgAD0ATABBAE0AQgBEAEEAKABcAG4AIAAgACAAIABNAEEASwBFAEEAUgBSAEEAWQAoADcALAAgADQALABcAG4AIAAgACAAIAAgACAATABBAE0AQgBEAEEAKAByACwAYwAsAFwAbgAgACAAIAAgACAAIAAgACAASQBOAEQARQBYACgAewBcAG4AIAAgACAAIAAgACAAIAAgACAAIABcACIAUABfAGMAXAAiACwAXAAiAGEAbgBuAHUAYQBsACAAcAByAG8AZAB1AGMAdABpAG8AbgAgAG8AZgAgAGMAcgBvAHAAIAB0AHkAcABlACAAYwBcACIALAAgAFwAIgBrAGcAXAAiACwAIABcACIASQBuAHAAdQB0AFwAIgA7AFwAbgAgACAAIAAgACAAIAAgACAAIAAgAFwAIgBSAF8AQQBHAGMAXAAiACwAXAAiAHIAZQBzAGkAZAB1AGUAIAB0AG8AIABjAHIAbwBwACAAcgBhAHQAaQBvACAAbwBmACAAYwByAG8AcAAgAHQAeQBwAGUAIABjAFwAIgAsACAAXAAiAGsAZwAgAGMAcgBvAHAAIAByAGUAcwBpAGQAdQBlAC8AawBnACAAYwByAG8AcABcACIALAAgAFwAIgBDAG8AbgBzAHQAYQBuAHQAXAAiADsAXABuACAAIAAgACAAIAAgACAAIAAgACAAXAAiAFMAXwBjAFwAIgAsAFwAIgBmAHIAYQBjAHQAaQBvAG4AIABvAGYAIAByAGUAcwBpAGQAdQBlAHMAIABvAGYAIABjAHIAbwBwACAAdAB5AHAAZQAgAGMAIAByAGUAbQBhAGkAbgBpAG4AZwAgAGEAdAAgAGIAdQByAG4AaQBuAGcAXAAiACwAIABcACIAZgByAGEAYwB0AGkAbwBuAFwAIgAsACAAXAAiAEMAbwBuAHMAdABhAG4AdABcACIAOwBcAG4AIAAgACAAIAAgACAAIAAgACAAIABcACIARABNAF8AYwBcACIALABcACIAZAByAHkAIABtAGEAdAB0AGUAcgAgAGMAbwBuAHQAZQBuAHQAIABvAGYAIABjAHIAbwBwACAAdAB5AHAAZQAgAGMAXAAiACwAIABcACIAawBnACAAZAByAHkAIAB3AGUAaQBnAGgAdAAvAGsAZwAgAGMAcgBvAHAAIAByAGUAcwBpAGQAdQBlAFwAIgAsACAAXAAiAEMAbwBuAHMAdABhAG4AdABcACIAOwBcAG4AIAAgACAAIAAgACAAIAAgACAAIABcACIAWgBfAGMAXAAiACwAXAAiAGIAdQByAG4AaQBuAGcAIABlAGYAZgBpAGMAaQBlAG4AYwB5ACAAKAByAGEAdABpAG8AIABvAGYAIABmAHUAZQBsACAAYgB1AHIAbgB0ACAAdABvACAAZgB1AGUAbAAgAGwAbwBhAGQAKQAgAG8AZgAgAGMAcgBvAHAAIAB0AHkAcABlACAAYwBcACIALAAgAFwAIgBcACIALAAgAFwAIgBDAG8AbgBzAHQAYQBuAHQAXAAiADsAXABuACAAIAAgACAAIAAgACAAIAAgACAAXAAiAEYAXwBjAFwAIgAsAFwAIgBmAHIAYQBjAHQAaQBvAG4AIABvAGYAIAB0AGgAZQAgAGEAbgBuAHUAYQBsACAAcAByAG8AZAB1AGMAdABpAG8AbgAgAG8AZgAgAGMAcgBvAHAAIAB0AHkAcABlACAAYwAgAHQAaABhAHQAIABpAHMAIABiAHUAcgBuAHQAXAAiACwAIABcACIAZgByAGEAYwB0AGkAbwBu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CIAfQAsAHsAIgBwAGEAdABoACIAOgAiAC8AcAByAG8AagBlAGMAdABzAC8AQQBnAHIAZQBzAGkAZAB1AGUAXwBTAG8AdQByAGMAZQBEAGEAdABhACIALAAiAHQAZQB4AHQAIgA6ACIALwAqAFwAbgA9AD0APQA9AD0APQA9AD0APQA9AD0APQA9AD0APQA9AD0APQA9AD0APQA9AD0APQA9AD0APQA9AD0APQA9AD0APQA9AD0APQA9AD0APQA9AD0APQA9AD0APQA9AD0APQA9AD0APQA9AD0APQA9AD0APQA9AD0APQA9AD0APQA9AD0APQA9AD0APQA9AD0APQA9AD0APQA9AFwAbgBDAHIAbwBwACAAcAB1AHIAcABvAHMAZQAgAGEAbgBkACAAeQBpAGUAbABkAFwAbgA9AD0APQA9AD0APQA9AD0APQA9AD0APQA9AD0APQA9AD0APQA9AD0APQA9AD0APQA9AD0APQA9AD0APQA9AD0APQA9AD0APQA9AD0APQA9AD0APQA9AD0APQA9AD0APQA9AD0APQA9AD0APQA9AD0APQA9AD0APQA9AD0APQA9AD0APQA9AD0APQA9AD0APQA9AD0APQA9AFwAbgAqAC8AXABuAFwAbgBDAHIAbwBwAFAAdQByAHAAbwBzAGUAQQBuAGQAWQBpAGUAbABkAF8AVABpAHQAbABlAFwAbgA9AEwAQQBNAEIARABBACgAKABcACIAQwByAG8AcAAgAHAAdQByAHAAbwBzAGUAIABhAG4AZAAgAHkAaQBlAGwAZABcACIAKQApADsAXABuAFwAbgBDAHIAbwBwAFAAdQByAHAAbwBzAGUAQQBuAGQAWQBpAGUAbABkAF8ARABhAHQAYQBcAG4APQBMAEEATQBCAEQAQQAoAFwAbgAgACAATQBBAEsARQBBAFIAUgBBAFkAKAA0ACwAIAA4ACwAXABuACAAIAAgACAATABBAE0AQgBEAEEAKAByACwAYwAsAFwAbgAgACAAIAAgACAAIABJAE4ARABFAFgAKAB7AFwAbgAgACAAIAAgACAAIAAgACAAXAAiAFAAdQByAHAAbwBzAGUAXAAiACwAIABcACIAUABlAHIAIABoAGUAYwB0AGEAcgBlACAAdQBuAGkAdABcACIALAAgAFwAIgBoAGEAcgB2AGUAcwB0ACAAdABlAHIAbQBcACIALAAgAFwAIgBoAGEAcgB2AGUAcwB0ACAAZQBuAGQAcABvAGkAbgB0AFwAIgAsACAAXAAiAEgAYQByAHYAZQBzAHQAIAB1AGkAdABcACIALAAgAFwAIgBZAGkAZQBsAGQAIABuAG8AdABlAFwAIgAsACAAXAAiAFIAZQBzAGkAZAB1AGUAIABjAHIAbwBwACAAcgBhAHQAaQBvACAAbgBvAHQAZQBcACIALAAgAFwAIgBUAG8AdABhAGwAIABwAHIAbwBkAHUAYwB0AGkAbwBuACAAbgBvAHQAZQBcACIAOwBcAG4AIAAgACAAIAAgACAAIAAgAFwAIgBDAGEAcwBoACAAZwByAGEAaQBuACAAYwByAG8AcABcACIALAAgAFwAIgBnAHIAYQBpAG4AXAAiACwAIABcACIAeQBpAGUAbABkAFwAIgAsACAAXAAiAGgAYQByAHYAZQBzAHQAXAAiACwAIABcACIAZwByAGEAaQBuAFwAIgAsACAAXAAiAFkAaQBlAGwAZAAgAGkAcwAgAHQAaABlACAAZwByAGEAaQBuACAAaABhAHIAdgBlAHMAdABlAGQAIABmAHIAbwBtACAAdABoAGUAIABwAGwAYQBuAHQAXAAiACwAIABcACIAUgBlAHMAaQBkAHUAZQAgAHQAbwAgAGMAcgBvAHAAIAByAGEAdABpAG8AIABpAHMAIABwAHIAbwB2AGkAZABlAGQAIABmAHIAbwBtACAAZABlAGYAYQB1AGwAdAAgAHYAYQBsAHUAZQBzAFwAIgAsACAAXAAiAFQAbwB0AGEAbAAgAHAAcgBvAGQAdQBjAHQAaQBvAG4AIABpAHMAIAB0AGgAZQAgAHQAbwB0AGEAbAAgAGcAcgBhAGkAbgAgAGgAYQByAHYAZQBzAHQAZQBkAFwAIgA7AFwAbgAgACAAIAAgACAAIAAgACAAXAAiAEMAYQBzAGgAIABjAHIAbwBwACAAZgBvAHIAIABoAGEAeQAvAHMAaQBsAGEAZwBlAFwAIgAsACAAXAAiAGEAYgBvAHYAZQAgAGcAcgBvAHUAbgBkACAAYgBpAG8AbQBhAHMAcwBcACIALAAgAFwAIgB5AGkAZQBsAGQAXAAiACwAIABcACIAaABhAHIAdgBlAHMAdABcACIALAAgAFwAIgBwAGwAYQBuAHQAIABiAGkAbwBtAGEAcwBzAFwAIgAsACAAXAAiAFkAaQBlAGwAZAAgAGkAcwAgAHQAaABlACAAdwBoAG8AbABlACAAcABsAGEAbgB0ACAAaABhAHIAdgBlAHMAdABlAGQAIABmAG8AcgAgAGgAYQB5AC8AcwBpAGwAYQBnAGUAXAAiACwAIABcACIAUgBlAHMAaQBkAHUAZQAgAHQAbwAgAGMAcgBvAHAAIAByAGEAdABpAG8AIABpAHMAIAAwACAAYQBzAHMAdQBtAGkAbgBnACAAdABoAGUAIAB3AGgAbwBsAGUAIABwAGwAYQBuAHQAIABpAHMAIABoAGEAcgB2AGUAcwB0AGUAZAAgAGYAbwByACAAaABhAHkALwBzAGkAbABhAGcAZQBcACIALAAgAFwAIgBUAG8AdABhAGwAIABwAHIAbwBkAHUAYwB0AGkAbwBuACAAaQBzACAAdABoAGUAIAB0AG8AdABhAGwAIAB3AGgAbwBsAGUAIABwAGwAYQBuAHQAIABiAGkAbwBtAGEAcwBzACAAaABhAHIAdgBlAHMAdABlAGQAIABhAHMAIABoAGEAeQAvAHMAaQBsAGEAZwBlAFwAIgA7AFwAbgAgACAAIAAgACAAIAAgACAAXAAiAEMAbwB2AGUAcgAgAGMAcgBvAHAAXAAiACwAIABcACIAYQBiAG8AdgBlACAAZwByAG8AdQBuAGQAIABiAGkAbwBtAGEAcwBzAFwAIgAsACAAXAAiAG0AYQBzAHMAXAAiACwAIABcACIAZQBuAGQAIABvAGYAIABjAHIAbwBwACAAYwB5AGMAbABlAFwAIgAsACAAXAAiAGEAYgBvAHYAZQAgAGcAcgBvAHUAbgBkACAAYgBpAG8AbQBhAHMAcwBcACIALAAgAFwAIgBZAGkAZQBsAGQAIABpAHMAIAB0AGgAZQAgAHcAaABvAGwAZQAgAHAAbABhAG4AdAAgAGsAZQBwAHQAIABhAHMAIABjAG8AdgBlAHIAIABjAHIAbwBwAFwAIgAsACAAXAAiAFIAZQBzAGkAZAB1AGUAIAB0AG8AIABjAHIAbwBwACAAcgBhAHQAaQBvACAAaQBzACAAMQAgAGEAcwBzAHUAbQBpAG4AZwAgAHQAaABlACAAdwBoAG8AbABlACAAcABsAGEAbgB0ACAAaQBzACAAawBlAHAAdAAgAGEAcwAgAGMAbwB2AGUAcgAgAGMAcgBvAHAAXAAiACwAIABcACIAVABvAHQAYQBsACAAcAByAG8AZAB1AGMAdABpAG8AbgAgAGkAcwAgAHQAaABlACAAdABvAHQAYQBsACAAdwBoAG8AbABlACAAcABsAGEAbgB0ACAAYgBpAG8AbQBhAHMAcwAgAGsAZQBwAHQAIABhAHMAIABjAG8AdgBlAHIAIABjAHIAbwBw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HIAbwBwACAAYQB0AHQAcgBpAGIAdQB0AGUAcwBcAG4APQA9AD0APQA9AD0APQA9AD0APQA9AD0APQA9AD0APQA9AD0APQA9AD0APQA9AD0APQA9AD0APQA9AD0APQA9AD0APQA9AD0APQA9AD0APQA9AD0APQA9AD0APQA9AD0APQA9AD0APQA9AD0APQA9AD0APQA9AD0APQA9AD0APQA9AD0APQA9AD0APQA9AD0APQA9AD0APQBcAG4AKgAvAFwAbgBcAG4AQwByAG8AcABBAHQAdAByAGkAYgB1AHQAZQBzAF8AVABpAHQAbABlAFwAbgA9AEwAQQBNAEIARABBACgAKABcACIAVABhAGIAbABlACAAQQAuADIALgAxAC4AMQA6ACAAQwByAG8AcAAgAGEAdAB0AHIAaQBiAHUAdABlAHMAXAAiACkAKQA7AFwAbgBcAG4AQwByAG8AcABBAHQAdAByAGkAYgB1AHQAZQBzAF8ARABlAHMAYwByAGkAcAB0AGkAbwBuAFwAbgA9AEwAQQBNAEIARABBACgAKABcACIAQwByAG8AcAAgAGEAdAB0AHIAaQBiAHUAdABlAHMAXAAiACkAKQA7AFwAbgBcAG4AQwByAG8AcABBAHQAdAByAGkAYgB1AHQAZQBzAF8AUwBvAHUAcgBjAGUAXABuAD0ATABBAE0AQgBEAEEAKAAoAFwAIgBWAEUARQBSAEcAIAAyADAAMgA2ADoAIABUAGEAYgBsAGUAIABBAC4AMgAuADEALgAxADoAIABDAHIAbwBwACAAYQB0AHQAcgBpAGIAdQB0AGUAcwBcACIAKQApADsAXABuAFwAbgBDAHIAbwBwAEEAdAB0AHIAaQBiAHUAdABlAHMAXwBEAGEAdABhAFwAbgA9AEwAQQBNAEIARABBACgAXABuACAAIABNAEEASwBFAEEAUgBSAEEAWQAoADIAMAAsACAAOQAsAFwAbgAgACAAIAAgAEwAQQBNAEIARABBACgAcgAsAGMALABcAG4AIAAgACAAIAAgACAASQBOAEQARQBYACgAewBcAG4AIAAgACAAIAAgACAAIAAgAFwAIgBDAHIAbwBwACAAdAB5AHAAZQBcACIALAAgAFwAIgBSAGUAcwBpAGQAdQBlADoAIABDAHIAbwBwACAAcgBhAHQAaQBvAFwAIgAsACAAXAAiAEIAZQBsAG8AdwAtAGcAcgBvAHUAbgBkADoAIABhAGIAbwB2AGUALQBnAHIAbwB1AG4AZAAgAHIAZQBzAGkAZAB1AGUAIAByAGEAdABpAG8AXAAiACwAIABcACIARAByAHkAIABtAGEAdAB0AGUAcgAgAGMAbwBuAHQAZQBuAHQAXAAiACwAIABcACIAQwBhAHIAYgBvAG4AIABmAHIAYQBjAHQAaQBvAG4AIABpAG4AIABkAHIAeQAgAG0AYQB0AHQAZQByAFwAIgAsACAAXAAiAE4AIABjAG8AbgB0AGUAbgB0ACAAYQBiAG8AdgBlAC0AZwByAG8AdQBuAGQAXAAiACwAIABcACIATgAgAGMAbwBuAHQAZQBuAHQAIABiAGUAbABvAHcALQBnAHIAbwB1AG4AZABcACIALAAgAFwAIgBGAHIAYQBjAHQAaQBvAG4AIABvAGYAIAByAGUAcwBpAGQAdQBlACAAcgBlAG0AYQBpAG4AaQBuAGcAIABhAHQAIAB0AGkAbQBlACAAbwBmACAAYgB1AHIAbgBpAG4AZwBcACIALAAgAFwAIgBCAHUAcgBuAGkAbgBnACAAZQBmAGYAaQBjAGkAZQBuAGMAeQB0AFwAIgA7AFwAbgAgACAAIAAgACAAIAAgACAAXAAiAGMAXAAiACwAIABcACIAUgBBAEcAYwBcACIALAAgAFwAIgBSAEIARwBjAFwAIgAsACAAXAAiAEQATQBjAFwAIgAsACAAXAAiAEMAQwBjAFwAIgAsACAAXAAiAE4AQwBBAEcAYwBcACIALAAgAFwAIgBOAEMAQgBHAGMAXAAiACwAIABcACIAUwBjAFwAIgAsACAAXAAiAFoAYwBcACIAOwBcAG4AIAAgACAAIAAgACAAIAAgAFwAIgBXAGgAZQBhAHQAXAAiACwAIAAxAC4ANQAwACwAIAAwAC4AMgA5ACwAIAAwAC4AOAA4ACwAIAAwAC4ANAAwACwAIAAwAC4AMAAwADYALAAgADAALgAwADEAMAAsACAAMAAuADUALAAgADAALgA5ADAAOwBcAG4AIAAgACAAIAAgACAAIAAgAFwAIgBCAGEAcgBsAGUAeQBcACIALAAgADEALgAyADQALAAgADAALgAzADIALAAgADAALgA4ADgALAAgADAALgA0ADAALAAgADAALgAwADAANwAsACAAMAAuADAAMQAwACwAIAAwAC4ANQAsACAAMAAuADgANQA7AFwAbgAgACAAIAAgACAAIAAgACAAXAAiAE0AYQBpAHoAZQBcACIALAAgADAALgA4ADEALAAgADAALgAzADkALAAgADAALgA4ADUALAAgADAALgA0ADIALAAgADAALgAwADAANQAsACAAMAAuADAAMAA3ACwAIAAxAC4AMAAsACAAMAAuADgAMAA7AFwAbgAgACAAIAAgACAAIAAgACAAXAAiAE8AYQB0AHMAXAAiACwAIAAxAC4ANAAyACwAIAAwAC4ANAAzACwAIAAwAC4AOAA4ACwAIAAwAC4ANAAwACwAIAAwAC4AMAAwADYALAAgADAALgAwADEAMAAsACAAMAAuADUALAAgADAALgA4ADUAOwBcAG4AIAAgACAAIAAgACAAIAAgAFwAIgBSAGkAYwBlAFwAIgAsACAAMQAuADMAMQAsACAAMAAuADEANgAsACAAMAAuADgAMAAsACAAMAAuADQAMgAsACAAMAAuADAAMAA3ACwAIAAwAC4AMAAxADAALAAgADEALgAwACwAIAAwAC4AOAAwADsAXABuACAAIAAgACAAIAAgACAAIABcACIAUwBvAHIAZwBoAHUAbQBcACIALAAgADEALgA1ADAALAAgADAALgAyADIALAAgADAALgA4ADAALAAgADAALgA0ADAALAAgADAALgAwADAAOAAsACAAMAAuADAAMAA3ACwAIAAwAC4ANQAsACAAMAAuADgANQA7AFwAbgAgACAAIAAgACAAIAAgACAAXAAiAFQAcgBpAHQAaQBjAGEAbABlAFwAIgAsACAAMQAuADUAMAAsACAAMAAuADQAMgAsACAAMAAuADgAOAAsACAAMAAuADQAMAAsACAAMAAuADAAMAA2ACwAIAAwAC4AMAAxADAALAAgADAALgA1ACwAIAAwAC4AOAA1ADsAXABuACAAIAAgACAAIAAgACAAIABcACIATwB0AGgAZQByACAAYwBlAHIAZQBhAGwAcwBcACIALAAgADEALgA0ADYALAAgADAALgAzADYALAAgADAALgA4ADgALAAgADAALgA0ADAALAAgADAALgAwADAANgAsACAAMAAuADAAMQAwACwAIAAwAC4ANQAsACAAMAAuADgANQA7AFwAbgAgACAAIAAgACAAIAAgACAAXAAiAFAAdQBsAHMAZQBzAFwAIgAsACAAMQAuADMANwAsACAAMAAuADUAMQAsACAAMAAuADgANwAsACAAMAAuADQAMAAsACAAMAAuADAAMAA5ACwAIAAwAC4AMAAxADAALAAgADAALgA1ACwAIAAwAC4AOAA1ADsAXABuACAAIAAgACAAIAAgACAAIABcACIAVAB1AGIAZQByAHMAIABhAG4AZAAgAHIAbwBvAHQAcwBcACIALAAgADAALgAzADQALAAgADAALgA0ADMALAAgADAALgAyADUALAAgADAALgA0ADAALAAgADAALgAwADIAMAAsACAAMAAuADAAMQAwACwAIABcACIAbgAvAGEAXAAiACwAIAAwAC4AOAA1ADsAXABuACAAIAAgACAAIAAgACAAIABcACIAUABlAGEAbgB1AHQAcwBcACIALAAgADEALgAwADcALAAgADAALgAyADAALAAgADAALgA4ADAALAAgADAALgA0ADIALAAgADAALgAwADEANgAsACAAMAAuADAAMQA0ACwAIAAwAC4ANQAsACAAMAAuADgANQA7AFwAbgAgACAAIAAgACAAIAAgACAAXAAiAFMAdQBnAGEAcgAgAGMAYQBuAGUAXAAiACwAIAAwAC4AMgA1ACwAIAAwAC4ANAA1ACwAIAAwAC4AMgAwACwAIAAwAC4ANAAwACwAIAAwAC4AMAAwADUALAAgADAALgAwADAANwAsACAAMQAuADAALAAgADAALgA4ADAAOwBcAG4AIAAgACAAIAAgACAAIAAgAFwAIgBDAG8AdAB0AG8AbgBcACIALAAgADEALgA5ADAALAAgADAALgAzADAALAAgADAALgA5ADAALAAgADAALgA0ADAALAAgADAALgAwADEALAAgADAALgAwADEALAAgAFwAIgBuAC8AYQBcACIALAAgADAALgA4ADUAOwBcAG4AIAAgACAAIAAgACAAIAAgAFwAIgBIAG8AcABzAFwAIgAsACAAMQAuADUAMAAsACAAMAAuADIAOQAsACAAMAAuADgAOAAsACAAMAAuADQAMAAsACAAMAAuADAAMAA2ACwAIABcACIAbgAvAGEAXAAiACwAIABcACIAbgAvAGEAXAAiACwAIAAwAC4AOAA1ADsAXABuACAAIAAgACAAIAAgACAAIABcACIATwBpAGwAcwBlAGUAZABzAFwAIgAsACAAMgAuADAAOAAsACAAMAAuADMAMwAsACAAMAAuADkANgAsACAAMAAuADQAMAAsACAAMAAuADAAMAA5ACwAIAAwAC4AMAAxADAALAAgADAALgA1ACwAIAAwAC4AOAA1ADsAXABuACAAIAAgACAAIAAgACAAIABcACIARgBvAHIAYQBnAGUAIABjAHIAbwBwAHMAXAAiACwAIAAxAC4AMwA0ACwAIAAwAC4AMwA3ACwAIAAwAC4AOAA4ACwAIAAwAC4ANAAwACwAIAAwAC4AMAAwADYALAAgADAALgAwADEAMAAsACAAXAAiAG4ALwBhAFwAIgAsACAAMAAuADgANQA7AFwAbgAgACAAIAAgACAAIAAgACAAXAAiAE8AdABoAGUAcgAgAGEAbgBuAHUAYQBsACAAYwByAG8AcABzAFwAIgAsACAAMQAuADAAMAAsACAAMAAuADIAMgAsACAAMAAuADgANQAsACAAMAAuADQAMAAsACAAMAAuADAAMAA4ACwAIAAwAC4AMAAwADkALAAgAFwAIgBuAC8AYQBcACIALAAgAFwAIgBuAC8AYQBcACIAOwBcAG4AIAAgACAAIAAgACAAIAAgAFwAIgBPAHQAaABlAHIAIABwAGUAcgBlAG4AbgBpAGEAbAAgAGMAcgBvAHAAcwBcACIALAAgADEALgA1ACwAIAAwAC4AMgA5ACwAIAAwAC4AOAA4ACwAIAAwAC4ANAAsACAAMAAuADAAMAA2ACwAIABcACIAbgAvAGEAXAAiACwAIABcACIAbgAvAGEAXAAiACwAIABcACIAbgAvAGEAXAAiAFwAbgAgACAAIAAgACAAIAB9ACwAIAByACwAIABjACkAXABuACkAKQApADsAXABuAFwAbgBDAHIAbwBwAEEAdAB0AHIAaQBiAHUAdABlAHMAXwBWAGEAcgBpAGEAdABpAG8AbgBcAG4APQBMAEEATQBCAEQAQQAoACgAXAAiAFYAQQBSAEkAQQBUAEkATwBOACAARgBSAE8ATQAgAFMATwBVAFIAQwBFADoAIABcAHUAMAAwADIANwBOAC8AQQBcAHUAMAAwADIANwAgAHYAYQBsAHUAZQBzACAAcABhAHMAcwBlAGQAIABhAHMAIAB6AGUAcgBvACAAZgBvAHIAIABjAGEAbABjAHUAbABhAHQAaQBvAG4AcwAuAFwAIgApACkAOwBcAG4AXABuAC8AKgBcAG4APQA9AD0APQA9AD0APQA9AD0APQA9AD0APQA9AD0APQA9AD0APQA9AD0APQA9AD0APQA9AD0APQA9AD0APQA9AD0APQA9AD0APQA9AD0APQA9AD0APQA9AD0APQA9AD0APQA9AD0APQA9AD0APQA9AD0APQA9AD0APQA9AD0APQA9AD0APQA9AD0APQA9AD0APQA9AD0APQBcAG4AQwByAG8AcAAgAGEAdAB0AHIAaQBiAHUAdABlAHMAIAAtACAARgByAGEAYwB0AGkAbwBuACAAcgBlAG0AbwB2AGUAZAAgACgARgBGAE8ARABjACkAXABuAD0APQA9AD0APQA9AD0APQA9AD0APQA9AD0APQA9AD0APQA9AD0APQA9AD0APQA9AD0APQA9AD0APQA9AD0APQA9AD0APQA9AD0APQA9AD0APQA9AD0APQA9AD0APQA9AD0APQA9AD0APQA9AD0APQA9AD0APQA9AD0APQA9AD0APQA9AD0APQA9AD0APQA9AD0APQA9AD0AXABuACoALwBcAG4AXABuAEMAcgBvAHAARgByAGEAYwB0AGkAbwBuAFIAZQBtAG8AdgBlAGQAXwBUAGkAdABsAGUAXABuAD0ATABBAE0AQgBEAEEAKAAoAFwAIgBUAGEAYgBsAGUAIABBAC4AMgAuADEALgAyADoAIABDAHIAbwBwACAAYQB0AHQAcgBpAGIAdQB0AGUAcwAgAC0AIABGAHIAYQBjAHQAaQBvAG4AIAByAGUAbQBvAHYAZQBkACAAKABGAEYATwBEAGMAKQBcACIAKQApADsAXABuAFwAbgBDAHIAbwBwAEYAcgBhAGMAdABpAG8AbgBSAGUAbQBvAHYAZQBkAF8ARABlAHMAYwByAGkAcAB0AGkAbwBuAFwAbgA9AEwAQQBNAEIARABBACgAKABcACIAQwByAG8AcAAgAGEAdAB0AHIAaQBiAHUAdABlAHMAIAAtACAARgByAGEAYwB0AGkAbwBuACAAcgBlAG0AbwB2AGUAZAAgACgARgBGAE8ARABjACkAXAAiACkAKQA7AFwAbgBcAG4AQwByAG8AcABGAHIAYQBjAHQAaQBvAG4AUgBlAG0AbwB2AGUAZABfAFMAbwB1AHIAYwBlAFwAbgA9AEwAQQBNAEIARABBACgAKABcACIAVgBFAEUAUgBHACAAMgAwADIANgA6ACAAVABhAGIAbABlACAAQQAuADIALgAxAC4AMgA6ACAAQwByAG8AcAAgAGEAdAB0AHIAaQBiAHUAdABlAHMAIAAtACAARgByAGEAYwB0AGkAbwBuACAAcgBlAG0AbwB2AGUAZAAgACgARgBGAE8ARABjACkAXAAiACkAKQA7AFwAbgBcAG4AQwByAG8AcABGAHIAYQBjAHQAaQBvAG4AUgBlAG0AbwB2AGUAZABfAEQAYQB0AGEAXABuAD0ATABBAE0AQgBEAEEAKABcAG4AIAAgAE0AQQBLAEUAQQBSAFIAQQBZACgAMQA3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EAbABsACAAcwB0AGEAdABlAHMAXAAiACwAIAAwAC4AMAA2ADsAXABuACAAIAAgACAAIAAgACAAIABcACIAVAB1AGIAZQByAHMAIABhAG4AZAAgAHIAbwBvAHQAcwBcACIALAAgAFwAIgBBAGwAbAAgAHMAdABhAHQAZQBzAFwAIgAsACAAMQA7AFwAbgAgACAAIAAgACAAIAAgACAAXAAiAEMAbwB0AHQAbwBuAFwAIgAsACAAXAAiAEEAbABsACAAcwB0AGEAdABlAHMAXAAiACwAIAAwADsAXABuACAAIAAgACAAIAAgACAAIABcACIASABvAHAAcwBcACIALAAgAFwAIgBBAGwAbAAgAHMAdABhAHQAZQBzAFwAIgAsACAAMAA7AFwAbgAgACAAIAAgACAAIAAgACAAXAAiAEYAbwByAGEAZwBlACAAYwByAG8AcABzAFwAIgAsACAAXAAiAEEAbABsACAAcwB0AGEAdABlAHMAXAAiACwAIAAwAC4AOAA7AFwAbgAgACAAIAAgACAAIAAgACAAXAAiAFMAdQBnAGEAcgAgAEMAYQBuAGUAXAAiACwAIABcACIATgBTAFcAXAAiACwAIAAwADsAXABuACAAIAAgACAAIAAgACAAIABcACIAUwB1AGcAYQByACAAQwBhAG4AZQBcACIALAAgAFwAIgBRAEwARABcACIALAAgADAALgAwADMAOwBcAG4AIAAgACAAIAAgACAAIAAgAFwAIgBTAHUAZwBhAHIAIABDAGEAbgBlAFwAIgAsACAAXAAiAFcAQQBcACIALAAgADAAOwBcAG4AIAAgACAAIAAgACAAIAAgAFwAIgBBAGwAbAAgAG8AdABoAGUAcgAgAGMAcgBvAHAAIAB0AHkAcABlAHMAXAAiACwAIABcACIATgBTAFcAXAAiACwAIAAwAC4AMAA1ADsAXABuACAAIAAgACAAIAAgACAAIABcACIAQQBsAGwAIABvAHQAaABlAHIAIABjAHIAbwBwACAAdAB5AHAAZQBzAFwAIgAsACAAXAAiAFYASQBDAFwAIgAsACAAMAAuADAANwA7AFwAbgAgACAAIAAgACAAIAAgACAAXAAiAEEAbABsACAAbwB0AGgAZQByACAAYwByAG8AcAAgAHQAeQBwAGUAcwBcACIALAAgAFwAIgBRAEwARABcACIALAAgADAALgAwADQAOwBcAG4AIAAgACAAIAAgACAAIAAgAFwAIgBBAGwAbAAgAG8AdABoAGUAcgAgAGMAcgBvAHAAIAB0AHkAcABlAHMAXAAiACwAIABcACIAUwBBAFwAIgAsACAAMAAuADAAOQA7AFwAbgAgACAAIAAgACAAIAAgACAAXAAiAEEAbABsACAAbwB0AGgAZQByACAAYwByAG8AcAAgAHQAeQBwAGUAcwBcACIALAAgAFwAIgBXAEEAXAAiACwAIAAwAC4AMQAxADsAXABuACAAIAAgACAAIAAgACAAIABcACIAQQBsAGwAIABvAHQAaABlAHIAIABjAHIAbwBwACAAdAB5AHAAZQBzAFwAIgAsACAAXAAiAFQAQQBTAFwAIgAsACAAMAAuADEANgA7AFwAbgAgACAAIAAgACAAIAAgACAAXAAiAEEAbABsACAAbwB0AGgAZQByACAAYwByAG8AcAAgAHQAeQBwAGUAcwBcACIALAAgAFwAIgBOAFQAXAAiACwAIAAwAC4AMAAxADsAXABuACAAIAAgACAAIAAgACAAIABcACIAQQBsAGwAIABvAHQAaABlAHIAIABjAHIAbwBwACAAdAB5AHAAZQBzAFwAIgAsACAAXAAiAEEAQwBUAFwAIgAsACAAMAAuADAAMABcAG4AIAAgACAAIAAgACAAfQAsACAAcgAsACAAYwApAFwAbgApACkAKQA7AFwAbgBcAG4AQwByAG8AcABGAHIAYQBjAHQAaQBvAG4AUgBlAG0AbwB2AGUAZABfAEMAdQBzAHQAbwBtAGkAcwBlAGQARABhAHQAYQBcAG4APQBMAEEATQBCAEQAQQAoAFwAbgAgACAATQBBAEsARQBBAFIAUgBBAFkAKAAxADQAN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OAFMAVwBcACIALAAgADAALgAwADYAOwBcAG4AIAAgACAAIAAgACAAIAAgAFwAIgBSAGkAYwBlAFwAIgAsACAAXAAiAFYASQBDAFwAIgAsACAAMAAuADAANgA7AFwAbgAgACAAIAAgACAAIAAgACAAXAAiAFIAaQBjAGUAXAAiACwAIABcACIAUQBMAEQAXAAiACwAIAAwAC4AMAA2ADsAXABuACAAIAAgACAAIAAgACAAIABcACIAUgBpAGMAZQBcACIALAAgAFwAIgBTAEEAXAAiACwAIAAwAC4AMAA2ADsAXABuACAAIAAgACAAIAAgACAAIABcACIAUgBpAGMAZQBcACIALAAgAFwAIgBXAEEAXAAiACwAIAAwAC4AMAA2ADsAXABuACAAIAAgACAAIAAgACAAIABcACIAUgBpAGMAZQBcACIALAAgAFwAIgBUAEEAUwBcACIALAAgADAALgAwADYAOwBcAG4AIAAgACAAIAAgACAAIAAgAFwAIgBSAGkAYwBlAFwAIgAsACAAXAAiAE4AVABcACIALAAgADAALgAwADYAOwBcAG4AIAAgACAAIAAgACAAIAAgAFwAIgBSAGkAYwBlAFwAIgAsACAAXAAiAEEAQwBUAFwAIgAsACAAMAAuADAANgA7AFwAbgAgACAAIAAgACAAIAAgACAAXAAiAFQAdQBiAGUAcgBzACAAYQBuAGQAIAByAG8AbwB0AHMAXAAiACwAIABcACIATgBTAFcAXAAiACwAIAAxADsAXABuACAAIAAgACAAIAAgACAAIABcACIAVAB1AGIAZQByAHMAIABhAG4AZAAgAHIAbwBvAHQAcwBcACIALAAgAFwAIgBWAEkAQwBcACIALAAgADEAOwBcAG4AIAAgACAAIAAgACAAIAAgAFwAIgBUAHUAYgBlAHIAcwAgAGEAbgBkACAAcgBvAG8AdABzAFwAIgAsACAAXAAiAFEATABEAFwAIgAsACAAMQA7AFwAbgAgACAAIAAgACAAIAAgACAAXAAiAFQAdQBiAGUAcgBzACAAYQBuAGQAIAByAG8AbwB0AHMAXAAiACwAIABcACIAUwBBAFwAIgAsACAAMQA7AFwAbgAgACAAIAAgACAAIAAgACAAXAAiAFQAdQBiAGUAcgBzACAAYQBuAGQAIAByAG8AbwB0AHMAXAAiACwAIABcACIAVwBBAFwAIgAsACAAMQA7AFwAbgAgACAAIAAgACAAIAAgACAAXAAiAFQAdQBiAGUAcgBzACAAYQBuAGQAIAByAG8AbwB0AHMAXAAiACwAIABcACIAVABBAFMAXAAiACwAIAAxADsAXABuACAAIAAgACAAIAAgACAAIABcACIAVAB1AGIAZQByAHMAIABhAG4AZAAgAHIAbwBvAHQAcwBcACIALAAgAFwAIgBOAFQAXAAiACwAIAAxADsAXABuACAAIAAgACAAIAAgACAAIABcACIAVAB1AGIAZQByAHMAIABhAG4AZAAgAHIAbwBvAHQAcwBcACIALAAgAFwAIgBBAEMAVABcACIALAAgADEAOwBcAG4AIAAgACAAIAAgACAAIAAgAFwAIgBDAG8AdAB0AG8AbgBcACIALAAgAFwAIgBOAFMAVwBcACIALAAgADAAOwBcAG4AIAAgACAAIAAgACAAIAAgAFwAIgBDAG8AdAB0AG8AbgBcACIALAAgAFwAIgBWAEkAQwBcACIALAAgADAAOwBcAG4AIAAgACAAIAAgACAAIAAgAFwAIgBDAG8AdAB0AG8AbgBcACIALAAgAFwAIgBRAEwARABcACIALAAgADAAOwBcAG4AIAAgACAAIAAgACAAIAAgAFwAIgBDAG8AdAB0AG8AbgBcACIALAAgAFwAIgBTAEEAXAAiACwAIAAwADsAXABuACAAIAAgACAAIAAgACAAIABcACIAQwBvAHQAdABvAG4AXAAiACwAIABcACIAVwBBAFwAIgAsACAAMAA7AFwAbgAgACAAIAAgACAAIAAgACAAXAAiAEMAbwB0AHQAbwBuAFwAIgAsACAAXAAiAFQAQQBTAFwAIgAsACAAMAA7AFwAbgAgACAAIAAgACAAIAAgACAAXAAiAEMAbwB0AHQAbwBuAFwAIgAsACAAXAAiAE4AVABcACIALAAgADAAOwBcAG4AIAAgACAAIAAgACAAIAAgAFwAIgBDAG8AdAB0AG8AbgBcACIALAAgAFwAIgBBAEMAVABcACIALAAgADAAOwBcAG4AIAAgACAAIAAgACAAIAAgAFwAIgBIAG8AcABzAFwAIgAsACAAXAAiAE4AUwBXAFwAIgAsACAAMAA7AFwAbgAgACAAIAAgACAAIAAgACAAXAAiAEgAbwBwAHMAXAAiACwAIABcACIAVgBJAEMAXAAiACwAIAAwADsAXABuACAAIAAgACAAIAAgACAAIABcACIASABvAHAAcwBcACIALAAgAFwAIgBRAEwARABcACIALAAgADAAOwBcAG4AIAAgACAAIAAgACAAIAAgAFwAIgBIAG8AcABzAFwAIgAsACAAXAAiAFMAQQBcACIALAAgADAAOwBcAG4AIAAgACAAIAAgACAAIAAgAFwAIgBIAG8AcABzAFwAIgAsACAAXAAiAFcAQQBcACIALAAgADAAOwBcAG4AIAAgACAAIAAgACAAIAAgAFwAIgBIAG8AcABzAFwAIgAsACAAXAAiAFQAQQBTAFwAIgAsACAAMAA7AFwAbgAgACAAIAAgACAAIAAgACAAXAAiAEgAbwBwAHMAXAAiACwAIABcACIATgBUAFwAIgAsACAAMAA7AFwAbgAgACAAIAAgACAAIAAgACAAXAAiAEgAbwBwAHMAXAAiACwAIABcACIAQQBDAFQAXAAiACwAIAAwADsAXABuACAAIAAgACAAIAAgACAAIABcACIARgBvAHIAYQBnAGUAIABjAHIAbwBwAHMAXAAiACwAIABcACIATgBTAFcAXAAiACwAIAAwAC4AOAA7AFwAbgAgACAAIAAgACAAIAAgACAAXAAiAEYAbwByAGEAZwBlACAAYwByAG8AcABzAFwAIgAsACAAXAAiAFYASQBDAFwAIgAsACAAMAAuADgAOwBcAG4AIAAgACAAIAAgACAAIAAgAFwAIgBGAG8AcgBhAGcAZQAgAGMAcgBvAHAAcwBcACIALAAgAFwAIgBRAEwARABcACIALAAgADAALgA4ADsAXABuACAAIAAgACAAIAAgACAAIABcACIARgBvAHIAYQBnAGUAIABjAHIAbwBwAHMAXAAiACwAIABcACIAUwBBAFwAIgAsACAAMAAuADgAOwBcAG4AIAAgACAAIAAgACAAIAAgAFwAIgBGAG8AcgBhAGcAZQAgAGMAcgBvAHAAcwBcACIALAAgAFwAIgBXAEEAXAAiACwAIAAwAC4AOAA7AFwAbgAgACAAIAAgACAAIAAgACAAXAAiAEYAbwByAGEAZwBlACAAYwByAG8AcABzAFwAIgAsACAAXAAiAFQAQQBTAFwAIgAsACAAMAAuADgAOwBcAG4AIAAgACAAIAAgACAAIAAgAFwAIgBGAG8AcgBhAGcAZQAgAGMAcgBvAHAAcwBcACIALAAgAFwAIgBOAFQAXAAiACwAIAAwAC4AOAA7AFwAbgAgACAAIAAgACAAIAAgACAAXAAiAEYAbwByAGEAZwBlACAAYwByAG8AcABzAFwAIgAsACAAXAAiAEEAQwBUAFwAIgAsACAAMAAuADgAOwBcAG4AIAAgACAAIAAgACAAIAAgAFwAIgBTAHUAZwBhAHIAIABDAGEAbgBlAFwAIgAsACAAXAAiAE4AUwBXAFwAIgAsACAAMAA7AFwAbgAgACAAIAAgACAAIAAgACAAXAAiAFMAdQBnAGEAcgAgAEMAYQBuAGUAXAAiACwAIABcACIAVgBJAEMAXAAiACwAIABcACIATgAvAEEAXAAiADsAXABuACAAIAAgACAAIAAgACAAIABcACIAUwB1AGcAYQByACAAQwBhAG4AZQBcACIALAAgAFwAIgBRAEwARABcACIALAAgADAALgAwADMAOwBcAG4AIAAgACAAIAAgACAAIAAgAFwAIgBTAHUAZwBhAHIAIABDAGEAbgBlAFwAIgAsACAAXAAiAFMAQQBcACIALAAgAFwAIgBOAC8AQQBcACIAOwBcAG4AIAAgACAAIAAgACAAIAAgAFwAIgBTAHUAZwBhAHIAIABDAGEAbgBlAFwAIgAsACAAXAAiAFcAQQBcACIALAAgADAAOwBcAG4AIAAgACAAIAAgACAAIAAgAFwAIgBTAHUAZwBhAHIAIABDAGEAbgBlAFwAIgAsACAAXAAiAFQAQQBTAFwAIgAsACAAXAAiAE4ALwBBAFwAIgA7AFwAbgAgACAAIAAgACAAIAAgACAAXAAiAFMAdQBnAGEAcgAgAEMAYQBuAGUAXAAiACwAIABcACIATgBUAFwAIgAsACAAXAAiAE4ALwBBAFwAIgA7AFwAbgAgACAAIAAgACAAIAAgACAAXAAiAFMAdQBnAGEAcgAgAEMAYQBuAGUAXAAiACwAIABcACIAQQBDAFQAXAAiACwAIABcACIATgAvAEEAXAAiADsAXABuACAAIAAgACAAIAAgACAAIABcACIAVwBoAGUAYQB0AFwAIgAsACAAXAAiAE4AUwBXAFwAIgAsACAAMAAuADAANQA7AFwAbgAgACAAIAAgACAAIAAgACAAXAAiAFcAaABlAGEAdABcACIALAAgAFwAIgBWAEkAQwBcACIALAAgADAALgAwADcAOwBcAG4AIAAgACAAIAAgACAAIAAgAFwAIgBXAGgAZQBhAHQAXAAiACwAIABcACIAUQBMAEQAXAAiACwAIAAwAC4AMAA0ADsAXABuACAAIAAgACAAIAAgACAAIABcACIAVwBoAGUAYQB0AFwAIgAsACAAXAAiAFMAQQBcACIALAAgADAALgAwADkAOwBcAG4AIAAgACAAIAAgACAAIAAgAFwAIgBXAGgAZQBhAHQAXAAiACwAIABcACIAVwBBAFwAIgAsACAAMAAuADEAMQA7AFwAbgAgACAAIAAgACAAIAAgACAAXAAiAFcAaABlAGEAdABcACIALAAgAFwAIgBUAEEAUwBcACIALAAgADAALgAxADYAOwBcAG4AIAAgACAAIAAgACAAIAAgAFwAIgBXAGgAZQBhAHQAXAAiACwAIABcACIATgBUAFwAIgAsACAAMAAuADAAMQA7AFwAbgAgACAAIAAgACAAIAAgACAAXAAiAFcAaABlAGEAdABcACIALAAgAFwAIgBBAEMAVABcACIALAAgADAALgAwADAAOwBcAG4AIAAgACAAIAAgACAAIAAgAFwAIgBCAGEAcgBsAGUAeQBcACIALAAgAFwAIgBOAFMAVwBcACIALAAgADAALgAwADUAOwBcAG4AIAAgACAAIAAgACAAIAAgAFwAIgBCAGEAcgBsAGUAeQBcACIALAAgAFwAIgBWAEkAQwBcACIALAAgADAALgAwADcAOwBcAG4AIAAgACAAIAAgACAAIAAgAFwAIgBCAGEAcgBsAGUAeQBcACIALAAgAFwAIgBRAEwARABcACIALAAgADAALgAwADQAOwBcAG4AIAAgACAAIAAgACAAIAAgAFwAIgBCAGEAcgBsAGUAeQBcACIALAAgAFwAIgBTAEEAXAAiACwAIAAwAC4AMAA5ADsAXABuACAAIAAgACAAIAAgACAAIABcACIAQgBhAHIAbABlAHkAXAAiACwAIABcACIAVwBBAFwAIgAsACAAMAAuADEAMQA7AFwAbgAgACAAIAAgACAAIAAgACAAXAAiAEIAYQByAGwAZQB5AFwAIgAsACAAXAAiAFQAQQBTAFwAIgAsACAAMAAuADEANgA7AFwAbgAgACAAIAAgACAAIAAgACAAXAAiAEIAYQByAGwAZQB5AFwAIgAsACAAXAAiAE4AVABcACIALAAgADAALgAwADEAOwBcAG4AIAAgACAAIAAgACAAIAAgAFwAIgBCAGEAcgBsAGUAeQBcACIALAAgAFwAIgBBAEMAVABcACIALAAgADAALgAwADAAOwBcAG4AIAAgACAAIAAgACAAIAAgAFwAIgBNAGEAaQB6AGUAXAAiACwAIABcACIATgBTAFcAXAAiACwAIAAwAC4AMAA1ADsAXABuACAAIAAgACAAIAAgACAAIABcACIATQBhAGkAegBlAFwAIgAsACAAXAAiAFYASQBDAFwAIgAsACAAMAAuADAANwA7AFwAbgAgACAAIAAgACAAIAAgACAAXAAiAE0AYQBpAHoAZQBcACIALAAgAFwAIgBRAEwARABcACIALAAgADAALgAwADQAOwBcAG4AIAAgACAAIAAgACAAIAAgAFwAIgBNAGEAaQB6AGUAXAAiACwAIABcACIAUwBBAFwAIgAsACAAMAAuADAAOQA7AFwAbgAgACAAIAAgACAAIAAgACAAXAAiAE0AYQBpAHoAZQBcACIALAAgAFwAIgBXAEEAXAAiACwAIAAwAC4AMQAxADsAXABuACAAIAAgACAAIAAgACAAIABcACIATQBhAGkAegBlAFwAIgAsACAAXAAiAFQAQQBTAFwAIgAsACAAMAAuADEANgA7AFwAbgAgACAAIAAgACAAIAAgACAAXAAiAE0AYQBpAHoAZQBcACIALAAgAFwAIgBOAFQAXAAiACwAIAAwAC4AMAAxADsAXABuACAAIAAgACAAIAAgACAAIABcACIATQBhAGkAegBlAFwAIgAsACAAXAAiAEEAQwBUAFwAIgAsACAAMAAuADAAMAA7AFwAbgAgACAAIAAgACAAIAAgACAAXAAiAE8AYQB0AHMAXAAiACwAIABcACIATgBTAFcAXAAiACwAIAAwAC4AMAA1ADsAXABuACAAIAAgACAAIAAgACAAIABcACIATwBhAHQAcwBcACIALAAgAFwAIgBWAEkAQwBcACIALAAgADAALgAwADcAOwBcAG4AIAAgACAAIAAgACAAIAAgAFwAIgBPAGEAdABzAFwAIgAsACAAXAAiAFEATABEAFwAIgAsACAAMAAuADAANAA7AFwAbgAgACAAIAAgACAAIAAgACAAXAAiAE8AYQB0AHMAXAAiACwAIABcACIAUwBBAFwAIgAsACAAMAAuADAAOQA7AFwAbgAgACAAIAAgACAAIAAgACAAXAAiAE8AYQB0AHMAXAAiACwAIABcACIAVwBBAFwAIgAsACAAMAAuADEAMQA7AFwAbgAgACAAIAAgACAAIAAgACAAXAAiAE8AYQB0AHMAXAAiACwAIABcACIAVABBAFMAXAAiACwAIAAwAC4AMQA2ADsAXABuACAAIAAgACAAIAAgACAAIABcACIATwBhAHQAcwBcACIALAAgAFwAIgBOAFQAXAAiACwAIAAwAC4AMAAxADsAXABuACAAIAAgACAAIAAgACAAIABcACIATwBhAHQAcwBcACIALAAgAFwAIgBBAEMAVABcACIALAAgADAALgAwADAAOwBcAG4AIAAgACAAIAAgACAAIAAgAFwAIgBTAG8AcgBnAGgAdQBtAFwAIgAsACAAXAAiAE4AUwBXAFwAIgAsACAAMAAuADAANQA7AFwAbgAgACAAIAAgACAAIAAgACAAXAAiAFMAbwByAGcAaAB1AG0AXAAiACwAIABcACIAVgBJAEMAXAAiACwAIAAwAC4AMAA3ADsAXABuACAAIAAgACAAIAAgACAAIABcACIAUwBvAHIAZwBoAHUAbQBcACIALAAgAFwAIgBRAEwARABcACIALAAgADAALgAwADQAOwBcAG4AIAAgACAAIAAgACAAIAAgAFwAIgBTAG8AcgBnAGgAdQBtAFwAIgAsACAAXAAiAFMAQQBcACIALAAgADAALgAwADkAOwBcAG4AIAAgACAAIAAgACAAIAAgAFwAIgBTAG8AcgBnAGgAdQBtAFwAIgAsACAAXAAiAFcAQQBcACIALAAgADAALgAxADEAOwBcAG4AIAAgACAAIAAgACAAIAAgAFwAIgBTAG8AcgBnAGgAdQBtAFwAIgAsACAAXAAiAFQAQQBTAFwAIgAsACAAMAAuADEANgA7AFwAbgAgACAAIAAgACAAIAAgACAAXAAiAFMAbwByAGcAaAB1AG0AXAAiACwAIABcACIATgBUAFwAIgAsACAAMAAuADAAMQA7AFwAbgAgACAAIAAgACAAIAAgACAAXAAiAFMAbwByAGcAaAB1AG0AXAAiACwAIABcACIAQQBDAFQAXAAiACwAIAAwAC4AMAAwADsAXABuACAAIAAgACAAIAAgACAAIABcACIAVAByAGkAdABpAGMAYQBsAGUAXAAiACwAIABcACIATgBTAFcAXAAiACwAIAAwAC4AMAA1ADsAXABuACAAIAAgACAAIAAgACAAIABcACIAVAByAGkAdABpAGMAYQBsAGUAXAAiACwAIABcACIAVgBJAEMAXAAiACwAIAAwAC4AMAA3ADsAXABuACAAIAAgACAAIAAgACAAIABcACIAVAByAGkAdABpAGMAYQBsAGUAXAAiACwAIABcACIAUQBMAEQAXAAiACwAIAAwAC4AMAA0ADsAXABuACAAIAAgACAAIAAgACAAIABcACIAVAByAGkAdABpAGMAYQBsAGUAXAAiACwAIABcACIAUwBBAFwAIgAsACAAMAAuADAAOQA7AFwAbgAgACAAIAAgACAAIAAgACAAXAAiAFQAcgBpAHQAaQBjAGEAbABlAFwAIgAsACAAXAAiAFcAQQBcACIALAAgADAALgAxADEAOwBcAG4AIAAgACAAIAAgACAAIAAgAFwAIgBUAHIAaQB0AGkAYwBhAGwAZQBcACIALAAgAFwAIgBUAEEAUwBcACIALAAgADAALgAxADYAOwBcAG4AIAAgACAAIAAgACAAIAAgAFwAIgBUAHIAaQB0AGkAYwBhAGwAZQBcACIALAAgAFwAIgBOAFQAXAAiACwAIAAwAC4AMAAxADsAXABuACAAIAAgACAAIAAgACAAIABcACIAVAByAGkAdABpAGMAYQBsAGUAXAAiACwAIABcACIAQQBDAFQAXAAiACwAIAAwAC4AMAAwADsAXABuACAAIAAgACAAIAAgACAAIABcACIATwB0AGgAZQByACAAYwBlAHIAZQBhAGwAcwBcACIALAAgAFwAIgBOAFMAVwBcACIALAAgADAALgAwADUAOwBcAG4AIAAgACAAIAAgACAAIAAgAFwAIgBPAHQAaABlAHIAIABjAGUAcgBlAGEAbABzAFwAIgAsACAAXAAiAFYASQBDAFwAIgAsACAAMAAuADAANwA7AFwAbgAgACAAIAAgACAAIAAgACAAXAAiAE8AdABoAGUAcgAgAGMAZQByAGUAYQBsAHMAXAAiACwAIABcACIAUQBMAEQAXAAiACwAIAAwAC4AMAA0ADsAXABuACAAIAAgACAAIAAgACAAIABcACIATwB0AGgAZQByACAAYwBlAHIAZQBhAGwAcwBcACIALAAgAFwAIgBTAEEAXAAiACwAIAAwAC4AMAA5ADsAXABuACAAIAAgACAAIAAgACAAIABcACIATwB0AGgAZQByACAAYwBlAHIAZQBhAGwAcwBcACIALAAgAFwAIgBXAEEAXAAiACwAIAAwAC4AMQAxADsAXABuACAAIAAgACAAIAAgACAAIABcACIATwB0AGgAZQByACAAYwBlAHIAZQBhAGwAcwBcACIALAAgAFwAIgBUAEEAUwBcACIALAAgADAALgAxADYAOwBcAG4AIAAgACAAIAAgACAAIAAgAFwAIgBPAHQAaABlAHIAIABjAGUAcgBlAGEAbABzAFwAIgAsACAAXAAiAE4AVABcACIALAAgADAALgAwADEAOwBcAG4AIAAgACAAIAAgACAAIAAgAFwAIgBPAHQAaABlAHIAIABjAGUAcgBlAGEAbABzAFwAIgAsACAAXAAiAEEAQwBUAFwAIgAsACAAMAAuADAAMAA7AFwAbgAgACAAIAAgACAAIAAgACAAXAAiAFAAdQBsAHMAZQBzAFwAIgAsACAAXAAiAE4AUwBXAFwAIgAsACAAMAAuADAANQA7AFwAbgAgACAAIAAgACAAIAAgACAAXAAiAFAAdQBsAHMAZQBzAFwAIgAsACAAXAAiAFYASQBDAFwAIgAsACAAMAAuADAANwA7AFwAbgAgACAAIAAgACAAIAAgACAAXAAiAFAAdQBsAHMAZQBzAFwAIgAsACAAXAAiAFEATABEAFwAIgAsACAAMAAuADAANAA7AFwAbgAgACAAIAAgACAAIAAgACAAXAAiAFAAdQBsAHMAZQBzAFwAIgAsACAAXAAiAFMAQQBcACIALAAgADAALgAwADkAOwBcAG4AIAAgACAAIAAgACAAIAAgAFwAIgBQAHUAbABzAGUAcwBcACIALAAgAFwAIgBXAEEAXAAiACwAIAAwAC4AMQAxADsAXABuACAAIAAgACAAIAAgACAAIABcACIAUAB1AGwAcwBlAHMAXAAiACwAIABcACIAVABBAFMAXAAiACwAIAAwAC4AMQA2ADsAXABuACAAIAAgACAAIAAgACAAIABcACIAUAB1AGwAcwBlAHMAXAAiACwAIABcACIATgBUAFwAIgAsACAAMAAuADAAMQA7AFwAbgAgACAAIAAgACAAIAAgACAAXAAiAFAAdQBsAHMAZQBzAFwAIgAsACAAXAAiAEEAQwBUAFwAIgAsACAAMAAuADAAMAA7AFwAbgAgACAAIAAgACAAIAAgACAAXAAiAFAAZQBhAG4AdQB0AHMAXAAiACwAIABcACIATgBTAFcAXAAiACwAIAAwAC4AMAA1ADsAXABuACAAIAAgACAAIAAgACAAIABcACIAUABlAGEAbgB1AHQAcwBcACIALAAgAFwAIgBWAEkAQwBcACIALAAgADAALgAwADcAOwBcAG4AIAAgACAAIAAgACAAIAAgAFwAIgBQAGUAYQBuAHUAdABzAFwAIgAsACAAXAAiAFEATABEAFwAIgAsACAAMAAuADAANAA7AFwAbgAgACAAIAAgACAAIAAgACAAXAAiAFAAZQBhAG4AdQB0AHMAXAAiACwAIABcACIAUwBBAFwAIgAsACAAMAAuADAAOQA7AFwAbgAgACAAIAAgACAAIAAgACAAXAAiAFAAZQBhAG4AdQB0AHMAXAAiACwAIABcACIAVwBBAFwAIgAsACAAMAAuADEAMQA7AFwAbgAgACAAIAAgACAAIAAgACAAXAAiAFAAZQBhAG4AdQB0AHMAXAAiACwAIABcACIAVABBAFMAXAAiACwAIAAwAC4AMQA2ADsAXABuACAAIAAgACAAIAAgACAAIABcACIAUABlAGEAbgB1AHQAcwBcACIALAAgAFwAIgBOAFQAXAAiACwAIAAwAC4AMAAxADsAXABuACAAIAAgACAAIAAgACAAIABcACIAUABlAGEAbgB1AHQAcwBcACIALAAgAFwAIgBBAEMAVABcACIALAAgADAALgAwADAAOwBcAG4AIAAgACAAIAAgACAAIAAgAFwAIgBPAGkAbABzAGUAZQBkAHMAXAAiACwAIABcACIATgBTAFcAXAAiACwAIAAwAC4AMAA1ADsAXABuACAAIAAgACAAIAAgACAAIABcACIATwBpAGwAcwBlAGUAZABzAFwAIgAsACAAXAAiAFYASQBDAFwAIgAsACAAMAAuADAANwA7AFwAbgAgACAAIAAgACAAIAAgACAAXAAiAE8AaQBsAHMAZQBlAGQAcwBcACIALAAgAFwAIgBRAEwARABcACIALAAgADAALgAwADQAOwBcAG4AIAAgACAAIAAgACAAIAAgAFwAIgBPAGkAbABzAGUAZQBkAHMAXAAiACwAIABcACIAUwBBAFwAIgAsACAAMAAuADAAOQA7AFwAbgAgACAAIAAgACAAIAAgACAAXAAiAE8AaQBsAHMAZQBlAGQAcwBcACIALAAgAFwAIgBXAEEAXAAiACwAIAAwAC4AMQAxADsAXABuACAAIAAgACAAIAAgACAAIABcACIATwBpAGwAcwBlAGUAZABzAFwAIgAsACAAXAAiAFQAQQBTAFwAIgAsACAAMAAuADEANgA7AFwAbgAgACAAIAAgACAAIAAgACAAXAAiAE8AaQBsAHMAZQBlAGQAcwBcACIALAAgAFwAIgBOAFQAXAAiACwAIAAwAC4AMAAxADsAXABuACAAIAAgACAAIAAgACAAIABcACIATwBpAGwAcwBlAGUAZABzAFwAIgAsACAAXAAiAEEAQwBUAFwAIgAsACAAMAAuADAAMAA7AFwAbgAgACAAIAAgACAAIAAgACAAXAAiAE8AdABoAGUAcgAgAGEAbgBuAHUAYQBsACAAYwByAG8AcABzAFwAIgAsACAAXAAiAE4AUwBXAFwAIgAsACAAMAAuADAANQA7AFwAbgAgACAAIAAgACAAIAAgACAAXAAiAE8AdABoAGUAcgAgAGEAbgBuAHUAYQBsACAAYwByAG8AcABzAFwAIgAsACAAXAAiAFYASQBDAFwAIgAsACAAMAAuADAANwA7AFwAbgAgACAAIAAgACAAIAAgACAAXAAiAE8AdABoAGUAcgAgAGEAbgBuAHUAYQBsACAAYwByAG8AcABzAFwAIgAsACAAXAAiAFEATABEAFwAIgAsACAAMAAuADAANAA7AFwAbgAgACAAIAAgACAAIAAgACAAXAAiAE8AdABoAGUAcgAgAGEAbgBuAHUAYQBsACAAYwByAG8AcABzAFwAIgAsACAAXAAiAFMAQQBcACIALAAgADAALgAwADkAOwBcAG4AIAAgACAAIAAgACAAIAAgAFwAIgBPAHQAaABlAHIAIABhAG4AbgB1AGEAbAAgAGMAcgBvAHAAcwBcACIALAAgAFwAIgBXAEEAXAAiACwAIAAwAC4AMQAxADsAXABuACAAIAAgACAAIAAgACAAIABcACIATwB0AGgAZQByACAAYQBuAG4AdQBhAGwAIABjAHIAbwBwAHMAXAAiACwAIABcACIAVABBAFMAXAAiACwAIAAwAC4AMQA2ADsAXABuACAAIAAgACAAIAAgACAAIABcACIATwB0AGgAZQByACAAYQBuAG4AdQBhAGwAIABjAHIAbwBwAHMAXAAiACwAIABcACIATgBUAFwAIgAsACAAMAAuADAAMQA7AFwAbgAgACAAIAAgACAAIAAgACAAXAAiAE8AdABoAGUAcgAgAGEAbgBuAHUAYQBsACAAYwByAG8AcABzAFwAIgAsACAAXAAiAEEAQwBUAFwAIgAsACAAMAAuADAAMAA7AFwAbgAgACAAIAAgACAAIAAgACAAXAAiAE8AdABoAGUAcgAgAHAAZQByAGUAbgBuAGkAYQBsACAAYwByAG8AcABzAFwAIgAsACAAXAAiAE4AUwBXAFwAIgAsACAAMAAuADAANQA7AFwAbgAgACAAIAAgACAAIAAgACAAXAAiAE8AdABoAGUAcgAgAHAAZQByAGUAbgBuAGkAYQBsACAAYwByAG8AcABzAFwAIgAsACAAXAAiAFYASQBDAFwAIgAsACAAMAAuADAANwA7AFwAbgAgACAAIAAgACAAIAAgACAAXAAiAE8AdABoAGUAcgAgAHAAZQByAGUAbgBuAGkAYQBsACAAYwByAG8AcABzAFwAIgAsACAAXAAiAFEATABEAFwAIgAsACAAMAAuADAANAA7AFwAbgAgACAAIAAgACAAIAAgACAAXAAiAE8AdABoAGUAcgAgAHAAZQByAGUAbgBuAGkAYQBsACAAYwByAG8AcABzAFwAIgAsACAAXAAiAFMAQQBcACIALAAgADAALgAwADkAOwBcAG4AIAAgACAAIAAgACAAIAAgAFwAIgBPAHQAaABlAHIAIABwAGUAcgBlAG4AbgBpAGEAbAAgAGMAcgBvAHAAcwBcACIALAAgAFwAIgBXAEEAXAAiACwAIAAwAC4AMQAxADsAXABuACAAIAAgACAAIAAgACAAIABcACIATwB0AGgAZQByACAAcABlAHIAZQBuAG4AaQBhAGwAIABjAHIAbwBwAHMAXAAiACwAIABcACIAVABBAFMAXAAiACwAIAAwAC4AMQA2ADsAXABuACAAIAAgACAAIAAgACAAIABcACIATwB0AGgAZQByACAAcABlAHIAZQBuAG4AaQBhAGwAIABjAHIAbwBwAHMAXAAiACwAIABcACIATgBUAFwAIgAsACAAMAAuADAAMQA7AFwAbgAgACAAIAAgACAAIAAgACAAXAAiAE8AdABoAGUAcgAgAHAAZQByAGUAbgBuAGkAYQBsACAAYwByAG8AcABzAFwAIgAsACAAXAAiAEEAQwBUAFwAIgAsACAAMAAuADAAMABcAG4AIAAgACAAIAAgACAAfQAsACAAcgAsACAAYwApAFwAbgApACkAKQA7AFwAbgBcAG4AQwByAG8AcABGAHIAYQBjAHQAaQBvAG4AUgBlAG0AbwB2AGUAZABfAFYAYQByAGkAYQB0AGkAbwBuAFwAbgA9AEwAQQBNAEIARABBACgAKABcACIAVgBBAFIASQBBAFQASQBPAE4AIABPAEYAIABTAE8AVQBSAEMARQAgAEQAQQBUAEEAOgAgAFMAcABsAGkAdAAgAFwAdQAwADAAMgA3AEEAbABsACAAbwB0AGgAZQByACAAYwByAG8AcAAgAHQAeQBwAGUAcwBcAHUAMAAwADIANwAgAGkAbgB0AG8AIABpAG4AZABpAHYAaQBkAHUAYQBsACAAYwByAG8AcAAgAHQAeQBwAGUAcwAgAGYAbwByACAAZQBhAGMAaAAgAHMAdABhAHQAZQAuACAATABpAHMAdABlAGQAIABhAGwAbAAgAHMAdABhAHQAZQBzACAAZgBvAHIAIABTAHUAZwBhAHIAIABDAGEAbgBlACwAIAB3AGkAdABoACAAXAB1ADAAMAAyADcATgAvAEEAXAB1ADAAMAAyADcAIABmAG8AcgAgAHMAdABhAHQAZQBzACAAdwBoAGUAcgBlACAAaQB0ACAAaQBzACAAbgBvAHQAIABnAHIAbwB3AG4ALgBcACIAKQApADsAXABuAFwAbgBcAG4ALwAqAFwAbgA9AD0APQA9AD0APQA9AD0APQA9AD0APQA9AD0APQA9AD0APQA9AD0APQA9AD0APQA9AD0APQA9AD0APQA9AD0APQA9AD0APQA9AD0APQA9AD0APQA9AD0APQA9AD0APQA9AD0APQA9AD0APQA9AD0APQA9AD0APQA9AD0APQA9AD0APQA9AD0APQA9AD0APQA9AD0APQA9AFwAbgBQAGEAcwB0AHUAcgBlACAAYQB0AHQAcgBpAGIAdQB0AGUAcwBcAG4APQA9AD0APQA9AD0APQA9AD0APQA9AD0APQA9AD0APQA9AD0APQA9AD0APQA9AD0APQA9AD0APQA9AD0APQA9AD0APQA9AD0APQA9AD0APQA9AD0APQA9AD0APQA9AD0APQA9AD0APQA9AD0APQA9AD0APQA9AD0APQA9AD0APQA9AD0APQA9AD0APQA9AD0APQA9AD0APQBcAG4AKgAvAFwAbgBcAG4AUABhAHMAdAB1AHIAZQBBAHQAdAByAGkAYgB1AHQAZQBzAF8AVABpAHQAbABlAFwAbgA9AEwAQQBNAEIARABBACgAKABcACIAVABhAGIAbABlACAAQQAuADIALgAxAC4AMwAgAFAAYQBzAHQAdQByAGUAIABhAHQAdAByAGkAYgB1AHQAZQBzAFwAIgApACkAOwBcAG4AXABuAFAAYQBzAHQAdQByAGUAQQB0AHQAcgBpAGIAdQB0AGUAcwBfAEQAZQBzAGMAcgBpAHAAdABpAG8AbgBcAG4APQBMAEEATQBCAEQAQQAoACgAXAAiAFAAYQBzAHQAdQByAGUAIABhAHQAdAByAGkAYgB1AHQAZQBzAFwAIgApACkAOwBcAG4AXABuAFAAYQBzAHQAdQByAGUAQQB0AHQAcgBpAGIAdQB0AGUAcwBfAFMAbwB1AHIAYwBlAFwAbgA9AEwAQQBNAEIARABBACgAKABcACIAVgBFAEUAUgBHACAAMgAwADIANgA6ACAAVABhAGIAbABlACAAQQAuADIALgAxAC4AMwA6ACAAUABhAHMAdAB1AHIAZQAgAGEAdAB0AHIAaQBiAHUAdABlAHMAXAAiACkAKQA7AFwAbgBcAG4AUABhAHMAdAB1AHIAZQBBAHQAdAByAGkAYgB1AHQAZQBzAF8ARABhAHQAYQBcAG4APQBMAEEATQBCAEQAQQAoAFwAbgAgACAATQBBAEsARQBBAFIAUgBBAFkAKAA2ACwAIAA2ACwAXABuACAAIAAgACAATABBAE0AQgBEAEEAKAByACwAYwAsAFwAbgAgACAAIAAgACAAIABJAE4ARABFAFgAKAB7AFwAbgAgACAAIAAgACAAIAAgACAAXAAiAFAAYQBzAHQAdQByAGUAIAB0AHkAcABlAFwAIgAsACAAXAAiAEEAdgBlAHIAYQBnAGUAIABZAGkAZQBsAGQAIAAoAHQAIABEAE0AIABoAGEAKQAgAFkAcABcACIALAAgAFwAIgBCAGUAbABvAHcALQBnAHIAbwB1AG4AZAA6ACAAYQBiAG8AdgBlAC0AZwByAG8AdQBuAGQAIAByAGUAcwBpAGQAdQBlACAAcgBhAHQAaQBvACAAUgBCAEcAcABcACIALAAgAFwAIgBOACAAYwBvAG4AdABlAG4AdAAgAEEAYgBvAHYAZQAtAGcAcgBvAHUAbgBkACAATgBDAEEARwBwAFwAIgAsACAAXAAiAE4AIABjAG8AbgB0AGUAbgB0ACAAQgBlAGwAbwB3AC0AZwByAG8AdQBuAGQAIABOAEMAQgBHAHAAXAAiACwAIABcACIARgByAGEAYwB0AGkAbwBuACAAbwBmACAAcABhAHMAdAB1AHIAZQAgAHkAaQBlAGwAZAAgAHQAaABhAHQAIABpAHMAIAByAGUAbQBvAHYAZQBkACAARgBGAE8ARABwAFwAIgA7AFwAbgAgACAAIAAgACAAIAAgACAAXAAiAEEAbgBuAHUAYQBsACAAZwByAGEAcwBzAFwAIgAsACAANAAuADQAMQAsACAAMAAuADQALAAgADAALgAwADEANQAsACAAMAAuADAAMQAyACwAIAAwAC4AOAA7AFwAbgAgACAAIAAgACAAIAAgACAAXAAiAEcAcgBhAHMAcwAgAGMAbABvAHYAZQByACAAbQBpAHgAdAB1AHIAZQBcACIALAAgADgALgAzADQALAAgADAALgA4ACwAIAAwAC4AMAAyADUALAAgADAALgAwADEANgAsACAAMAAuADgAOwBcAG4AIAAgACAAIAAgACAAIAAgAFwAIgBMAHUAYwBlAHIAbgBlAFwAIgAsACAAOAAuADYAMgAsACAAMAAuADQALAAgADAALgAwADIANwAsACAAMAAuADAAMQA5ACwAIAAwAC4AOAA7AFwAbgAgACAAIAAgACAAIAAgACAAXAAiAE8AdABoAGUAcgAgAGwAZQBnAHUAbQBlAFwAIgAsACAANQAuADYAMgAsACAAMAAuADQALAAgADAALgAwADIANwAsACAAMAAuADAAMgAyACwAIAAwAC4AOAA7AFwAbgAgACAAIAAgACAAIAAgACAAXAAiAFAAZQByAGUAbgBuAGkAYQBsACAAcABhAHMAdAB1AHIAZQBcACIALAAgADgALgAzADUALAAgADAALgA4ACwAIAAwAC4AMAAxADUALAAgADAALgAwADEAMgAsACAAMAAuADg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DUALgAzADEAIABCAHUAcgBuAGkAbgBnACAAbwBmACAAYQBnAHIAaQBjAHUAbAB0AHUAcgBhAGwAIAByAGUAcwBpAGQAdQBlAHMAIAAtACAARQBGAHMAXABuAD0APQA9AD0APQA9AD0APQA9AD0APQA9AD0APQA9AD0APQA9AD0APQA9AD0APQA9AD0APQA9AD0APQA9AD0APQA9AD0APQA9AD0APQA9AD0APQA9AD0APQA9AD0APQA9AD0APQA9AD0APQA9AD0APQA9AD0APQA9AD0APQA9AD0APQA9AD0APQA9AD0APQA9AD0APQA9AD0AXABuACoALwBcAG4AXABuAEIAdQByAG4AaQBuAGcATwBmAEEAZwByAGkAYwB1AGwAdAB1AHIAYQBsAFIAZQBzAGkAZAB1AGUAcwBFAEYAcwBfAFQAaQB0AGwAZQBcAG4APQBMAEEATQBCAEQAQQAoACgAXAAiAFQAYQBiAGwAZQAgADUALgAzADEAIABCAHUAcgBuAGkAbgBnACAAbwBmACAAYQBnAHIAaQBjAHUAbAB0AHUAcgBhAGwAIAByAGUAcwBpAGQAdQBlAHMAIAAtACAARQBGAHMAXAAiACkAKQA7AFwAbgBcAG4AQgB1AHIAbgBpAG4AZwBPAGYAQQBnAHIAaQBjAHUAbAB0AHUAcgBhAGwAUgBlAHMAaQBkAHUAZQBzAEUARgBzAF8ARABlAHMAYwByAGkAcAB0AGkAbwBuAFwAbgA9AEwAQQBNAEIARABBACgAKABcACIAQgB1AHIAbgBpAG4AZwAgAG8AZgAgAGEAZwByAGkAYwB1AGwAdAB1AHIAYQBsACAAcgBlAHMAaQBkAHUAZQBzACAALQAgAEUARgBzAFwAIgApACkAOwBcAG4AXABuAEIAdQByAG4AaQBuAGcATwBmAEEAZwByAGkAYwB1AGwAdAB1AHIAYQBsAFIAZQBzAGkAZAB1AGUAcwBFAEYAcwBfAFMAbwB1AHIAYwBlAFwAbgA9AEwAQQBNAEIARABBACgAKABcACIATgBhAHQAaQBvAG4AYQBsACAASQBuAHYAZQBuAHQAbwByAHkAIABSAGUAcABvAHIAdAAgADIAMAAyADMAIAB2AG8AbAB1AG0AZQAgADIAOgAgAFQAYQBiAGwAZQAgADUALgAzADEAOgAgAEIAdQByAG4AaQBuAGcAIABvAGYAIABhAGcAcgBpAGMAdQBsAHQAdQByAGEAbAAgAHIAZQBzAGkAZAB1AGUAcwAgAC0AIABFAEYAcwBcACIAKQApADsAXABuAFwAbgBCAHUAcgBuAGkAbgBnAE8AZgBBAGcAcgBpAGMAdQBsAHQAdQByAGEAbABSAGUAcwBpAGQAdQBlAHMARQBGAHMAXwBEAGEAdABhAFwAbgA9AEwAQQBNAEIARABBACgAXABuACAAIABNAEEASwBFAEEAUgBSAEEAWQAoADYALAAgADMALABcAG4AIAAgACAAIABMAEEATQBCAEQAQQAoAHIALABjACwAXABuACAAIAAgACAAIAAgAEkATgBEAEUAWAAoAHsAXABuACAAIAAgACAAIAAgACAAIABcACIARwBhAHMAIABzAHAAZQBjAGkAZQBzAFwAIgAsACAAXAAiAEUAbQBpAHMAcwBpAG8AbgAgAGYAYQBjAHQAbwByACAARQBGAGcAIAAoAEcAZwAgAGUAbABlAG0AZQBuAHQAIABpAG4AIABzAHAAZQBjAGkAZQBzAC8AIABHAGcAIABlAGwAZQBtAGUAbgB0ACAAaQBuACAAZgB1AGUAbAAgAGIAdQByAG4AdAApAFwAIgAsACAAXAAiAEUAbABlAG0AZQBuAHQAYQBsACAAdABvACAAbQBvAGwAZQBjAHUAbABhAHIAIABtAGEAcwBzACAAYwBvAG4AdgBlAHIAcwBpAG8AbgAgAGYAYQBjAHQAbwByACAAKABDAGcAKQBcACIAOwBcAG4AIAAgACAAIAAgACAAIAAgAFwAIgBDAEgANABcACIALAAgADAALgAwADAAMwA1ACwAIABcACIAMQA2AC8AMQAyAFwAIgA7AFwAbgAgACAAIAAgACAAIAAgACAAXAAiAE4AMgBPAFwAIgAsACAAMAAuADAAMAA3ADYALAAgAFwAIgA0ADQALwAyADgAXAAiADsAXABuACAAIAAgACAAIAAgACAAIABcACIATgBPAHgAXAAiACwAIAAwAC4AMgAxADAAMAAsACAAXAAiADQANgAvADEANABcACIAOwBcAG4AIAAgACAAIAAgACAAIAAgAFwAIgBDAE8AXAAiACwAIAAwAC4AMAA3ADgAMAAsACAAXAAiADIAOAAvADEAMgBcACIAOwBcAG4AIAAgACAAIAAgACAAIAAgAFwAIgBOAE0AVgBPAEMAXAAiACwAIAAwAC4AMAAwADkAMQAsACAAXAAiADEANAAvADEAMgBcACIAXABuACAAIAAgACAAIAAgAH0ALAAgAHIALAAgAGMAKQBcAG4AKQApACkAOwBcAG4AXABuAFwAbgAvACoAIABcAG4ALQAtAC0ALQAtAC0ALQAtAC0ALQAtAC0ALQAtAC0ALQAtAC0ALQAtAC0ALQAtAC0ALQAtAC0ALQAtAC0ALQAtAC0ALQAtAC0ALQAtAFwAbgBOADIATwBFAEYATwByAGcAYQBuAGkAYwBGAGUAcgB0AGkAbABpAHMAZQByAFwAbgBWAEUARQBSAEcAIAAyADAAMgA2ADoAIABUAGEAYgBsAGUAIABBAC4AMgAuADEALgA0ACAARQBtAGkAcwBzAGkAbwBuACAAZgBhAGMAdABvAHIAIABmAG8AcgAgAG8AcgBnAGEAbgBpAGMAIABmAGUAcgB0AGkAbABpAHMAZQByACAAYQBuAGQAIABjAHIAbwBwACAAcgBlAHMAaQBkAHUAZQBzACAAcgBlAHQAdQByAG4AZQBkACAAdABvACAAdABoAGUAIABzAG8AaQBsAFwAbgAtAC0ALQAtAC0ALQAtAC0ALQAtAC0ALQAtAC0ALQAtAC0ALQAtAC0ALQAtAC0ALQAtAC0ALQAtAC0ALQAtAC0ALQAtAC0ALQAtAC0AXABuACoALwBcAG4AXABu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TgAyAE8ARQBGAE8AcgBnAGEAbgBpAGMARgBlAHIAdABpAGwAaQBzAGUAcgBfAFUAbgBpAHQAXABuACAAIAA9AEwAQQBNAEIARABBACgAXAAiAGsAZwAgAE4AMgBPACAALQAgAE4AIAAvACAAawBnACAATgBcACIAKQA7AFwAbgBcAG4ATgAyAE8ARQBGAE8AcgBnAGEAbgBpAGMARgBlAHIAdABpAGwAaQBzAGUAcgBfAFMAbwB1AHIAYwBlAFwAbgAgACAAPQBMAEEATQBCAEQAQQAoAFwAIgBWAEUARQBSAEcAIAAyADAAMgA2ADoAIABUAGEAYgBsAGUAIABBAC4AMgAuADEALgA0AFwAIgApADsAXABuAFwAbg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OADIATwBFAEYATwByAGcAYQBuAGkAYwBGAGUAcgB0AGkAbABpAHMAZQByAF8ARABhAHQAYQBcAG4AIAAgAD0ATABBAE0AQgBEAEEAKABcAG4AIAAgACAAIABNAEEASwBFAEEAUgBSAEEAWQAoADMALAAgADIALAAgAFwAbgAgACAAIAAgACAAIABMAEEATQBCAEQAQQAoAHIALABjACwAIABcAG4AIAAgACAAIAAgACAAIAAgAEkATgBEAEUAWAAoAHsAXABuACAAIAAgACAAIAAgACAAIAAgACAAXAAiAEMAbABpAG0AYQB0AGUAIAB6AG8AbgBlACAAaQBcACIALAAgAFwAIgBFAEYAIABpACAATgAyAE8AXAAiADsAXABuACAAIAAgACAAIAAgACAAIAAgACAAIAAgAFwAIgBXAGUAdAAgAGMAbABpAG0AYQB0AGUAIAB6AG8AbgBlAFwAIgAsACAAMAAuADAAMAA2ADsAXABuACAAIAAgACAAIAAgACAAIAAgACAAIAAgAFwAIgBEAHIAeQAgAGMAbABpAG0AYQB0AGUAIAB6AG8AbgBlAFwAIgAsACAAMAAuADAAMAA1AFwAbgAgACAAIAAgACAAIAAgACAAfQAsACAAcgAsACAAYwApAFwAbgAgACAAIAAgACAAIAApAFwAbgAgACAAIAAgACkAXABuACAAIAApADsAXABuAFwAbg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QQBuAGkAbQBhAGwAc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ABpAHYAZQBzAHQAbwBjAGsAXwBWAGEAcgBpAGEAdABpAG8AbgBcAG4APQBMAEEATQBCAEQAQQAoACgAXAAiAFwAIgApACkAOwBcAG4AXABuAFMAYwBvAHAAZQAzAF8ATABpAHYAZQBzAHQAbwBjAGsAXwBEAGEAdABhAFwAbgA9AEwAQQBNAEIARABBACgAXABuACAAIABNAEEASwBFAEEAUgBSAEEAWQAoADQAM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EAbgBpAG0AYQBsAHMAXAAiACwAIABcACIAQgBlAGUAZgAgAGMAYQB0AHQAbABlAFwAIgAsACAAXAAiAEMAYQB0AHQAbABlACwAIABmAG8AcgAgAG0AYQBuAHUAZgBhAGMAdAB1AHIAaQBuAGcAIABiAGUAZQBmAFwAIgAsACAAXAAiAEEAdQBzAHQAcgBhAGwAaQBhAFwAIgAsACAAXAAiAGsAZwAgAGwAaQB2AGUAdwBlAGkAZwBoAHQAXAAiACwAIAAxADEALAAgAFwAIgBhAHQAIABtAGEAcgBrAGUAdABcACIAOwBcAG4AIAAgACAAIAAgACAAIAAgAFwAIgBBAG4AaQBtAGEAbABzAFwAIgAsACAAXAAiAEIAZQBlAGYAIABjAGEAdAB0AGwAZQBcACIALAAgAFwAIgBDAGEAdAB0AGwAZQAsACAAZgBvAHIAIABtAGEAbgB1AGYAYQBjAHQAdQByAGkAbgBnACAAYgBlAGUAZgBcACIALAAgAFwAIgBOAFMAVwBcACIALAAgAFwAIgBrAGcAIABsAGkAdgBlAHcAZQBpAGcAaAB0AFwAIgAsACAAOAAuADIAMQAsACAAXAAiAGEAdAAgAG0AYQByAGsAZQB0AFwAIgA7AFwAbgAgACAAIAAgACAAIAAgACAAXAAiAEEAbgBpAG0AYQBsAHMAXAAiACwAIABcACIAQgBlAGUAZgAgAGMAYQB0AHQAbABlAFwAIgAsACAAXAAiAEMAYQB0AHQAbABlACwAIABmAG8AcgAgAG0AYQBuAHUAZgBhAGMAdAB1AHIAaQBuAGcAIABiAGUAZQBmAFwAIgAsACAAXAAiAE4AVABcACIALAAgAFwAIgBrAGcAIABsAGkAdgBlAHcAZQBpAGcAaAB0AFwAIgAsACAAMQAyAC4AMgAsACAAXAAiAGEAdAAgAG0AYQByAGsAZQB0AFwAIgA7AFwAbgAgACAAIAAgACAAIAAgACAAXAAiAEEAbgBpAG0AYQBsAHMAXAAiACwAIABcACIAQgBlAGUAZgAgAGMAYQB0AHQAbABlAFwAIgAsACAAXAAiAEMAYQB0AHQAbABlACwAIABmAG8AcgAgAG0AYQBuAHUAZgBhAGMAdAB1AHIAaQBuAGcAIABiAGUAZQBmAFwAIgAsACAAXAAiAFEATABEAFwAIgAsACAAXAAiAGsAZwAgAGwAaQB2AGUAdwBlAGkAZwBoAHQAXAAiACwAIAAxADAALgA5ACwAIABcACIAYQB0ACAAbQBhAHIAawBlAHQAXAAiADsAXABuACAAIAAgACAAIAAgACAAIABcACIAQQBuAGkAbQBhAGwAcwBcACIALAAgAFwAIgBCAGUAZQBmACAAYwBhAHQAdABsAGUAXAAiACwAIABcACIAQwBhAHQAdABsAGUALAAgAGYAbwByACAAbQBhAG4AdQBmAGEAYwB0AHUAcgBpAG4AZwAgAGIAZQBlAGYAXAAiACwAIABcACIAUwBBAFwAIgAsACAAXAAiAGsAZwAgAGwAaQB2AGUAdwBlAGkAZwBoAHQAXAAiACwAIAA3AC4ANgAzACwAIABcACIAYQB0ACAAbQBhAHIAawBlAHQAXAAiADsAXABuACAAIAAgACAAIAAgACAAIABcACIAQQBuAGkAbQBhAGwAcwBcACIALAAgAFwAIgBCAGUAZQBmACAAYwBhAHQAdABsAGUAXAAiACwAIABcACIAQwBhAHQAdABsAGUALAAgAGYAbwByACAAbQBhAG4AdQBmAGEAYwB0AHUAcgBpAG4AZwAgAGIAZQBlAGYAXAAiACwAIABcACIAVABBAFMAXAAiACwAIABcACIAawBnACAAbABpAHYAZQB3AGUAaQBnAGgAdABcACIALAAgADgALgA3ADUALAAgAFwAIgBhAHQAIABtAGEAcgBrAGUAdABcACIAOwBcAG4AIAAgACAAIAAgACAAIAAgAFwAIgBBAG4AaQBtAGEAbABzAFwAIgAsACAAXAAiAEIAZQBlAGYAIABjAGEAdAB0AGwAZQBcACIALAAgAFwAIgBDAGEAdAB0AGwAZQAsACAAZgBvAHIAIABtAGEAbgB1AGYAYQBjAHQAdQByAGkAbgBnACAAYgBlAGUAZgBcACIALAAgAFwAIgBWAEkAQwBcACIALAAgAFwAIgBrAGcAIABsAGkAdgBlAHcAZQBpAGcAaAB0AFwAIgAsACAAOAAuADEANwAsACAAXAAiAGEAdAAgAG0AYQByAGsAZQB0AFwAIgA7AFwAbgAgACAAIAAgACAAIAAgACAAXAAiAEEAbgBpAG0AYQBsAHMAXAAiACwAIABcACIAQgBlAGUAZgAgAGMAYQB0AHQAbABlAFwAIgAsACAAXAAiAEMAYQB0AHQAbABlACwAIABmAG8AcgAgAG0AYQBuAHUAZgBhAGMAdAB1AHIAaQBuAGcAIABiAGUAZQBmAFwAIgAsACAAXAAiAFcAQQBcACIALAAgAFwAIgBrAGcAIABsAGkAdgBlAHcAZQBpAGcAaAB0AFwAIgAsACAAMQAzAC4AMQAsACAAXAAiAGEAdAAgAG0AYQByAGsAZQB0AFwAIgA7AFwAbgAgACAAIAAgACAAIAAgACAAXAAiAEEAbgBpAG0AYQBsAHMAXAAiACwAIABcACIAQgBlAGUAZgAgAGMAYQB0AHQAbABlAFwAIgAsACAAXAAiAEMAYQB0AHQAbABlACwAIABmAG8AcgAgAHAAcgBpAG0AZQAgAGIAZQBlAGYAXAAiACwAIABcACIAQQB1AHMAdAByAGEAbABpAGEAXAAiACwAIABcACIAawBnACAAbABpAHYAZQB3AGUAaQBnAGgAdABcACIALAAgADEANAAuADUALAAgAFwAIgBhAHQAIABtAGEAcgBrAGUAdABcACIAOwBcAG4AIAAgACAAIAAgACAAIAAgAFwAIgBBAG4AaQBtAGEAbABzAFwAIgAsACAAXAAiAEIAZQBlAGYAIABjAGEAdAB0AGwAZQBcACIALAAgAFwAIgBDAGEAdAB0AGwAZQAsACAAZgBvAHIAIABwAHIAaQBtAGUAIABiAGUAZQBmAFwAIgAsACAAXAAiAE4AUwBXAFwAIgAsACAAXAAiAGsAZwAgAGwAaQB2AGUAdwBlAGkAZwBoAHQAXAAiACwAIAAxADEALgAzACwAIABcACIAYQB0ACAAbQBhAHIAawBlAHQAXAAiADsAXABuACAAIAAgACAAIAAgACAAIABcACIAQQBuAGkAbQBhAGwAcwBcACIALAAgAFwAIgBCAGUAZQBmACAAYwBhAHQAdABsAGUAXAAiACwAIABcACIAQwBhAHQAdABsAGUALAAgAGYAbwByACAAcAByAGkAbQBlACAAYgBlAGUAZgBcACIALAAgAFwAIgBOAFQAXAAiACwAIABcACIAawBnACAAbABpAHYAZQB3AGUAaQBnAGgAdABcACIALAAgADEAOAAuADkALAAgAFwAIgBhAHQAIABtAGEAcgBrAGUAdABcACIAOwBcAG4AIAAgACAAIAAgACAAIAAgAFwAIgBBAG4AaQBtAGEAbABzAFwAIgAsACAAXAAiAEIAZQBlAGYAIABjAGEAdAB0AGwAZQBcACIALAAgAFwAIgBDAGEAdAB0AGwAZQAsACAAZgBvAHIAIABwAHIAaQBtAGUAIABiAGUAZQBmAFwAIgAsACAAXAAiAFEATABEAFwAIgAsACAAXAAiAGsAZwAgAGwAaQB2AGUAdwBlAGkAZwBoAHQAXAAiACwAIAAxADMALgA5ACwAIABcACIAYQB0ACAAbQBhAHIAawBlAHQAXAAiADsAXABuACAAIAAgACAAIAAgACAAIABcACIAQQBuAGkAbQBhAGwAcwBcACIALAAgAFwAIgBCAGUAZQBmACAAYwBhAHQAdABsAGUAXAAiACwAIABcACIAQwBhAHQAdABsAGUALAAgAGYAbwByACAAcAByAGkAbQBlACAAYgBlAGUAZgBcACIALAAgAFwAIgBTAEEAXAAiACwAIABcACIAawBnACAAbABpAHYAZQB3AGUAaQBnAGgAdABcACIALAAgADEAMgAuADMALAAgAFwAIgBhAHQAIABtAGEAcgBrAGUAdABcACIAOwBcAG4AIAAgACAAIAAgACAAIAAgAFwAIgBBAG4AaQBtAGEAbABzAFwAIgAsACAAXAAiAEIAZQBlAGYAIABjAGEAdAB0AGwAZQBcACIALAAgAFwAIgBDAGEAdAB0AGwAZQAsACAAZgBvAHIAIABwAHIAaQBtAGUAIABiAGUAZQBmAFwAIgAsACAAXAAiAFQAQQBT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WAEkAQ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wBBAFwAIgAsACAAXAAiAGsAZwAgAGwAaQB2AGUAdwBlAGkAZwBoAHQAXAAiACwAIAAyADAALgA4ACwAIABcACIAYQB0ACAAbQBhAHIAawBlAHQAXAAiADsAXABuACAAIAAgACAAIAAgACAAIABcACIAQQBuAGkAbQBhAGwAcwBcACIALAAgAFwAIgBCAGUAZQBmACAAYwBhAHQAdABsAGUAXAAiACwAIABcACIAQwBhAHQAdABsAGUALAAgAHcAZQBhAG4AZQByAHMAXAAiACwAIABcACIAQQB1AHMAdAByAGEAbABpAGEAXAAiACwAIABcACIAawBnACAAbABpAHYAZQB3AGUAaQBnAGgAdABcACIALAAgADEANQAuADUALAAgAFwAIgBhAHQAIABtAGEAcgBrAGUAdABcACIAOwBcAG4AIAAgACAAIAAgACAAIAAgAFwAIgBBAG4AaQBtAGEAbABzAFwAIgAsACAAXAAiAEIAZQBlAGYAIABjAGEAdAB0AGwAZQBcACIALAAgAFwAIgBDAGEAdAB0AGwAZQAsACAAdwBlAGEAbgBlAHIAcwBcACIALAAgAFwAIgBOAFMAVwBcACIALAAgAFwAIgBrAGcAIABsAGkAdgBlAHcAZQBpAGcAaAB0AFwAIgAsACAAMQAyAC4ANwAsACAAXAAiAGEAdAAgAG0AYQByAGsAZQB0AFwAIgA7AFwAbgAgACAAIAAgACAAIAAgACAAXAAiAEEAbgBpAG0AYQBsAHMAXAAiACwAIABcACIAQgBlAGUAZgAgAGMAYQB0AHQAbABlAFwAIgAsACAAXAAiAEMAYQB0AHQAbABlACwAIAB3AGUAYQBuAGUAcgBzAFwAIgAsACAAXAAiAE4AVABcACIALAAgAFwAIgBrAGcAIABsAGkAdgBlAHcAZQBpAGcAaAB0AFwAIgAsACAAMQA5AC4AMQAsACAAXAAiAGEAdAAgAG0AYQByAGsAZQB0AFwAIgA7AFwAbgAgACAAIAAgACAAIAAgACAAXAAiAEEAbgBpAG0AYQBsAHMAXAAiACwAIABcACIAQgBlAGUAZgAgAGMAYQB0AHQAbABlAFwAIgAsACAAXAAiAEMAYQB0AHQAbABlACwAIAB3AGUAYQBuAGUAcgBzAFwAIgAsACAAXAAiAFEATABEAFwAIgAsACAAXAAiAGsAZwAgAGwAaQB2AGUAdwBlAGkAZwBoAHQAXAAiACwAIAAyADAALgA1ACwAIABcACIAYQB0ACAAbQBhAHIAawBlAHQAXAAiADsAXABuACAAIAAgACAAIAAgACAAIABcACIAQQBuAGkAbQBhAGwAcwBcACIALAAgAFwAIgBCAGUAZQBmACAAYwBhAHQAdABsAGUAXAAiACwAIABcACIAQwBhAHQAdABsAGUALAAgAHcAZQBhAG4AZQByAHMAXAAiACwAIABcACIAUwBBAFwAIgAsACAAXAAiAGsAZwAgAGwAaQB2AGUAdwBlAGkAZwBoAHQAXAAiACwAIAAxADAALgA4ACwAIABcACIAYQB0ACAAbQBhAHIAawBlAHQAXAAiADsAXABuACAAIAAgACAAIAAgACAAIABcACIAQQBuAGkAbQBhAGwAcwBcACIALAAgAFwAIgBCAGUAZQBmACAAYwBhAHQAdABsAGUAXAAiACwAIABcACIAQwBhAHQAdABsAGUALAAgAHcAZQBhAG4AZQByAHMAXAAiACwAIABcACIAVABBAFMAXAAiACwAIABcACIAawBnACAAbABpAHYAZQB3AGUAaQBnAGgAdABcACIALAAgADEAMwAuADQALAAgAFwAIgBhAHQAIABtAGEAcgBrAGUAdABcACIAOwBcAG4AIAAgACAAIAAgACAAIAAgAFwAIgBBAG4AaQBtAGEAbABzAFwAIgAsACAAXAAiAEIAZQBlAGYAIABjAGEAdAB0AGwAZQBcACIALAAgAFwAIgBDAGEAdAB0AGwAZQAsACAAdwBlAGEAbgBlAHIAcwBcACIALAAgAFwAIgBWAEkAQwBcACIALAAgAFwAIgBrAGcAIABsAGkAdgBlAHcAZQBpAGcAaAB0AFwAIgAsACAAMQAyACwAIABcACIAYQB0ACAAbQBhAHIAawBlAHQAXAAiADsAXABuACAAIAAgACAAIAAgACAAIABcACIAQQBuAGkAbQBhAGwAcwBcACIALAAgAFwAIgBCAGUAZQBmACAAYwBhAHQAdABsAGUAXAAiACwAIABcACIAQwBhAHQAdABsAGUALAAgAHcAZQBhAG4AZQByAHMAXAAiACwAIABcACIAVwBBAFwAIgAsACAAXAAiAGsAZwAgAGwAaQB2AGUAdwBlAGkAZwBoAHQAXAAiACwAIAAxADIALgA0ACwAIABcACIAYQB0ACAAbQBhAHIAawBlAHQAXAAiADsAXABuACAAIAAgACAAIAAgACAAIABcACIAQQBuAGkAbQBhAGwAcwBcACIALAAgAFwAIgBDAGgAaQBjAGsAZQBuAHMAXAAiACwAIABcACIAQwBoAGkAYwBrAGUAbgBzAFwAIgAsACAAXAAiAEEAdQBzAHQAcgBhAGwAaQBhAFwAIgAsACAAXAAiAGsAZwAgAGwAaQB2AGUAdwBlAGkAZwBoAHQAXAAiACwAIAAxAC4AMwA2ACwAIABcACIAYQB0ACAAbQBhAHIAawBlAHQAXAAiADsAXABuACAAIAAgACAAIAAgACAAIABcACIAQQBuAGkAbQBhAGwAcwBcACIALAAgAFwAIgBEAGEAaQByAHkAIABjAGEAdAB0AGwAZQBcACIALAAgAFwAIgBEAGEAaQByAHkAIABjAG8AdwBzAFwAIgAsACAAXAAiAFYASQBDAFwAIgAsACAAXAAiAGsAZwAgAGwAaQB2AGUAdwBlAGkAZwBoAHQAXAAiACwAIAA0AC4ANAAxACwAIABcACIAYQB0ACAAbQBhAHIAawBlAHQAXAAiADsAXABuACAAIAAgACAAIAAgACAAIABcACIAQQBuAGkAbQBhAGwAcwBcACIALAAgAFwAIgBQAGkAZwBzAFwAIgAsACAAXAAiAFAAaQBnAHMAXAAiACwAIABcACIAQQB1AHMAdAByAGEAbABpAGEAXAAiACwAIABcACIAawBnACAAbABpAHYAZQB3AGUAaQBnAGgAdABcACIALAAgADMALgAzADgALAAgAFwAIgBhAHQAIABtAGEAcgBrAGUAdABcACIAOwBcAG4AIAAgACAAIAAgACAAIAAgAFwAIgBBAG4AaQBtAGEAbABzAFwAIgAsACAAXAAiAFMAaABlAGUAcABcACIALAAgAFwAIgBTAGgAZQBlAHAALAAgAGYAbwByACAAbQB1AHQAdABvAG4AXAAiACwAIABcACIAQQB1AHMAdAByAGEAbABpAGEAXAAiACwAIABcACIAawBnACAAbABpAHYAZQB3AGUAaQBnAGgAdABcACIALAAgADYALgA4ADEALAAgAFwAIgBhAHQAIABtAGEAcgBrAGUAdABcACIAOwBcAG4AIAAgACAAIAAgACAAIAAgAFwAIgBBAG4AaQBtAGEAbABzAFwAIgAsACAAXAAiAFMAaABlAGUAcABcACIALAAgAFwAIgBTAGgAZQBlAHAALAAgAGYAbwByACAAbQB1AHQAdABvAG4AXAAiACwAIABcACIATgBTAFcAXAAiACwAIABcACIAawBnACAAbABpAHYAZQB3AGUAaQBnAGgAdABcACIALAAgADIALgAyADYALAAgAFwAIgBhAHQAIABtAGEAcgBrAGUAdABcACIAOwBcAG4AIAAgACAAIAAgACAAIAAgAFwAIgBBAG4AaQBtAGEAbABzAFwAIgAsACAAXAAiAFMAaABlAGUAcABcACIALAAgAFwAIgBTAGgAZQBlAHAALAAgAGYAbwByACAAbQB1AHQAdABvAG4AXAAiACwAIABcACIAUQBMAEQAXAAiACwAIABcACIAawBnACAAbABpAHYAZQB3AGUAaQBnAGgAdABcACIALAAgADYALgAzADMALAAgAFwAIgBhAHQAIABtAGEAcgBrAGUAdABcACIAOwBcAG4AIAAgACAAIAAgACAAIAAgAFwAIgBBAG4AaQBtAGEAbABzAFwAIgAsACAAXAAiAFMAaABlAGUAcABcACIALAAgAFwAIgBTAGgAZQBlAHAALAAgAGYAbwByACAAbQB1AHQAdABvAG4AXAAiACwAIABcACIAUwBBAFwAIgAsACAAXAAiAGsAZwAgAGwAaQB2AGUAdwBlAGkAZwBoAHQAXAAiACwAIAA2AC4AMQA4ACwAIABcACIAYQB0ACAAbQBhAHIAawBlAHQAXAAiADsAXABuACAAIAAgACAAIAAgACAAIABcACIAQQBuAGkAbQBhAGwAcwBcACIALAAgAFwAIgBTAGgAZQBlAHAAXAAiACwAIABcACIAUwBoAGUAZQBwACwAIABmAG8AcgAgAG0AdQB0AHQAbwBuAFwAIgAsACAAXAAiAFQAQQBTAFwAIgAsACAAXAAiAGsAZwAgAGwAaQB2AGUAdwBlAGkAZwBoAHQAXAAiACwAIAA3AC4ANQAsACAAXAAiAGEAdAAgAG0AYQByAGsAZQB0AFwAIgA7AFwAbgAgACAAIAAgACAAIAAgACAAXAAiAEEAbgBpAG0AYQBsAHMAXAAiACwAIABcACIAUwBoAGUAZQBwAFwAIgAsACAAXAAiAFMAaABlAGUAcAAsACAAZgBvAHIAIABtAHUAdAB0AG8AbgBcACIALAAgAFwAIgBWAEkAQwBcACIALAAgAFwAIgBrAGcAIABsAGkAdgBlAHcAZQBpAGcAaAB0AFwAIgAsACAAOAAuADAAOAAsACAAXAAiAGEAdAAgAG0AYQByAGsAZQB0AFwAIgA7AFwAbgAgACAAIAAgACAAIAAgACAAXAAiAEEAbgBpAG0AYQBsAHMAXAAiACwAIABcACIAUwBoAGUAZQBwAFwAIgAsACAAXAAiAFMAaABlAGUAcAAsACAAZgBvAHIAIABtAHUAdAB0AG8AbgBcACIALAAgAFwAIgBXAEEAXAAiACwAIABcACIAawBnACAAbABpAHYAZQB3AGUAaQBnAGgAdABcACIALAAgADUALgA0ADUALAAgAFwAIgBhAHQAIABtAGEAcgBrAGUAdABcACIAOwBcAG4AIAAgACAAIAAgACAAIAAgAFwAIgBBAG4AaQBtAGEAbABzAFwAIgAsACAAXAAiAFMAaABlAGUAcABcACIALAAgAFwAIgBTAGgAZQBlAHAALAAgAGYAbwByACAAcAByAGkAbQBlACAAbABhAG0AYgBcACIALAAgAFwAIgBBAHUAcwB0AHIAYQBsAGkAYQBcACIALAAgAFwAIgBrAGcAIABsAGkAdgBlAHcAZQBpAGcAaAB0AFwAIgAsACAANwAuADEANQAsACAAXAAiAGEAdAAgAG0AYQByAGsAZQB0AFwAIgA7AFwAbgAgACAAIAAgACAAIAAgACAAXAAiAEEAbgBpAG0AYQBsAHMAXAAiACwAIABcACIAUwBoAGUAZQBwAFwAIgAsACAAXAAiAFMAaABlAGUAcAAsACAAZgBvAHIAIABwAHIAaQBtAGUAIABsAGEAbQBiAFwAIgAsACAAXAAiAE4AUwBXAFwAIgAsACAAXAAiAGsAZwAgAGwAaQB2AGUAdwBlAGkAZwBoAHQAXAAiACwAIAA4AC4AMgA5ACwAIABcACIAYQB0ACAAbQBhAHIAawBlAHQAXAAiADsAXABuACAAIAAgACAAIAAgACAAIABcACIAQQBuAGkAbQBhAGwAcwBcACIALAAgAFwAIgBTAGgAZQBlAHAAXAAiACwAIABcACIAUwBoAGUAZQBwACwAIABmAG8AcgAgAHAAcgBpAG0AZQAgAGwAYQBtAGIAXAAiACwAIABcACIAUQBMAEQAXAAiACwAIABcACIAawBnACAAbABpAHYAZQB3AGUAaQBnAGgAdABcACIALAAgADYALgAzADkALAAgAFwAIgBhAHQAIABtAGEAcgBrAGUAdABcACIAOwBcAG4AIAAgACAAIAAgACAAIAAgAFwAIgBBAG4AaQBtAGEAbABzAFwAIgAsACAAXAAiAFMAaABlAGUAcABcACIALAAgAFwAIgBTAGgAZQBlAHAALAAgAGYAbwByACAAcAByAGkAbQBlACAAbABhAG0AYgBcACIALAAgAFwAIgBTAEEAXAAiACwAIABcACIAawBnACAAbABpAHYAZQB3AGUAaQBnAGgAdABcACIALAAgADYALgA4ADcALAAgAFwAIgBhAHQAIABtAGEAcgBrAGUAdABcACIAOwBcAG4AIAAgACAAIAAgACAAIAAgAFwAIgBBAG4AaQBtAGEAbABzAFwAIgAsACAAXAAiAFMAaABlAGUAcABcACIALAAgAFwAIgBTAGgAZQBlAHAALAAgAGYAbwByACAAcAByAGkAbQBlACAAbABhAG0AYgBcACIALAAgAFwAIgBUAEEAUwBcACIALAAgAFwAIgBrAGcAIABsAGkAdgBlAHcAZQBpAGcAaAB0AFwAIgAsACAAOAAuADYANgAsACAAXAAiAGEAdAAgAG0AYQByAGsAZQB0AFwAIgA7AFwAbgAgACAAIAAgACAAIAAgACAAXAAiAEEAbgBpAG0AYQBsAHMAXAAiACwAIABcACIAUwBoAGUAZQBwAFwAIgAsACAAXAAiAFMAaABlAGUAcAAsACAAZgBvAHIAIABwAHIAaQBtAGUAIABsAGEAbQBiAFwAIgAsACAAXAAiAFYASQBDAFwAIgAsACAAXAAiAGsAZwAgAGwAaQB2AGUAdwBlAGkAZwBoAHQAXAAiACwAIAAxADAALAAgAFwAIgBhAHQAIABtAGEAcgBrAGUAdABcACIAOwBcAG4AIAAgACAAIAAgACAAIAAgAFwAIgBBAG4AaQBtAGEAbABzAFwAIgAsACAAXAAiAFMAaABlAGUAcABcACIALAAgAFwAIgBTAGgAZQBlAHAALAAgAGYAbwByACAAcAByAGkAbQBlACAAbABhAG0AYgBcACIALAAgAFwAIgBXAEEAXAAiACwAIABcACIAawBnACAAbABpAHYAZQB3AGUAaQBnAGgAdABcACIALAAgADUALgA2ADc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MAaABlAG0AaQBjAGEAbABzAFwAbgA9AD0APQA9AD0APQA9AD0APQA9AD0APQA9AD0APQA9AD0APQA9AD0APQA9AD0APQA9AD0APQA9AD0APQA9AD0APQA9AD0APQA9AD0APQA9AD0APQA9AD0APQA9AD0APQA9AD0APQA9AD0APQA9AD0APQA9AD0APQA9AD0APQA9AD0APQA9AD0APQA9AD0APQA9AD0APQA9AFwAbgAqAC8AXABuAFwAbgBTAGMAbwBwAGUAMwBfAEMAaABlAG0AaQBjAGEAbABzAF8AVABpAHQAbABlAFwAbgA9AEwAQQBNAEIARABBACgAKABcACIAQwBoAGUAbQBpAGMAYQBsAHMAIABzAGMAbwBwAGUAIAAzAFwAIgApACkAOwBcAG4AXABuAFMAYwBvAHAAZQAzAF8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DAGgAZQBtAGkAYwBhAGwAcwBfAFYAYQByAGkAYQB0AGkAbwBuAFwAbgA9AEwAQQBNAEIARABBACgAKABcACIAXAAiACkAKQA7AFwAbgBcAG4AUwBjAG8AcABlADMAXwBDAGgAZQBtAGkAYwBhAGwAcwBfAEQAYQB0AGEAXABuAD0ATABBAE0AQgBEAEEAKABcAG4AIAAgAE0AQQBLAEUAQQBSAFIAQQBZACg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lAGUAZABcAG4APQA9AD0APQA9AD0APQA9AD0APQA9AD0APQA9AD0APQA9AD0APQA9AD0APQA9AD0APQA9AD0APQA9AD0APQA9AD0APQA9AD0APQA9AD0APQA9AD0APQA9AD0APQA9AD0APQA9AD0APQA9AD0APQA9AD0APQA9AD0APQA9AD0APQA9AD0APQA9AD0APQA9AD0APQA9AD0APQBcAG4AKgAvAFwAbgBcAG4AUwBjAG8AcABlADMAXwBGAGUAZQBkAF8AVABpAHQAbABlAFwAbgA9AEwAQQBNAEIARABBACgAKABcACIARgBlAGUAZAAgAHMAYwBvAHAAZQAgADMAXAAiACkAKQA7AFwAbgBcAG4AUwBjAG8AcABlADMAXw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RgBlAGUAZABfAFYAYQByAGkAYQB0AGkAbwBuAFwAbgA9AEwAQQBNAEIARABBACgAKABcACIAXAAiACkAKQA7AFwAbgBcAG4AUwBjAG8AcABlADMAXwBGAGUAZQBkAF8ARABhAHQAYQBcAG4APQBMAEEATQBCAEQAQQAoAFwAbgAgACAATQBBAEsARQBBAFIAUgBBAFkAKAA3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ZQBkAFwAIgAsACAAXAAiAEEAcQB1AGEAYwB1AGwAdAB1AHIAZQAgAGYAZQBlAGQAXAAiACwAIABcACIAUwBhAHIAZABpAG4AZQBzACAAKAB3AGgAbwBsAGUAKQBcACIALAAgAFwAIgBTAEEAXAAiACwAIABcACIAawBnAFwAIgAsACAAMAAuADMANwA2ACwAIABcACIAYQB0ACAAbQBhAHIAawBlAHQAXAAiADsAXABuACAAIAAgACAAIAAgACAAIABcACIARgBlAGUAZABcACIALAAgAFwAIgBHAHIAYQBpAG4AXAAiACwAIABcACIAQgBhAHIAbABlAHkAIABnAHIAYQBpAG4AXAAiACwAIABcACIAQQB1AHMAdAByAGEAbABpAGEAXAAiACwAIABcACIAawBnAFwAIgAsACAAMAAuADIAMwA5ACwAIABcACIAYQB0ACAAbQBhAHIAawBlAHQAXAAiADsAXABuACAAIAAgACAAIAAgACAAIABcACIARgBlAGUAZABcACIALAAgAFwAIgBHAHIAYQBpAG4AXAAiACwAIABcACIAQgBhAHIAbABlAHkAIABnAHIAYQBpAG4AXAAiACwAIABcACIATgBTAFcAXAAiACwAIABcACIAawBnAFwAIgAsACAAMAAuADIANQA2ACwAIABcACIAYQB0ACAAbQBhAHIAawBlAHQAXAAiADsAXABuACAAIAAgACAAIAAgACAAIABcACIARgBlAGUAZABcACIALAAgAFwAIgBHAHIAYQBpAG4AXAAiACwAIABcACIAQgBhAHIAbABlAHkAIABnAHIAYQBpAG4AXAAiACwAIABcACIATgBUAFwAIgAsACAAXAAiAGsAZwBcACIALAAgADAALgAzADMAMgAsACAAXAAiAGEAdAAgAG0AYQByAGsAZQB0AFwAIgA7AFwAbgAgACAAIAAgACAAIAAgACAAXAAiAEYAZQBlAGQAXAAiACwAIABcACIARwByAGEAaQBuAFwAIgAsACAAXAAiAEIAYQByAGwAZQB5ACAAZwByAGEAaQBuAFwAIgAsACAAXAAiAFEATABEAFwAIgAsACAAXAAiAGsAZwBcACIALAAgADAALgAyADYAOQAsACAAXAAiAGEAdAAgAG0AYQByAGsAZQB0AFwAIgA7AFwAbgAgACAAIAAgACAAIAAgACAAXAAiAEYAZQBlAGQAXAAiACwAIABcACIARwByAGEAaQBuAFwAIgAsACAAXAAiAEIAYQByAGwAZQB5ACAAZwByAGEAaQBuAFwAIgAsACAAXAAiAFMAQQBcACIALAAgAFwAIgBrAGcAXAAiACwAIAAwAC4AMgAyADMALAAgAFwAIgBhAHQAIABtAGEAcgBrAGUAdABcACIAOwBcAG4AIAAgACAAIAAgACAAIAAgAFwAIgBGAGUAZQBkAFwAIgAsACAAXAAiAEcAcgBhAGkAbgBcACIALAAgAFwAIgBCAGEAcgBsAGUAeQAgAGcAcgBhAGkAbgBcACIALAAgAFwAIgBUAEEAUwBcACIALAAgAFwAIgBrAGcAXAAiACwAIAAwAC4AMwAwADcALAAgAFwAIgBhAHQAIABtAGEAcgBrAGUAdABcACIAOwBcAG4AIAAgACAAIAAgACAAIAAgAFwAIgBGAGUAZQBkAFwAIgAsACAAXAAiAEcAcgBhAGkAbgBcACIALAAgAFwAIgBCAGEAcgBsAGUAeQAgAGcAcgBhAGkAbgBcACIALAAgAFwAIgBWAEkAQwBcACIALAAgAFwAIgBrAGcAXAAiACwAIAAwAC4AMgA0ADEALAAgAFwAIgBhAHQAIABtAGEAcgBrAGUAdABcACIAOwBcAG4AIAAgACAAIAAgACAAIAAgAFwAIgBGAGUAZQBkAFwAIgAsACAAXAAiAEcAcgBhAGkAbgBcACIALAAgAFwAIgBCAGEAcgBsAGUAeQAgAGcAcgBhAGkAbgBcACIALAAgAFwAIgBXAEEAXAAiACwAIABcACIAawBnAFwAIgAsACAAMAAuADIAMwA2ACwAIABcACIAYQB0ACAAbQBhAHIAawBlAHQAXAAiADsAXABuACAAIAAgACAAIAAgACAAIABcACIARgBlAGUAZABcACIALAAgAFwAIgBHAHIAYQBpAG4AXAAiACwAIABcACIATQBhAGkAegBlACAAZwByAGEAaQBuAFwAIgAsACAAXAAiAEEAdQBzAHQAcgBhAGwAaQBhAFwAIgAsACAAXAAiAGsAZwBcACIALAAgADAALgAxADgAMQAsACAAXAAiAGEAdAAgAG0AYQByAGsAZQB0AFwAIgA7AFwAbgAgACAAIAAgACAAIAAgACAAXAAiAEYAZQBlAGQAXAAiACwAIABcACIARwByAGEAaQBuAFwAIgAsACAAXAAiAE0AYQBpAHoAZQAgAGcAcgBhAGkAbgBcACIALAAgAFwAIgBOAFMAVwBcACIALAAgAFwAIgBrAGcAXAAiACwAIAAwAC4AMQA2ADkALAAgAFwAIgBhAHQAIABtAGEAcgBrAGUAdABcACIAOwBcAG4AIAAgACAAIAAgACAAIAAgAFwAIgBGAGUAZQBkAFwAIgAsACAAXAAiAEcAcgBhAGkAbgBcACIALAAgAFwAIgBNAGEAaQB6AGUAIABnAHIAYQBpAG4AXAAiACwAIABcACIATgBUAFwAIgAsACAAXAAiAGsAZwBcACIALAAgADAALgAyADUANgAsACAAXAAiAGEAdAAgAG0AYQByAGsAZQB0AFwAIgA7AFwAbgAgACAAIAAgACAAIAAgACAAXAAiAEYAZQBlAGQAXAAiACwAIABcACIARwByAGEAaQBuAFwAIgAsACAAXAAiAE0AYQBpAHoAZQAgAGcAcgBhAGkAbgBcACIALAAgAFwAIgBRAEwARABcACIALAAgAFwAIgBrAGcAXAAiACwAIAAwAC4AMQA4ADYALAAgAFwAIgBhAHQAIABtAGEAcgBrAGUAdABcACIAOwBcAG4AIAAgACAAIAAgACAAIAAgAFwAIgBGAGUAZQBkAFwAIgAsACAAXAAiAEcAcgBhAGkAbgBcACIALAAgAFwAIgBNAGEAaQB6AGUAIABnAHIAYQBpAG4AXAAiACwAIABcACIAUwBBAFwAIgAsACAAXAAiAGsAZwBcACIALAAgADAALgAxADcANgAsACAAXAAiAGEAdAAgAG0AYQByAGsAZQB0AFwAIgA7AFwAbgAgACAAIAAgACAAIAAgACAAXAAiAEYAZQBlAGQAXAAiACwAIABcACIARwByAGEAaQBuAFwAIgAsACAAXAAiAE0AYQBpAHoAZQAgAGcAcgBhAGkAbgBcACIALAAgAFwAIgBWAEkAQwBcACIALAAgAFwAIgBrAGcAXAAiACwAIAAwAC4AMQA1ADkALAAgAFwAIgBhAHQAIABtAGEAcgBrAGUAdABcACIAOwBcAG4AIAAgACAAIAAgACAAIAAgAFwAIgBGAGUAZQBkAFwAIgAsACAAXAAiAEcAcgBhAGkAbgBcACIALAAgAFwAIgBNAGEAaQB6AGUAIABnAHIAYQBpAG4AXAAiACwAIABcACIAVwBBAFwAIgAsACAAXAAiAGsAZwBcACIALAAgADAALgAyADgANQAsACAAXAAiAGEAdAAgAG0AYQByAGsAZQB0AFwAIgA7AFwAbgAgACAAIAAgACAAIAAgACAAXAAiAEYAZQBlAGQAXAAiACwAIABcACIARwByAGEAaQBuAFwAIgAsACAAXAAiAFMAbwByAGcAaAB1AG0AIABnAHIAYQBpAG4AXAAiACwAIABcACIAQQB1AHMAdAByAGEAbABpAGEAXAAiACwAIABcACIAawBnAFwAIgAsACAAMAAuADIAMwAyACwAIABcACIAYQB0ACAAbQBhAHIAawBlAHQAXAAiADsAXABuACAAIAAgACAAIAAgACAAIABcACIARgBlAGUAZABcACIALAAgAFwAIgBHAHIAYQBpAG4AXAAiACwAIABcACIAUwBvAHIAZwBoAHUAbQAgAGcAcgBhAGkAbgBcACIALAAgAFwAIgBOAFMAVwBcACIALAAgAFwAIgBrAGcAXAAiACwAIAAwAC4AMgAzADIALAAgAFwAIgBhAHQAIABtAGEAcgBrAGUAdABcACIAOwBcAG4AIAAgACAAIAAgACAAIAAgAFwAIgBGAGUAZQBkAFwAIgAsACAAXAAiAEcAcgBhAGkAbgBcACIALAAgAFwAIgBTAG8AcgBnAGgAdQBtACAAZwByAGEAaQBuAFwAIgAsACAAXAAiAFEATABEAFwAIgAsACAAXAAiAGsAZwBcACIALAAgADAALgAyADMAMQAsACAAXAAiAGEAdAAgAG0AYQByAGsAZQB0AFwAIgA7AFwAbgAgACAAIAAgACAAIAAgACAAXAAiAEYAZQBlAGQAXAAiACwAIABcACIARwByAGEAaQBuAFwAIgAsACAAXAAiAFMAbwByAGcAaAB1AG0AIABnAHIAYQBpAG4AXAAiACwAIABcACIAUwBBAFwAIgAsACAAXAAiAGsAZwBcACIALAAgADAALgAyADEAOAAsACAAXAAiAGEAdAAgAG0AYQByAGsAZQB0AFwAIgA7AFwAbgAgACAAIAAgACAAIAAgACAAXAAiAEYAZQBlAGQAXAAiACwAIABcACIARwByAGEAaQBuAFwAIgAsACAAXAAiAFMAbwByAGcAaAB1AG0AIABnAHIAYQBpAG4AXAAiACwAIABcACIAVgBJAEMAXAAiACwAIABcACIAawBnAFwAIgAsACAAMAAuADIANAA2ACwAIABcACIAYQB0ACAAbQBhAHIAawBlAHQAXAAiADsAXABuACAAIAAgACAAIAAgACAAIABcACIARgBlAGUAZABcACIALAAgAFwAIgBHAHIAYQBpAG4AXAAiACwAIABcACIAVwBoAGUAYQB0ACAAZwByAGEAaQBuAFwAIgAsACAAXAAiAEEAdQBzAHQAcgBhAGwAaQBhAFwAIgAsACAAXAAiAGsAZwBcACIALAAgADAALgAyADYAOAAsACAAXAAiAGEAdAAgAG0AYQByAGsAZQB0AFwAIgA7AFwAbgAgACAAIAAgACAAIAAgACAAXAAiAEYAZQBlAGQAXAAiACwAIABcACIARwByAGEAaQBuAFwAIgAsACAAXAAiAFcAaABlAGEAdAAgAGcAcgBhAGkAbgBcACIALAAgAFwAIgBOAFMAVwBcACIALAAgAFwAIgBrAGcAXAAiACwAIAAwAC4AMgA4ADIALAAgAFwAIgBhAHQAIABtAGEAcgBrAGUAdABcACIAOwBcAG4AIAAgACAAIAAgACAAIAAgAFwAIgBGAGUAZQBkAFwAIgAsACAAXAAiAEcAcgBhAGkAbgBcACIALAAgAFwAIgBXAGgAZQBhAHQAIABnAHIAYQBpAG4AXAAiACwAIABcACIATgBUAFwAIgAsACAAXAAiAGsAZwBcACIALAAgADAALgAzADgANQAsACAAXAAiAGEAdAAgAG0AYQByAGsAZQB0AFwAIgA7AFwAbgAgACAAIAAgACAAIAAgACAAXAAiAEYAZQBlAGQAXAAiACwAIABcACIARwByAGEAaQBuAFwAIgAsACAAXAAiAFcAaABlAGEAdAAgAGcAcgBhAGkAbgBcACIALAAgAFwAIgBRAEwARABcACIALAAgAFwAIgBrAGcAXAAiACwAIAAwAC4AMgA5ADYALAAgAFwAIgBhAHQAIABtAGEAcgBrAGUAdABcACIAOwBcAG4AIAAgACAAIAAgACAAIAAgAFwAIgBGAGUAZQBkAFwAIgAsACAAXAAiAEcAcgBhAGkAbgBcACIALAAgAFwAIgBXAGgAZQBhAHQAIABnAHIAYQBpAG4AXAAiACwAIABcACIAUwBBAFwAIgAsACAAXAAiAGsAZwBcACIALAAgADAALgAyADQAMQAsACAAXAAiAGEAdAAgAG0AYQByAGsAZQB0AFwAIgA7AFwAbgAgACAAIAAgACAAIAAgACAAXAAiAEYAZQBlAGQAXAAiACwAIABcACIARwByAGEAaQBuAFwAIgAsACAAXAAiAFcAaABlAGEAdAAgAGcAcgBhAGkAbgBcACIALAAgAFwAIgBUAEEAUwBcACIALAAgAFwAIgBrAGcAXAAiACwAIAAwAC4AMwAzADgALAAgAFwAIgBhAHQAIABtAGEAcgBrAGUAdABcACIAOwBcAG4AIAAgACAAIAAgACAAIAAgAFwAIgBGAGUAZQBkAFwAIgAsACAAXAAiAEcAcgBhAGkAbgBcACIALAAgAFwAIgBXAGgAZQBhAHQAIABnAHIAYQBpAG4AXAAiACwAIABcACIAVgBJAEMAXAAiACwAIABcACIAawBnAFwAIgAsACAAMAAuADIANgA2ACwAIABcACIAYQB0ACAAbQBhAHIAawBlAHQAXAAiADsAXABuACAAIAAgACAAIAAgACAAIABcACIARgBlAGUAZABcACIALAAgAFwAIgBHAHIAYQBpAG4AXAAiACwAIABcACIAVwBoAGUAYQB0ACAAZwByAGEAaQBuAFwAIgAsACAAXAAiAFcAQQBcACIALAAgAFwAIgBrAGcAXAAiACwAIAAwAC4AMgA2ADEALAAgAFwAIgBhAHQAIABtAGEAcgBrAGUAdABcACIAOwBcAG4AIAAgACAAIAAgACAAIAAgAFwAIgBGAGUAZQBkAFwAIgAsACAAXAAiAEgAYQB5AFwAIgAsACAAXAAiAEMAZQByAGUAYQBsACAAaABhAHkAXAAiACwAIABcACIAQQB1AHMAdAByAGEAbABpAGEAXAAiACwAIABcACIAawBnAFwAIgAsACAAMAAuADEAMQA3ACwAIABcACIAYQB0ACAAbQBhAHIAawBlAHQAXAAiADsAXABuACAAIAAgACAAIAAgACAAIABcACIARgBlAGUAZABcACIALAAgAFwAIgBIAGEAeQBcACIALAAgAFwAIgBDAGUAcgBlAGEAbAAgAGgAYQB5AFwAIgAsACAAXAAiAE4AUwBXAFwAIgAsACAAXAAiAGsAZwBcACIALAAgADAALgAxADEANgAsACAAXAAiAGEAdAAgAG0AYQByAGsAZQB0AFwAIgA7AFwAbgAgACAAIAAgACAAIAAgACAAXAAiAEYAZQBlAGQAXAAiACwAIABcACIASABhAHkAXAAiACwAIABcACIAQwBlAHIAZQBhAGwAIABoAGEAeQBcACIALAAgAFwAIgBRAEwARABcACIALAAgAFwAIgBrAGcAXAAiACwAIAAwAC4AMQAxADgALAAgAFwAIgBhAHQAIABtAGEAcgBrAGUAdABcACIAOwBcAG4AIAAgACAAIAAgACAAIAAgAFwAIgBGAGUAZQBkAFwAIgAsACAAXAAiAEgAYQB5AFwAIgAsACAAXAAiAEMAZQByAGUAYQBsACAAaABhAHkAXAAiACwAIABcACIAUwBBAFwAIgAsACAAXAAiAGsAZwBcACIALAAgADAALgAxADEAMQAsACAAXAAiAGEAdAAgAG0AYQByAGsAZQB0AFwAIgA7AFwAbgAgACAAIAAgACAAIAAgACAAXAAiAEYAZQBlAGQAXAAiACwAIABcACIASABhAHkAXAAiACwAIABcACIAQwBlAHIAZQBhAGwAIABoAGEAeQBcACIALAAgAFwAIgBUAEEAUwBcACIALAAgAFwAIgBrAGcAXAAiACwAIAAwAC4AMQAzADkALAAgAFwAIgBhAHQAIABtAGEAcgBrAGUAdABcACIAOwBcAG4AIAAgACAAIAAgACAAIAAgAFwAIgBGAGUAZQBkAFwAIgAsACAAXAAiAEgAYQB5AFwAIgAsACAAXAAiAEMAZQByAGUAYQBsACAAaABhAHkAXAAiACwAIABcACIAVgBJAEMAXAAiACwAIABcACIAawBnAFwAIgAsACAAMAAuADEAMQA2ACwAIABcACIAYQB0ACAAbQBhAHIAawBlAHQAXAAiADsAXABuACAAIAAgACAAIAAgACAAIABcACIARgBlAGUAZABcACIALAAgAFwAIgBIAGEAeQBcACIALAAgAFwAIgBDAGUAcgBlAGEAbAAgAGgAYQB5AFwAIgAsACAAXAAiAFcAQQBcACIALAAgAFwAIgBrAGcAXAAiACwAIAAwAC4AMQAyADIALAAgAFwAIgBhAHQAIABtAGEAcgBrAGUAdABcACIAOwBcAG4AIAAgACAAIAAgACAAIAAgAFwAIgBGAGUAZQBkAFwAIgAsACAAXAAiAEgAYQB5AFwAIgAsACAAXAAiAEMAZQByAGUAYQBsACAAcwBpAGwAYQBnAGUAXAAiACwAIABcACIAQQB1AHMAdAByAGEAbABpAGEAXAAiACwAIABcACIAawBnAFwAIgAsACAAMAAuADAANwA0ADQALAAgAFwAIgBhAHQAIABtAGEAcgBrAGUAdABcACIAOwBcAG4AIAAgACAAIAAgACAAIAAgAFwAIgBGAGUAZQBkAFwAIgAsACAAXAAiAEgAYQB5AFwAIgAsACAAXAAiAEMAZQByAGUAYQBsACAAcwBpAGwAYQBnAGUAXAAiACwAIABcACIATgBTAFcAXAAiACwAIABcACIAawBnAFwAIgAsACAAMAAuADAANwAzADkALAAgAFwAIgBhAHQAIABtAGEAcgBrAGUAdABcACIAOwBcAG4AIAAgACAAIAAgACAAIAAgAFwAIgBGAGUAZQBkAFwAIgAsACAAXAAiAEgAYQB5AFwAIgAsACAAXAAiAEMAZQByAGUAYQBsACAAcwBpAGwAYQBnAGUAXAAiACwAIABcACIAUQBMAEQAXAAiACwAIABcACIAawBnAFwAIgAsACAAMAAuADAANwA5ACwAIABcACIAYQB0ACAAbQBhAHIAawBlAHQAXAAiADsAXABuACAAIAAgACAAIAAgACAAIABcACIARgBlAGUAZABcACIALAAgAFwAIgBIAGEAeQBcACIALAAgAFwAIgBDAGUAcgBlAGEAbAAgAHMAaQBsAGEAZwBlAFwAIgAsACAAXAAiAFMAQQBcACIALAAgAFwAIgBrAGcAXAAiACwAIAAwAC4AMAA3ADAANgAsACAAXAAiAGEAdAAgAG0AYQByAGsAZQB0AFwAIgA7AFwAbgAgACAAIAAgACAAIAAgACAAXAAiAEYAZQBlAGQAXAAiACwAIABcACIASABhAHkAXAAiACwAIABcACIAQwBlAHIAZQBhAGwAIABzAGkAbABhAGcAZQBcACIALAAgAFwAIgBUAEEAUwBcACIALAAgAFwAIgBrAGcAXAAiACwAIAAwAC4AMAA4ADAAOAAsACAAXAAiAGEAdAAgAG0AYQByAGsAZQB0AFwAIgA7AFwAbgAgACAAIAAgACAAIAAgACAAXAAiAEYAZQBlAGQAXAAiACwAIABcACIASABhAHkAXAAiACwAIABcACIAQwBlAHIAZQBhAGwAIABzAGkAbABhAGcAZQBcACIALAAgAFwAIgBWAEkAQwBcACIALAAgAFwAIgBrAGcAXAAiACwAIAAwAC4AMAA3ADMANgAsACAAXAAiAGEAdAAgAG0AYQByAGsAZQB0AFwAIgA7AFwAbgAgACAAIAAgACAAIAAgACAAXAAiAEYAZQBlAGQAXAAiACwAIABcACIASABhAHkAXAAiACwAIABcACIATAB1AGMAZQByAG4AZQAgAGgAYQB5AFwAIgAsACAAXAAiAEEAdQBzAHQAcgBhAGwAaQBhAFwAIgAsACAAXAAiAGsAZwBcACIALAAgADAALgAxADEANwAsACAAXAAiAGEAdAAgAG0AYQByAGsAZQB0AFwAIgA7AFwAbgAgACAAIAAgACAAIAAgACAAXAAiAEYAZQBlAGQAXAAiACwAIABcACIASABhAHkAXAAiACwAIABcACIATAB1AGMAZQByAG4AZQAgAGgAYQB5AFwAIgAsACAAXAAiAE4AUwBXAFwAIgAsACAAXAAiAGsAZwBcACIALAAgADAALgAxADEAMwAsACAAXAAiAGEAdAAgAG0AYQByAGsAZQB0AFwAIgA7AFwAbgAgACAAIAAgACAAIAAgACAAXAAiAEYAZQBlAGQAXAAiACwAIABcACIASABhAHkAXAAiACwAIABcACIATAB1AGMAZQByAG4AZQAgAGgAYQB5AFwAIgAsACAAXAAiAFEATABEAFwAIgAsACAAXAAiAGsAZwBcACIALAAgADAALgAxADQAMwAsACAAXAAiAGEAdAAgAG0AYQByAGsAZQB0AFwAIgA7AFwAbgAgACAAIAAgACAAIAAgACAAXAAiAEYAZQBlAGQAXAAiACwAIABcACIASABhAHkAXAAiACwAIABcACIATAB1AGMAZQByAG4AZQAgAGgAYQB5AFwAIgAsACAAXAAiAFMAQQBcACIALAAgAFwAIgBrAGcAXAAiACwAIAAwAC4AMQAwADYALAAgAFwAIgBhAHQAIABtAGEAcgBrAGUAdABcACIAOwBcAG4AIAAgACAAIAAgACAAIAAgAFwAIgBGAGUAZQBkAFwAIgAsACAAXAAiAEgAYQB5AFwAIgAsACAAXAAiAEwAdQBjAGUAcgBuAGUAIABoAGEAeQBcACIALAAgAFwAIgBUAEEAUwBcACIALAAgAFwAIgBrAGcAXAAiACwAIAAwAC4AMQAxADMALAAgAFwAIgBhAHQAIABtAGEAcgBrAGUAdABcACIAOwBcAG4AIAAgACAAIAAgACAAIAAgAFwAIgBGAGUAZQBkAFwAIgAsACAAXAAiAEgAYQB5AFwAIgAsACAAXAAiAEwAdQBjAGUAcgBuAGUAIABoAGEAeQBcACIALAAgAFwAIgBWAEkAQwBcACIALAAgAFwAIgBrAGcAXAAiACwAIAAwAC4AMQAwADYALAAgAFwAIgBhAHQAIABtAGEAcgBrAGUAdABcACIAOwBcAG4AIAAgACAAIAAgACAAIAAgAFwAIgBGAGUAZQBkAFwAIgAsACAAXAAiAEgAYQB5AFwAIgAsACAAXAAiAE0AYQBpAHoAZQAgAHMAaQBsAGEAZwBlAFwAIgAsACAAXAAiAFYASQBDAFwAIgAsACAAXAAiAGsAZwBcACIALAAgADAALgAxADYAMwAsACAAXAAiAGEAdAAgAG0AYQByAGsAZQB0AFwAIgA7AFwAbgAgACAAIAAgACAAIAAgACAAXAAiAEYAZQBlAGQAXAAiACwAIABcACIASABhAHkAXAAiACwAIABcACIATwBhAHQAZQBuACAAaABhAHkAXAAiACwAIABcACIAQQB1AHMAdAByAGEAbABpAGEAXAAiACwAIABcACIAawBnAFwAIgAsACAAMAAuADEAMgAsACAAXAAiAGEAdAAgAG0AYQByAGsAZQB0AFwAIgA7AFwAbgAgACAAIAAgACAAIAAgACAAXAAiAEYAZQBlAGQAXAAiACwAIABcACIASABhAHkAXAAiACwAIABcACIATwBhAHQAZQBuACAAaABhAHkAXAAiACwAIABcACIATgBTAFcAXAAiACwAIABcACIAawBnAFwAIgAsACAAMAAuADEAMQA5ACwAIABcACIAYQB0ACAAbQBhAHIAawBlAHQAXAAiADsAXABuACAAIAAgACAAIAAgACAAIABcACIARgBlAGUAZABcACIALAAgAFwAIgBIAGEAeQBcACIALAAgAFwAIgBPAGEAdABlAG4AIABoAGEAeQBcACIALAAgAFwAIgBRAEwARABcACIALAAgAFwAIgBrAGcAXAAiACwAIAAwAC4AMQAxADcALAAgAFwAIgBhAHQAIABtAGEAcgBrAGUAdABcACIAOwBcAG4AIAAgACAAIAAgACAAIAAgAFwAIgBGAGUAZQBkAFwAIgAsACAAXAAiAEgAYQB5AFwAIgAsACAAXAAiAE8AYQB0AGUAbgAgAGgAYQB5AFwAIgAsACAAXAAiAFMAQQBcACIALAAgAFwAIgBrAGcAXAAiACwAIAAwAC4AMQAxADQALAAgAFwAIgBhAHQAIABtAGEAcgBrAGUAdABcACIAOwBcAG4AIAAgACAAIAAgACAAIAAgAFwAIgBGAGUAZQBkAFwAIgAsACAAXAAiAEgAYQB5AFwAIgAsACAAXAAiAE8AYQB0AGUAbgAgAGgAYQB5AFwAIgAsACAAXAAiAFYASQBDAFwAIgAsACAAXAAiAGsAZwBcACIALAAgADAALgAxADEAOAAsACAAXAAiAGEAdAAgAG0AYQByAGsAZQB0AFwAIgA7AFwAbgAgACAAIAAgACAAIAAgACAAXAAiAEYAZQBlAGQAXAAiACwAIABcACIASABhAHkAXAAiACwAIABcACIATwBhAHQAZQBuACAAaABhAHkAXAAiACwAIABcACIAVwBBAFwAIgAsACAAXAAiAGsAZwBcACIALAAgADAALgAxADIANAAsACAAXAAiAGEAdAAgAG0AYQByAGsAZQB0AFwAIgA7AFwAbgAgACAAIAAgACAAIAAgACAAXAAiAEYAZQBlAGQAXAAiACwAIABcACIASABhAHkAXAAiACwAIABcACIAUABhAHMAdAB1AHIAZQAgAGgAYQB5AFwAIgAsACAAXAAiAEEAdQBzAHQAcgBhAGwAaQBhAFwAIgAsACAAXAAiAGsAZwBcACIALAAgADAALgAzADMAOQAsACAAXAAiAGEAdAAgAG0AYQByAGsAZQB0AFwAIgA7AFwAbgAgACAAIAAgACAAIAAgACAAXAAiAEYAZQBlAGQAXAAiACwAIABcACIASABhAHkAXAAiACwAIABcACIAUABhAHMAdAB1AHIAZQAgAGgAYQB5AFwAIgAsACAAXAAiAE4AUwBXAFwAIgAsACAAXAAiAGsAZwBcACIALAAgADAALgAzADEAMQAsACAAXAAiAGEAdAAgAG0AYQByAGsAZQB0AFwAIgA7AFwAbgAgACAAIAAgACAAIAAgACAAXAAiAEYAZQBlAGQAXAAiACwAIABcACIASABhAHkAXAAiACwAIABcACIAUABhAHMAdAB1AHIAZQAgAGgAYQB5AFwAIgAsACAAXAAiAFEATABEAFwAIgAsACAAXAAiAGsAZwBcACIALAAgADAALgAyADUANAAsACAAXAAiAGEAdAAgAG0AYQByAGsAZQB0AFwAIgA7AFwAbgAgACAAIAAgACAAIAAgACAAXAAiAEYAZQBlAGQAXAAiACwAIABcACIASABhAHkAXAAiACwAIABcACIAUABhAHMAdAB1AHIAZQAgAGgAYQB5AFwAIgAsACAAXAAiAFMAQQBcACIALAAgAFwAIgBrAGcAXAAiACwAIAAwAC4AMwAxADMALAAgAFwAIgBhAHQAIABtAGEAcgBrAGUAdABcACIAOwBcAG4AIAAgACAAIAAgACAAIAAgAFwAIgBGAGUAZQBkAFwAIgAsACAAXAAiAEgAYQB5AFwAIgAsACAAXAAiAFAAYQBzAHQAdQByAGUAIABoAGEAeQBcACIALAAgAFwAIgBUAEEAUwBcACIALAAgAFwAIgBrAGcAXAAiACwAIAAwAC4AMwA5ADgALAAgAFwAIgBhAHQAIABtAGEAcgBrAGUAdABcACIAOwBcAG4AIAAgACAAIAAgACAAIAAgAFwAIgBGAGUAZQBkAFwAIgAsACAAXAAiAEgAYQB5AFwAIgAsACAAXAAiAFAAYQBzAHQAdQByAGUAIABoAGEAeQBcACIALAAgAFwAIgBWAEkAQwBcACIALAAgAFwAIgBrAGcAXAAiACwAIAAwAC4AMwA0ADUALAAgAFwAIgBhAHQAIABtAGEAcgBrAGUAdABcACIAOwBcAG4AIAAgACAAIAAgACAAIAAgAFwAIgBGAGUAZQBkAFwAIgAsACAAXAAiAEgAYQB5AFwAIgAsACAAXAAiAFAAYQBzAHQAdQByAGUAIABoAGEAeQBcACIALAAgAFwAIgBXAEEAXAAiACwAIABcACIAawBnAFwAIgAsACAAMAAuADMANgA4ACwAIABcACIAYQB0ACAAbQBhAHIAawBlAHQAXAAiADsAXABuACAAIAAgACAAIAAgACAAIABcACIARgBlAGUAZABcACIALAAgAFwAIgBNAGUAYQBsAFwAIgAsACAAXAAiAEMAYQBuAG8AbABhACAAbQBlAGEAbABcACIALAAgAFwAIgBBAHUAcwB0AHIAYQBsAGkAYQBcACIALAAgAFwAIgBrAGcAXAAiACwAIAAwAC4AMgA0ADQALAAgAFwAIgBhAHQAIABtAGEAcgBrAGUAdABcACIAOwBcAG4AIAAgACAAIAAgACAAIAAgAFwAIgBGAGUAZQBkAFwAIgAsACAAXAAiAE0AZQBhAGwAXAAiACwAIABcACIATQBlAGEAdAAgAG0AZQBhAGwAXAAiACwAIABcACIAQQB1AHMAdAByAGEAbABpAGEAXAAiACwAIABcACIAawBnAFwAIgAsACAAMAAuADQAMAA4ACwAIABcACIAYQB0ACAAbQBhAHIAawBlAHQAXAAiADsAXABuACAAIAAgACAAIAAgACAAIABcACIARgBlAGUAZABcACIALAAgAFwAIgBNAGUAYQBsAFwAIgAsACAAXAAiAFMAbwB5AGIAZQBhAG4AIABtAGUAYQBsAFwAIgAsACAAXAAiAEIAcgBhAHoAaQBsAFwAIgAsACAAXAAiAGsAZwBcACIALAAgADAALgA0ADIANgAsACAAXAAiAGEAdAAgAG0AYQByAGsAZQB0AFwAIgA7AFwAbgAgACAAIAAgACAAIAAgACAAXAAiAEYAZQBlAGQAXAAiACwAIABcACIATQBlAGEAbABcACIALAAgAFwAIgBXAGgAZQBhAHQAIABiAHIAYQBuAFwAIgAsACAAXAAiAEEAdQBzAHQAcgBhAGwAaQBhAFwAIgAsACAAXAAiAGsAZwBcACIALAAgADAALgAxADkANgAsACAAXAAiAGEAdAAgAG0AYQByAGsAZQB0AFwAIgA7AFwAbgAgACAAIAAgACAAIAAgACAAXAAiAEYAZQBlAGQAXAAiACwAIABcACIATQBpAHgAZQBkACAAcgBhAHQAaQBvAG4AcwBcACIALAAgAFwAIgBGAGUAZQBkACAAZgBvAHIAIABjAGgAaQBjAGsAZQBuAHMAXAAiACwAIABcACIAQQB1AHMAdAByAGEAbABpAGEAXAAiACwAIABcACIAawBnAFwAIgAsACAAMAAuADUAOQA0ACwAIABcACIAYQB0ACAAbQBhAHIAawBlAHQAXAAiADsAXABuACAAIAAgACAAIAAgACAAIABcACIARgBlAGUAZABcACIALAAgAFwAIgBNAGkAeABlAGQAIAByAGEAdABpAG8AbgBzAFwAIgAsACAAXAAiAEYAZQBlAGQAIABmAG8AcgAgAGQAYQBpAHIAeQAgAGMAYQBsAHYAZQBzAFwAIgAsACAAXAAiAEEAdQBzAHQAcgBhAGwAaQBhAFwAIgAsACAAXAAiAGsAZwBcACIALAAgADAALgA0ADEAOQAsACAAXAAiAGEAdAAgAG0AYQByAGsAZQB0AFwAIgA7AFwAbgAgACAAIAAgACAAIAAgACAAXAAiAEYAZQBlAGQAXAAiACwAIABcACIATQBpAHgAZQBkACAAcgBhAHQAaQBvAG4AcwBcACIALAAgAFwAIgBGAGUAZQBkACAAZgBvAHIAIABkAGEAaQByAHkAIABjAG8AdwBzAFwAIgAsACAAXAAiAEEAdQBzAHQAcgBhAGwAaQBhAFwAIgAsACAAXAAiAGsAZwBcACIALAAgADAALgAzADMAMwAsACAAXAAiAGEAdAAgAG0AYQByAGsAZQB0AFwAIgA7AFwAbgAgACAAIAAgACAAIAAgACAAXAAiAEYAZQBlAGQAXAAiACwAIABcACIATQBpAHgAZQBkACAAcgBhAHQAaQBvAG4AcwBcACIALAAgAFwAIgBGAGUAZQBkACAAZgBvAHIAIABwAGkAZwBzAFwAIgAsACAAXAAiAEEAdQBzAHQAcgBhAGwAaQBhAFwAIgAsACAAXAAiAGsAZwBcACIALAAgADAALgA0ADAAMwAsACAAXAAiAGEAdAAgAG0AYQByAGsAZQB0AFwAIgA7AFwAbgAgACAAIAAgACAAIAAgACAAXAAiAEYAZQBlAGQAXAAiACwAIABcACIATwB0AGgAZQByAFwAIgAsACAAXAAiAEIAZQBuAHQAbwBuAGkAdABlAFwAIgAsACAAXAAiAEEAdQBzAHQAcgBhAGwAaQBhAFwAIgAsACAAXAAiAGsAZwBcACIALAAgADAALgAwADYANQAyACwAIABcACIAYQB0ACAAbQBhAHIAawBlAHQAXAAiADsAXABuACAAIAAgACAAIAAgACAAIABcACIARgBlAGUAZABcACIALAAgAFwAIgBPAHQAaABlAHIAXAAiACwAIABcACIAQwBhAG4AbwBsAGEAIABvAGkAbABcACIALAAgAFwAIgBBAHUAcwB0AHIAYQBsAGkAYQBcACIALAAgAFwAIgBrAGcAXAAiACwAIAAwAC4AOAA3ACwAIABcACIAYQB0ACAAbQBhAHIAawBlAHQAXAAiADsAXABuACAAIAAgACAAIAAgACAAIABcACIARgBlAGUAZABcACIALAAgAFwAIgBPAHQAaABlAHIAXAAiACwAIABcACIAQwBvAHQAdABvAG4AIABzAGUAZQBkAFwAIgAsACAAXAAiAEEAdQBzAHQAcgBhAGwAaQBhAFwAIgAsACAAXAAiAGsAZwBcACIALAAgADAALgAxADkANwAsACAAXAAiAGEAdAAgAG0AYQByAGsAZQB0AFwAIgA7AFwAbgAgACAAIAAgACAAIAAgACAAXAAiAEYAZQBlAGQAXAAiACwAIABcACIATwB0AGgAZQByAFwAIgAsACAAXAAiAEwAaQBjAGsAIABiAGwAbwBjAGsALAAgAGQAcgB5ACAAcwBlAGEAcwBvAG4AIABtAGkAeABcACIALAAgAFwAIgBBAHUAcwB0AHIAYQBsAGkAYQBcACIALAAgAFwAIgBrAGcAXAAiACwAIAAwAC4AOAA4ADEALAAgAFwAIgBhAHQAIABtAGEAcgBrAGUAdABcACIAOwBcAG4AIAAgACAAIAAgACAAIAAgAFwAIgBGAGUAZQBkAFwAIgAsACAAXAAiAE8AdABoAGUAcgBcACIALAAgAFwAIgBMAGkAYwBrACAAYgBsAG8AYwBrACwAIABtAGkAbgBlAHIAYQBsAFwAIgAsACAAXAAiAEEAdQBzAHQAcgBhAGwAaQBhAFwAIgAsACAAXAAiAGsAZwBcACIALAAgADAALgA2ADcANwAsACAAXAAiAGEAdAAgAG0AYQByAGsAZQB0AFwAIgA7AFwAbgAgACAAIAAgACAAIAAgACAAXAAiAEYAZQBlAGQAXAAiACwAIABcACIATwB0AGgAZQByAFwAIgAsACAAXAAiAEwAaQBjAGsAIABiAGwAbwBjAGsALAAgAHcAZQBhAG4AZQByAFwAIgAsACAAXAAiAEEAdQBzAHQAcgBhAGwAaQBhAFwAIgAsACAAXAAiAGsAZwBcACIALAAgADAALgAyADMAMQAsACAAXAAiAGEAdAAgAG0AYQByAGsAZQB0AFwAIgA7AFwAbgAgACAAIAAgACAAIAAgACAAXAAiAEYAZQBlAGQAXAAiACwAIABcACIATwB0AGgAZQByAFwAIgAsACAAXAAiAE0AbwBsAGEAcwBzAGUAcwBcACIALAAgAFwAIgBRAEwARABcACIALAAgAFwAIgBrAGcAXAAiACwAIAAwAC4AMQA4ADQ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8AdABoAGUAcgAgAGEAZwByAGkAYwB1AGwAdAB1AHIAYQBsACAAaQBuAHAAdQB0AHMAXABuAD0APQA9AD0APQA9AD0APQA9AD0APQA9AD0APQA9AD0APQA9AD0APQA9AD0APQA9AD0APQA9AD0APQA9AD0APQA9AD0APQA9AD0APQA9AD0APQA9AD0APQA9AD0APQA9AD0APQA9AD0APQA9AD0APQA9AD0APQA9AD0APQA9AD0APQA9AD0APQA9AD0APQA9AD0APQA9AD0AXABuACoALwBcAG4AXABuAFMAYwBvAHAAZQAzAF8ATwB0AGgAZQByAF8AVABpAHQAbABlAFwAbgA9AEwAQQBNAEIARABBACgAKABcACIATwB0AGgAZQByACAAYQBnAHIAaQBjAHUAbAB0AHUAcgBhAGwAIABpAG4AcAB1AHQAcwAgAHMAYwBvAHAAZQAgADMAXAAiACkAKQA7AFwAbgBcAG4AUwBjAG8AcABlADMAXwBPAHQAaABlAHI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QAaABlAHIAXwBWAGEAcgBpAGEAdABpAG8AbgBcAG4APQBMAEEATQBCAEQAQQAoACgAXAAiAFwAIgApACkAOwBcAG4AXABuAFMAYwBvAHAAZQAzAF8ATwB0AGgAZQByAF8ARABhAHQAYQBcAG4APQBMAEEATQBCAEQAQQAoAFwAbgAgACAATQBBAEsARQBBAFIAUgBBAFkAKAA5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TwB0AGgAZQByAFwAIgAsACAAXAAiAE8AdABoAGUAcgBcACIALAAgAFwAIgBBAG4AaQBtAGEAbAAgAGUAYQByACAAdABhAGcAcwAgACgAbABhAHIAZwBlACkAXAAiACwAIABcACIAQQB1AHMAdAByAGEAbABpAGEAXAAiACwAIABcACIAcABcACIALAAgADAALgAwADQAMgA0ACwAIABcACIAYQB0ACAAbQBhAHIAawBlAHQAXAAiADsAXABuACAAIAAgACAAIAAgACAAIABcACIATwB0AGgAZQByAFwAIgAsACAAXAAiAE8AdABoAGUAcgBcACIALAAgAFwAIgBBAG4AaQBtAGEAbAAgAGUAYQByACAAdABhAGcAcwAgACgAcwBtAGEAbABsACkAXAAiACwAIABcACIAQQB1AHMAdAByAGEAbABpAGEAXAAiACwAIABcACIAcABcACIALAAgADAALgAwADIAOQAzACwAIABcACIAYQB0ACAAbQBhAHIAawBlAHQAXAAiADsAXABuACAAIAAgACAAIAAgACAAIABcACIATwB0AGgAZQByAFwAIgAsACAAXAAiAE8AdABoAGUAcgBcACIALAAgAFwAIgBCAGEAcgBsAGUAeQAgAGcAcgBhAGkAbgAgACgAZgBvAHIAIABzAGUAZQBkACkAXAAiACwAIABcACIAQQB1AHMAdAByAGEAbABpAGEAXAAiACwAIABcACIAawBnAFwAIgAsACAAMAAuADIAMwA5ACwAIABcACIAYQB0ACAAbQBhAHIAawBlAHQAXAAiADsAXABuACAAIAAgACAAIAAgACAAIABcACIATwB0AGgAZQByAFwAIgAsACAAXAAiAE8AdABoAGUAcgBcACIALAAgAFwAIgBNAGEAaQB6AGUAIABnAHIAYQBpAG4AIAAoAGYAbwByACAAcwBlAGUAZAApAFwAIgAsACAAXAAiAEEAdQBzAHQAcgBhAGwAaQBhAFwAIgAsACAAXAAiAGsAZwBcACIALAAgADAALgAxADgAMQAsACAAXAAiAGEAdAAgAG0AYQByAGsAZQB0AFwAIgA7AFwAbgAgACAAIAAgACAAIAAgACAAXAAiAE8AdABoAGUAcgBcACIALAAgAFwAIgBPAHQAaABlAHIAXAAiACwAIABcACIATgB5AGwAbwBuACAAbgBlAHQAdABpAG4AZwBcACIALAAgAFwAIgBHAGwAbwBiAGEAbABcACIALAAgAFwAIgBrAGcAXAAiACwAIAA5AC4AOAAxACwAIABcACIAYQB0ACAAbQBhAHIAawBlAHQAXAAiADsAXABuACAAIAAgACAAIAAgACAAIABcACIATwB0AGgAZQByAFwAIgAsACAAXAAiAE8AdABoAGUAcgBcACIALAAgAFwAIgBPAGEAdAAgAGcAcgBhAGkAbgAgACgAZgBvAHIAIABzAGUAZQBkACkAXAAiACwAIABcACIAQQB1AHMAdAByAGEAbABpAGEAXAAiACwAIABcACIAawBnAFwAIgAsACAAMAAuADIANwAsACAAXAAiAGEAdAAgAG0AYQByAGsAZQB0AFwAIgA7AFwAbgAgACAAIAAgACAAIAAgACAAXAAiAE8AdABoAGUAcgBcACIALAAgAFwAIgBPAHQAaABlAHIAXAAiACwAIABcACIAUwBvAHIAZwBoAHUAbQAgAGcAcgBhAGkAbgAgACgAZgBvAHIAIABzAGUAZQBkACkAXAAiACwAIABcACIAQQB1AHMAdAByAGEAbABpAGEAXAAiACwAIABcACIAawBnAFwAIgAsACAAMAAuADIAMwAyACwAIABcACIAYQB0ACAAbQBhAHIAawBlAHQAXAAiADsAXABuACAAIAAgACAAIAAgACAAIABcACIATwB0AGgAZQByAFwAIgAsACAAXAAiAE8AdABoAGUAcgBcACIALAAgAFwAIgBXAGgAZQBhAHQAIABnAHIAYQBpAG4AIAAoAGYAbwByACAAcwBlAGUAZAApAFwAIgAsACAAXAAiAEEAdQBzAHQAcgBhAGwAaQBhAFwAIgAsACAAXAAiAGsAZwBcACIALAAgADAALgAyADYAO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YQBjAGsAYQBnAGkAbgBnAF8AVgBhAHIAaQBhAHQAaQBvAG4AXABuAD0ATABBAE0AQgBEAEEAKAAoAFwAIgBcACIAKQApADsAXABuAFwAbgBTAGMAbwBwAGUAMwBfAFAAYQBjAGsAYQBnAGkAbgBn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hAGMAawBhAGcAaQBuAGcAXAAiACwAIABcACIAUABhAGMAawBhAGcAaQBuAGcAXAAiACwAIABcACIAQwBvAHIAcgB1AGcAYQB0AGUAZAAgAGIAbwBhAHIAZABcACIALAAgAFwAIgBHAGwAbwBiAGEAbABcACIALAAgAFwAIgBrAGcAXAAiACwAIAAxAC4AMAA1ACwAIABcACIAYQB0ACAAbQBhAG4AdQBmAGEAYwB0AHUAcgBlAHIAXAAiADsAXABuACAAIAAgACAAIAAgACAAIABcACIAUABhAGMAawBhAGcAaQBuAGcAXAAiACwAIABcACIAUABhAGMAawBhAGcAaQBuAGcAXAAiACwAIABcACIAUABsAGEAcwB0AGkAYwAgAGMAcgBhAHQAZQAgAHAAbwBsAHkAcAByAG8AcAB5AGwAZQBuAGUAXAAiACwAIABcACIARwBsAG8AYgBhAGwAXAAiACwAIABcACIAcABcACIALAAgADMALgA5ADkALAAgAFwAIgBhAHQAIABtAGEAbgB1AGYAYQBjAHQAdQByAGUAcgBcACIAOwBcAG4AIAAgACAAIAAgACAAIAAgAFwAIgBQAGEAYwBrAGEAZwBpAG4AZwBcACIALAAgAFwAIgBQAGEAYwBrAGEAZwBpAG4AZwBcACIALAAgAFwAIgBQAGwAYQBzAHQAaQBjACAAZgBpAGwAbQAgAEwARABQAEUAXAAiACwAIABcACIARwBsAG8AYgBhAGwAXAAiACwAIABcACIAawBnAFwAIgAsACAAMwAuADQANAAsACAAXAAiAGEAdAAgAG0AYQBuAHUAZgBhAGMAdAB1AHIAZQByAFwAIgA7AFwAbgAgACAAIAAgACAAIAAgACAAXAAiAFAAYQBjAGsAYQBnAGkAbgBnAFwAIgAsACAAXAAiAFAAYQBjAGsAYQBnAGkAbgBnAFwAIgAsACAAXAAiAFAAbABhAHMAdABpAGMAIABzAGgAZQBlAHQAIABIAEQAUABFAFwAIgAsACAAXAAiAEcAbABvAGIAYQBsAFwAIgAsACAAXAAiAGsAZwBcACIALAAgADMALgA3ADI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ZQBzAHQAaQBjAGkAZABlAHMAXABuAD0APQA9AD0APQA9AD0APQA9AD0APQA9AD0APQA9AD0APQA9AD0APQA9AD0APQA9AD0APQA9AD0APQA9AD0APQA9AD0APQA9AD0APQA9AD0APQA9AD0APQA9AD0APQA9AD0APQA9AD0APQA9AD0APQA9AD0APQA9AD0APQA9AD0APQA9AD0APQA9AD0APQA9AD0APQA9AD0AXABuACoALwBcAG4AXABuAFMAYwBvAHAAZQAzAF8AUABlAHMAdABpAGMAaQBkAGUAcwBfAFQAaQB0AGwAZQBcAG4APQBMAEEATQBCAEQAQQAoACgAXAAiAFAAZQBzAHQAaQBjAGkAZABlAHMAIABzAGMAbwBwAGUAIAAzAFwAIgApACkAOwBcAG4AXABuAFMAYwBvAHAAZQAzAF8AUABlAHMAdABpAGMAaQBkAGU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ZQBzAHQAaQBjAGkAZABlAHMAXwBWAGEAcgBpAGEAdABpAG8AbgBcAG4APQBMAEEATQBCAEQAQQAoACgAXAAiAFwAIgApACkAOwBcAG4AXABuAFMAYwBvAHAAZQAzAF8AUABlAHMAdABpAGMAaQBkAGUAcwBfAEQAYQB0AGEAXABuAD0ATABBAE0AQgBEAEEAKABcAG4AIAAgAE0AQQBLAEUAQQBSAFIAQQBZACgAMQAz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lAHMAdABpAGMAaQBkAGUAcwBcACIALAAgAFwAIgBQAGUAcwB0AGkAYwBpAGQAZQBzAFwAIgAsACAAXAAiADIALAA0AC0ARABcACIALAAgAFwAIgBHAGwAbwBiAGEAbABcACIALAAgAFwAIgBrAGcAIABBAEkAXAAiACwAIAA1AC4AMgAsACAAXAAiAGEAdAAgAG0AYQByAGsAZQB0AFwAIgA7AFwAbgAgACAAIAAgACAAIAAgACAAXAAiAFAAZQBzAHQAaQBjAGkAZABlAHMAXAAiACwAIABcACIAUABlAHMAdABpAGMAaQBkAGUAcwBcACIALAAgAFwAIgBBAHQAcgBhAHoAaQBuAGUAXAAiACwAIABcACIARwBsAG8AYgBhAGwAXAAiACwAIABcACIAawBnACAAQQBJAFwAIgAsACAAOAAuADMAOAAsACAAXAAiAGEAdAAgAG0AYQByAGsAZQB0AFwAIgA7AFwAbgAgACAAIAAgACAAIAAgACAAXAAiAFAAZQBzAHQAaQBjAGkAZABlAHMAXAAiACwAIABcACIAUABlAHMAdABpAGMAaQBkAGUAcwBcACIALAAgAFwAIgBEAGkAdQByAG8AbgBcACIALAAgAFwAIgBHAGwAbwBiAGEAbABcACIALAAgAFwAIgBrAGcAIABBAEkAXAAiACwAIAA4AC4AOAAsACAAXAAiAGEAdAAgAG0AYQByAGsAZQB0AFwAIgA7AFwAbgAgACAAIAAgACAAIAAgACAAXAAiAFAAZQBzAHQAaQBjAGkAZABlAHMAXAAiACwAIABcACIAUABlAHMAdABpAGMAaQBkAGUAcwBcACIALAAgAFwAIgBHAGwAeQBwAGgAbwBzAGEAdABlAFwAIgAsACAAXAAiAEcAbABvAGIAYQBsAFwAIgAsACAAXAAiAGsAZwAgAEEASQBcACIALAAgADEAMAAuADMALAAgAFwAIgBhAHQAIABtAGEAcgBrAGUAdABcACIAOwBcAG4AIAAgACAAIAAgACAAIAAgAFwAIgBQAGUAcwB0AGkAYwBpAGQAZQBzAFwAIgAsACAAXAAiAFAAZQBzAHQAaQBjAGkAZABlAHMAXAAiACwAIABcACIATQBhAG4AYwBvAHoAZQBiAFwAIgAsACAAXAAiAEcAbABvAGIAYQBsAFwAIgAsACAAXAAiAGsAZwAgAEEASQBcACIALAAgADQALgA1ADUALAAgAFwAIgBhAHQAIABtAGEAcgBrAGUAdABcACIAOwBcAG4AIAAgACAAIAAgACAAIAAgAFwAIgBQAGUAcwB0AGkAYwBpAGQAZQBzAFwAIgAsACAAXAAiAFAAZQBzAHQAaQBjAGkAZABlAHMAXAAiACwAIABcACIATQBDAFAAQQBcACIALAAgAFwAIgBHAGwAbwBiAGEAbABcACIALAAgAFwAIgBrAGcAIABBAEkAXAAiACwAIAA1AC4ANgAsACAAXAAiAGEAdAAgAG0AYQByAGsAZQB0AFwAIgA7AFwAbgAgACAAIAAgACAAIAAgACAAXAAiAFAAZQBzAHQAaQBjAGkAZABlAHMAXAAiACwAIABcACIAUABlAHMAdABpAGMAaQBkAGUAcwBcACIALAAgAFwAIgBNAGUAdABvAGwAYQBjAGgAbABvAHIAXAAiACwAIABcACIARwBsAG8AYgBhAGwAXAAiACwAIABcACIAawBnACAAQQBJAFwAIgAsACAAOAAuADAANgAsACAAXAAiAGEAdAAgAG0AYQByAGsAZQB0AFwAIgA7AFwAbgAgACAAIAAgACAAIAAgACAAXAAiAFAAZQBzAHQAaQBjAGkAZABlAHMAXAAiACwAIABcACIAUABlAHMAdABpAGMAaQBkAGUAcwBcACIALAAgAFwAIgBNAGUAdABzAHUAbABmAHUAcgBvAG4ALQBtAGUAdABoAHkAbABcACIALAAgAFwAIgBHAGwAbwBiAGEAbABcACIALAAgAFwAIgBrAGcAIABBAEkAXAAiACwAIAA4AC4AOAAsACAAXAAiAGEAdAAgAG0AYQByAGsAZQB0AFwAIgA7AFwAbgAgACAAIAAgACAAIAAgACAAXAAiAFAAZQBzAHQAaQBjAGkAZABlAHMAXAAiACwAIABcACIAUABlAHMAdABpAGMAaQBkAGUAcwBcACIALAAgAFwAIgBQAGUAcwB0AGkAYwBpAGQAZQBzACAAKABnAGUAbgBlAHIAaQBjACkAXAAiACwAIABcACIARwBsAG8AYgBhAGwAXAAiACwAIABcACIAawBnACAAQQBJAFwAIgAsACAAOQAuADEANgAsACAAXAAiAGEAdAAgAG0AYQByAGsAZQB0AFwAIgA7AFwAbgAgACAAIAAgACAAIAAgACAAXAAiAFAAZQBzAHQAaQBjAGkAZABlAHMAXAAiACwAIABcACIAUABlAHMAdABpAGMAaQBkAGUAcwBcACIALAAgAFwAIgBUAHIAaQAtAGEAbABsAGEAdABlAFwAIgAsACAAXAAiAEcAbABvAGIAYQBsAFwAIgAsACAAXAAiAGsAZwAgAEEASQBcACIALAAgADgALgA1ADcALAAgAFwAIgBhAHQAIABtAGEAcgBrAGUAdABcACIAOwBcAG4AIAAgACAAIAAgACAAIAAgAFwAIgBQAGUAcwB0AGkAYwBpAGQAZQBzAFwAIgAsACAAXAAiAFAAZQBzAHQAaQBjAGkAZABlAHMAXAAiACwAIABcACIAVAByAGkAYgBlAG4AdQByAG8AbgAgAG0AZQB0AGgAeQBsAFwAIgAsACAAXAAiAEcAbABvAGIAYQBsAFwAIgAsACAAXAAiAGsAZwAgAEEASQBcACIALAAgADgALgA4ACwAIABcACIAYQB0ACAAbQBhAHIAawBlAHQAXAAiADsAXABuACAAIAAgACAAIAAgACAAIABcACIAUABlAHMAdABpAGMAaQBkAGUAcwBcACIALAAgAFwAIgBQAGUAcwB0AGkAYwBpAGQAZQBzAFwAIgAsACAAXAAiAFQAcgBpAGYAbAB1AHIAYQBsAGkAbgBcACIALAAgAFwAIgBHAGwAbwBiAGEAbABcACIALAAgAFwAIgBrAGcAIABBAEkAXAAiACwAIAA2AC4AMQA2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0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wBvAGkAbAAgAGEAbQBlAGwAaQBvAHIAYQBuAHQAcwBcACIALAAgAFwAIgBTAG8AaQBsACAAYQBtAGUAbABpAG8AcgBhAG4AdABzAFwAIgAsACAAXAAiAEQAbwBsAG8AbQBpAHQAZ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HAHkAcABzAHUAb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MAGkAbQBlAHMAdABvAG4AZQAgACgAYwByAHUAcwBoAGUAZAApAFwAIgAsACAAXAAiAEEAdQBzAHQAcgBhAGwAaQBhAFwAIgAsACAAXAAiAGsAZwBcACIALAAgADAALgAwADQAOAA1ACwAIABcACIAYQB0ACAAbQBhAHIAawBlAHQAXAAiAFwAbgAgACAAIAAgACAAIAB9ACwAIAByACwAIABjACkAXABuACkAKQApADs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X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49</vt:i4>
      </vt:variant>
      <vt:variant>
        <vt:lpstr>Named Ranges</vt:lpstr>
      </vt:variant>
      <vt:variant>
        <vt:i4>318</vt:i4>
      </vt:variant>
    </vt:vector>
  </HeadingPairs>
  <TitlesOfParts>
    <vt:vector size="367" baseType="lpstr">
      <vt:lpstr>Home</vt:lpstr>
      <vt:lpstr>Results - Activity period</vt:lpstr>
      <vt:lpstr>Results - Product EI</vt:lpstr>
      <vt:lpstr>Input - Enterprise</vt:lpstr>
      <vt:lpstr>Input - Site</vt:lpstr>
      <vt:lpstr>Input - Pasture Beef</vt:lpstr>
      <vt:lpstr>Input - Livestock sales</vt:lpstr>
      <vt:lpstr>Input - Beef cattle purchases</vt:lpstr>
      <vt:lpstr>Input - Pasture</vt:lpstr>
      <vt:lpstr>Input - Fert Prod System</vt:lpstr>
      <vt:lpstr>Input - Fertiliser</vt:lpstr>
      <vt:lpstr>Input - Fuel</vt:lpstr>
      <vt:lpstr>Input - Electricity</vt:lpstr>
      <vt:lpstr>Input - Common farm inputs</vt:lpstr>
      <vt:lpstr>Input - Crop pasture farm input</vt:lpstr>
      <vt:lpstr>Input - Livestock farm Inputs</vt:lpstr>
      <vt:lpstr>Input - Freight</vt:lpstr>
      <vt:lpstr>Input - Solid waste</vt:lpstr>
      <vt:lpstr>Input - Manure sent off-site</vt:lpstr>
      <vt:lpstr>Input - Data quality</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10.1.1-2 Solid waste treatment</vt:lpstr>
      <vt:lpstr>14.1.1-2 Purchased electricity</vt:lpstr>
      <vt:lpstr>15 Scope 3</vt:lpstr>
      <vt:lpstr>Calcs - Manure sent off-site</vt:lpstr>
      <vt:lpstr>Constants - Pasture Beef</vt:lpstr>
      <vt:lpstr>Constants - Ag Residue</vt:lpstr>
      <vt:lpstr>Constants - Common Livestock</vt:lpstr>
      <vt:lpstr>Constants - Electricity</vt:lpstr>
      <vt:lpstr>Constants - Fertiliser</vt:lpstr>
      <vt:lpstr>Constants - Fuel</vt:lpstr>
      <vt:lpstr>Constants - Scope 3</vt:lpstr>
      <vt:lpstr>Constants - Solid Waste</vt:lpstr>
      <vt:lpstr>Constants - Common</vt:lpstr>
      <vt:lpstr>Acknowledgements</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vt:lpstr>
      <vt:lpstr>M1_Table_CP_j</vt:lpstr>
      <vt:lpstr>'3.2.1.1-2 Enteric Methane'!M1_Table_D_j</vt:lpstr>
      <vt:lpstr>M1_Table_D_j</vt:lpstr>
      <vt:lpstr>M1_Table_D_j_Consumer_1</vt:lpstr>
      <vt:lpstr>M1_Table_DMD_j_k_l</vt:lpstr>
      <vt:lpstr>M1_Table_E_CH4</vt:lpstr>
      <vt:lpstr>M1_Table_E_CO2</vt:lpstr>
      <vt:lpstr>M1_Table_E_enteric</vt:lpstr>
      <vt:lpstr>'6.3.1.1-2 Leach runoff pasture'!M1_Table_E_N2O</vt:lpstr>
      <vt:lpstr>M1_Table_E_N2O</vt:lpstr>
      <vt:lpstr>'6.3.1.1-2 Leach runoff pasture'!M1_Table_E_N2O_Consumer_1</vt:lpstr>
      <vt:lpstr>'3.2.1.1-2 Enteric Methane'!M1_Table_I_j_k_l</vt:lpstr>
      <vt:lpstr>M1_Table_I_j_k_l</vt:lpstr>
      <vt:lpstr>M1_Table_I_j_k_l_Consumer_1</vt:lpstr>
      <vt:lpstr>M1_Table_L_j_k_l</vt:lpstr>
      <vt:lpstr>'3.2.1.1-2 Enteric Methane'!M1_Table_LC_j_k45</vt:lpstr>
      <vt:lpstr>M1_Table_LC_j_k45</vt:lpstr>
      <vt:lpstr>M1_Table_LC_j_k45_Consumer_1</vt:lpstr>
      <vt:lpstr>'3.2.1.1-2 Enteric Methane'!M1_Table_LWG_j_k_l</vt:lpstr>
      <vt:lpstr>M1_Table_LWG_j_k_l</vt:lpstr>
      <vt:lpstr>M1_Table_LWG_j_k_l_Consumer_1</vt:lpstr>
      <vt:lpstr>M1_Table_M_j_k_l</vt:lpstr>
      <vt:lpstr>M1_Table_M_j_k_l_m</vt:lpstr>
      <vt:lpstr>'6.3.1.1-2 Leach runoff pasture'!M1_Table_M_leach_cp</vt:lpstr>
      <vt:lpstr>'3.2.1.1-2 Enteric Methane'!M1_Table_MA_j_k45</vt:lpstr>
      <vt:lpstr>M1_Table_MA_j_k45</vt:lpstr>
      <vt:lpstr>M1_Table_MC_j_k_136</vt:lpstr>
      <vt:lpstr>M1_Table_MCF_i_m</vt:lpstr>
      <vt:lpstr>M1_Table_MP_j_k45</vt:lpstr>
      <vt:lpstr>'3.2.1.1-2 Enteric Methane'!M1_Table_N_j_k_l</vt:lpstr>
      <vt:lpstr>M1_Table_N_j_k_l</vt:lpstr>
      <vt:lpstr>M1_Table_N_j_k_l_Consumer_1</vt:lpstr>
      <vt:lpstr>M1_Table_NE_j_k_l</vt:lpstr>
      <vt:lpstr>M1_Table_NR_j_k_l</vt:lpstr>
      <vt:lpstr>M1_Table_VS_j_k_l</vt:lpstr>
      <vt:lpstr>'3.2.1.1-2 Enteric Methane'!M1_Table_W_j_k_l</vt:lpstr>
      <vt:lpstr>M1_Table_W_j_k_l</vt:lpstr>
      <vt:lpstr>M1_Table_W_j_k_l_Consumer_1</vt:lpstr>
      <vt:lpstr>M1_Table_Z_j_k_l</vt:lpstr>
      <vt:lpstr>M2_Table_AE</vt:lpstr>
      <vt:lpstr>M2_Table_CP_j</vt:lpstr>
      <vt:lpstr>'3.2.1.1-2 Enteric Methane'!M2_Table_D_j</vt:lpstr>
      <vt:lpstr>M2_Table_D_j</vt:lpstr>
      <vt:lpstr>M2_Table_D_j_Consumer_1</vt:lpstr>
      <vt:lpstr>M2_Table_DMD_j_k_l</vt:lpstr>
      <vt:lpstr>M2_Table_E_CH4</vt:lpstr>
      <vt:lpstr>M2_Table_E_enteric</vt:lpstr>
      <vt:lpstr>M2_Table_FertApplications</vt:lpstr>
      <vt:lpstr>'3.2.1.1-2 Enteric Methane'!M2_Table_I_j_k_l</vt:lpstr>
      <vt:lpstr>M2_Table_I_j_k_l</vt:lpstr>
      <vt:lpstr>M2_Table_I_j_k_l_Consumer_1</vt:lpstr>
      <vt:lpstr>M2_Table_L_j_k_l</vt:lpstr>
      <vt:lpstr>'3.2.1.1-2 Enteric Methane'!M2_Table_LC_j_k45</vt:lpstr>
      <vt:lpstr>M2_Table_LC_j_k45</vt:lpstr>
      <vt:lpstr>M2_Table_LC_j_k45_Consumer_1</vt:lpstr>
      <vt:lpstr>M2_Table_LW_j_k_l</vt:lpstr>
      <vt:lpstr>'3.2.1.1-2 Enteric Methane'!M2_Table_LWG_j_k_l</vt:lpstr>
      <vt:lpstr>M2_Table_LWG_j_k_l</vt:lpstr>
      <vt:lpstr>M2_Table_LWG_j_k_l_Consumer_1</vt:lpstr>
      <vt:lpstr>M2_Table_M_j_k_l</vt:lpstr>
      <vt:lpstr>M2_Table_M_j_k_l_m</vt:lpstr>
      <vt:lpstr>'6.3.1.1-2 Leach runoff pasture'!M2_Table_M_leach_cp</vt:lpstr>
      <vt:lpstr>'3.2.1.1-2 Enteric Methane'!M2_Table_MA_j_k45</vt:lpstr>
      <vt:lpstr>M2_Table_MA_j_k45</vt:lpstr>
      <vt:lpstr>M2_Table_MC_j_k_136</vt:lpstr>
      <vt:lpstr>M2_Table_MCF_i_m</vt:lpstr>
      <vt:lpstr>M2_Table_MP_j_k45</vt:lpstr>
      <vt:lpstr>'3.2.1.1-2 Enteric Methane'!M2_Table_N_j_k_l</vt:lpstr>
      <vt:lpstr>M2_Table_N_j_k_l</vt:lpstr>
      <vt:lpstr>M2_Table_N_j_k_l_Consumer_1</vt:lpstr>
      <vt:lpstr>M2_Table_NE_j_k_l</vt:lpstr>
      <vt:lpstr>M2_Table_NR_j_k_l</vt:lpstr>
      <vt:lpstr>M2_Table_VS_j_k_l</vt:lpstr>
      <vt:lpstr>'3.2.1.1-2 Enteric Methane'!M2_Table_W_j_k_l</vt:lpstr>
      <vt:lpstr>M2_Table_W_j_k_l</vt:lpstr>
      <vt:lpstr>M2_Table_Z_j_k_l</vt:lpstr>
      <vt:lpstr>Result_CarbonRemovalsFromPlantings</vt:lpstr>
      <vt:lpstr>Result_EmissionsForWholeProductionCycle_Method1</vt:lpstr>
      <vt:lpstr>Result_EmissionsForWholeProductionCycle_Method2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SourceData_PastureBeef_AshContentOfFeedIntake_Data</vt:lpstr>
      <vt:lpstr>SourceData_PastureBeef_FracGASMSoil_Data</vt:lpstr>
      <vt:lpstr>SourceData_PastureBeef_FracLEACH_Data</vt:lpstr>
      <vt:lpstr>SourceData_PastureBeef_MethaneEmissionsPotential_Data</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'15 Scope 3'!VEERG_5_4_1_3__1_OrganicFertiliserAtmosphericDepositionN2OEmissions_Result_Method1</vt:lpstr>
      <vt:lpstr>'Calcs - Manure sent off-site'!VEERG_5_4_1_3__1_OrganicFertiliserAtmosphericDepositionN2OEmissions_Result_Method1</vt:lpstr>
      <vt:lpstr>'Constants - Scope 3'!VEERG_5_4_1_3__1_OrganicFertiliserAtmosphericDepositionN2OEmissions_Result_Method1</vt:lpstr>
      <vt:lpstr>'Input - Beef cattle purchases'!VEERG_5_4_1_3__1_OrganicFertiliserAtmosphericDepositionN2OEmissions_Result_Method1</vt:lpstr>
      <vt:lpstr>'Input - Common farm inputs'!VEERG_5_4_1_3__1_OrganicFertiliserAtmosphericDepositionN2OEmissions_Result_Method1</vt:lpstr>
      <vt:lpstr>'Input - Crop pasture farm input'!VEERG_5_4_1_3__1_OrganicFertiliserAtmosphericDepositionN2OEmissions_Result_Method1</vt:lpstr>
      <vt:lpstr>'Input - Freight'!VEERG_5_4_1_3__1_OrganicFertiliserAtmosphericDepositionN2OEmissions_Result_Method1</vt:lpstr>
      <vt:lpstr>'Input - Livestock farm Inputs'!VEERG_5_4_1_3__1_OrganicFertiliserAtmosphericDepositionN2OEmissions_Result_Method1</vt:lpstr>
      <vt:lpstr>'Input - Manure sent off-site'!VEERG_5_4_1_3__1_OrganicFertiliserAtmosphericDepositionN2OEmissions_Result_Method1</vt:lpstr>
      <vt:lpstr>VEERG_5_4_1_3__1_OrganicFertiliserAtmosphericDepositionN2OEmissions_Result_Method1</vt:lpstr>
      <vt:lpstr>VEERG_5_4_1_3__1_OrganicFertiliserAtmosphericDepositionN2OEmissions_Result_Method2</vt:lpstr>
      <vt:lpstr>'15 Scope 3'!VEERG_5_5_1_1__1_FertiliserLeachingAndRunoffN2OEmissions_Result_Method1</vt:lpstr>
      <vt:lpstr>'Calcs - Manure sent off-site'!VEERG_5_5_1_1__1_FertiliserLeachingAndRunoffN2OEmissions_Result_Method1</vt:lpstr>
      <vt:lpstr>'Constants - Scope 3'!VEERG_5_5_1_1__1_FertiliserLeachingAndRunoffN2OEmissions_Result_Method1</vt:lpstr>
      <vt:lpstr>'Input - Beef cattle purchases'!VEERG_5_5_1_1__1_FertiliserLeachingAndRunoffN2OEmissions_Result_Method1</vt:lpstr>
      <vt:lpstr>'Input - Common farm inputs'!VEERG_5_5_1_1__1_FertiliserLeachingAndRunoffN2OEmissions_Result_Method1</vt:lpstr>
      <vt:lpstr>'Input - Crop pasture farm input'!VEERG_5_5_1_1__1_FertiliserLeachingAndRunoffN2OEmissions_Result_Method1</vt:lpstr>
      <vt:lpstr>'Input - Freight'!VEERG_5_5_1_1__1_FertiliserLeachingAndRunoffN2OEmissions_Result_Method1</vt:lpstr>
      <vt:lpstr>'Input - Livestock farm Inputs'!VEERG_5_5_1_1__1_FertiliserLeachingAndRunoffN2OEmissions_Result_Method1</vt:lpstr>
      <vt:lpstr>'Input - Manure sent off-site'!VEERG_5_5_1_1__1_FertiliserLeachingAndRunoffN2OEmissions_Result_Method1</vt:lpstr>
      <vt:lpstr>VEERG_5_5_1_1__1_FertiliserLeachingAndRunoffN2OEmissions_result_Method1</vt:lpstr>
      <vt:lpstr>VEERG_5_5_1_1__1_FertiliserLeachingAndRunoffN2OEmissions_Result_Method2</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X_Cell_Enteprise_LiveweightGrown_Method1</vt:lpstr>
      <vt:lpstr>X_Cell_Enteprise_LiveweightGrown_Method2</vt:lpstr>
      <vt:lpstr>X_Cell_Enteprise_ManureProduced_Method1</vt:lpstr>
      <vt:lpstr>X_Cell_Enteprise_ManureProduced_Method2</vt:lpstr>
      <vt:lpstr>X_Cell_Enteprise_PercentIncomeFromLiveweight</vt:lpstr>
      <vt:lpstr>X_Cell_Enteprise_PercentIncomeFromManure</vt:lpstr>
      <vt:lpstr>X_Cell_Enteprise_PercentManureAppliedAsFertiliserOwnFarm</vt:lpstr>
      <vt:lpstr>X_Cell_Enteprise_PercentManureAppliedAsWaste</vt:lpstr>
      <vt:lpstr>X_Cell_Enteprise_PercentManureSold</vt:lpstr>
      <vt:lpstr>X_Cell_Enterprise_LiveweightSold</vt:lpstr>
      <vt:lpstr>X_Cell_Enterprise_ProductionTimeframeEnd</vt:lpstr>
      <vt:lpstr>X_Cell_Enterprise_ProductionTimeframeLength</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X_Cell_Pasture_AreaRemovedOrRenewed</vt:lpstr>
      <vt:lpstr>X_Cell_Pasture_AreaUnderPasture</vt:lpstr>
      <vt:lpstr>X_Cell_Pasture_IrrigationMethod</vt:lpstr>
      <vt:lpstr>X_Cell_Pasture_PastureType</vt:lpstr>
      <vt:lpstr>X_Cell_Pasture_YieldPerHectare</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X_ResultsTable_ActivityPeriod_Scope1</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2026-08-19T08:10:08Z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2026-09-02T17:27:38; rename=True resize=True scope=all</vt:lpwstr>
  </property>
</Properties>
</file>